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omments2.xml" ContentType="application/vnd.openxmlformats-officedocument.spreadsheetml.comments+xml"/>
  <Override PartName="/xl/threadedComments/threadedComment1.xml" ContentType="application/vnd.ms-excel.threadedcomments+xml"/>
  <Override PartName="/xl/namedSheetViews/namedSheetView1.xml" ContentType="application/vnd.ms-excel.namedsheetviews+xml"/>
  <Override PartName="/xl/drawings/drawing5.xml" ContentType="application/vnd.openxmlformats-officedocument.drawing+xml"/>
  <Override PartName="/xl/tables/table2.xml" ContentType="application/vnd.openxmlformats-officedocument.spreadsheetml.table+xml"/>
  <Override PartName="/xl/comments3.xml" ContentType="application/vnd.openxmlformats-officedocument.spreadsheetml.comments+xml"/>
  <Override PartName="/xl/drawings/drawing6.xml" ContentType="application/vnd.openxmlformats-officedocument.drawing+xml"/>
  <Override PartName="/xl/tables/table3.xml" ContentType="application/vnd.openxmlformats-officedocument.spreadsheetml.table+xml"/>
  <Override PartName="/xl/comments4.xml" ContentType="application/vnd.openxmlformats-officedocument.spreadsheetml.comments+xml"/>
  <Override PartName="/xl/drawings/drawing7.xml" ContentType="application/vnd.openxmlformats-officedocument.drawing+xml"/>
  <Override PartName="/xl/tables/table4.xml" ContentType="application/vnd.openxmlformats-officedocument.spreadsheetml.table+xml"/>
  <Override PartName="/xl/drawings/drawing8.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comments5.xml" ContentType="application/vnd.openxmlformats-officedocument.spreadsheetml.comments+xml"/>
  <Override PartName="/xl/drawings/drawing9.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aptimcorp.sharepoint.com/sites/capture1/631216186PH/Shared Documents/Marketing/2026/PY16_Collateral/Workbooks/Lighting/2026/"/>
    </mc:Choice>
  </mc:AlternateContent>
  <xr:revisionPtr revIDLastSave="40" documentId="8_{67CD17F3-8E00-441F-BFF3-AB3ECB55573E}" xr6:coauthVersionLast="47" xr6:coauthVersionMax="47" xr10:uidLastSave="{191C7CB5-3B99-433C-9BF0-2052A2E3B8C4}"/>
  <workbookProtection workbookAlgorithmName="SHA-512" workbookHashValue="fdhwQUwL/9cXcgqApdee9PjqEOVaN/uqnXCFsKcwgHPWQBNEa/N7jelhjEONw5GvCeaw7ojXZyo9O63DOxrtww==" workbookSaltValue="T0FO88o4yCz2cfuAybQMFg==" workbookSpinCount="100000" lockStructure="1"/>
  <bookViews>
    <workbookView xWindow="-23148" yWindow="-108" windowWidth="23256" windowHeight="13896" xr2:uid="{4797124A-2326-4702-9E96-A93DD49653E8}"/>
  </bookViews>
  <sheets>
    <sheet name="Review the Intro Tab" sheetId="41" r:id="rId1"/>
    <sheet name="Fill in the Application" sheetId="37" r:id="rId2"/>
    <sheet name="Place Your Signature" sheetId="44" r:id="rId3"/>
    <sheet name="Input Prescr. Lighting Measures" sheetId="1" r:id="rId4"/>
    <sheet name="Input Custom Lighting Measures" sheetId="27" r:id="rId5"/>
    <sheet name="Input Lighting Control Measures" sheetId="46" r:id="rId6"/>
    <sheet name="Reference the Fixtures Table" sheetId="50" r:id="rId7"/>
    <sheet name="Review the Summary" sheetId="26" r:id="rId8"/>
    <sheet name="Completion" sheetId="52" state="hidden" r:id="rId9"/>
    <sheet name="References" sheetId="22" state="hidden" r:id="rId10"/>
    <sheet name="Fixture Codes" sheetId="42" state="hidden" r:id="rId11"/>
    <sheet name="Caps" sheetId="51" state="hidden" r:id="rId12"/>
    <sheet name="QC" sheetId="33" state="hidden" r:id="rId13"/>
    <sheet name="Proj Data" sheetId="53" state="hidden" r:id="rId14"/>
    <sheet name="APTracks Export Data" sheetId="28" state="hidden" r:id="rId15"/>
    <sheet name="Change Log" sheetId="54" state="hidden" r:id="rId16"/>
  </sheets>
  <externalReferences>
    <externalReference r:id="rId17"/>
    <externalReference r:id="rId18"/>
    <externalReference r:id="rId19"/>
    <externalReference r:id="rId20"/>
  </externalReferences>
  <definedNames>
    <definedName name="_xlnm._FilterDatabase" localSheetId="14" hidden="1">'APTracks Export Data'!$A$1:$P$502</definedName>
    <definedName name="Custom_Lights_Building_Type">References!$W$37:$W$39</definedName>
    <definedName name="Gross_Proj_Cost" localSheetId="15">[1]Summary!$C$11</definedName>
    <definedName name="Gross_Proj_Cost">'Review the Summary'!$C$8</definedName>
    <definedName name="HID_Type_LIST">References!$BJ$4:$BJ$6</definedName>
    <definedName name="HighTemp">[2]Lookups!$V$3:$V$4</definedName>
    <definedName name="Input_AvgkWhRate" localSheetId="15">'[2]Fillable application &amp; instruct'!$F$20</definedName>
    <definedName name="Input_AvgkWhRate">'Fill in the Application'!$F$27</definedName>
    <definedName name="Input_BldgType" localSheetId="15">'[2]Fillable application &amp; instruct'!$F$21</definedName>
    <definedName name="Input_BldgType">'Fill in the Application'!$F$28</definedName>
    <definedName name="Input_Bonus">Caps!$L$5</definedName>
    <definedName name="Input_BonusMeasureNumber" localSheetId="15">[2]QC!$G$19</definedName>
    <definedName name="Input_BonusMeasureNumber">Caps!$M$5</definedName>
    <definedName name="Input_HVACType">'Fill in the Application'!$F$29</definedName>
    <definedName name="Input_ProgramType" localSheetId="15">'[2]Fillable application &amp; instruct'!$F$23</definedName>
    <definedName name="Input_ProgramType">'Fill in the Application'!$F$10</definedName>
    <definedName name="Input_ProjectNumber" localSheetId="15">[2]QC!$B$1</definedName>
    <definedName name="Input_ProjectNumber">QC!$B$1</definedName>
    <definedName name="Input_Usage" localSheetId="15">[2]QC!$B$2</definedName>
    <definedName name="Input_Usage">QC!$B$2</definedName>
    <definedName name="List_ACUnitMeasures">[2]Lookups!$J$48:$J$52</definedName>
    <definedName name="List_Biz_Class" localSheetId="15">[1]References!$Z$4:$Z$10</definedName>
    <definedName name="List_Biz_Class">References!$AR$4:$AR$10</definedName>
    <definedName name="List_Bldg_Types" localSheetId="15">[1]References!$AH$4:$AH$36</definedName>
    <definedName name="List_Bldg_Types">Table_Bldg_Type[List_Bldg_Types]</definedName>
    <definedName name="List_BldgTypes">[2]Lookups!$J$14:$J$25</definedName>
    <definedName name="List_Cert_Body">References!$BO$4:$BO$5</definedName>
    <definedName name="List_ComKitch_Measure">[1]References!$AP$4:$AP$10</definedName>
    <definedName name="List_Contacts" localSheetId="15">[1]References!$AK$4:$AK$7</definedName>
    <definedName name="List_Contacts">References!$BA$4:$BA$7</definedName>
    <definedName name="List_Control_Measure">References!$BU$4:$BU$13</definedName>
    <definedName name="List_Control_Types">Table_Control_PAF[List_Control_Types]</definedName>
    <definedName name="List_ConvectionOven">[2]Lookups!$V$7:$V$8</definedName>
    <definedName name="List_CurtainType">[2]Lookups!$T$31:$T$37</definedName>
    <definedName name="List_Custom_Class">[1]References!$AW$4:$AW$41</definedName>
    <definedName name="List_Custom_HVAC">[1]References!$AX$4:$AX$6</definedName>
    <definedName name="List_Custom_Type">[1]References!$AV$4:$AV$6</definedName>
    <definedName name="List_CustomClass">[2]Lookups!$AA$7:$AA$16</definedName>
    <definedName name="List_CustomTypes">[2]Lookups!$AA$3:$AA$4</definedName>
    <definedName name="List_DBE_Option" localSheetId="15">[1]References!$AD$4:$AD$14</definedName>
    <definedName name="List_DBE_Option">References!$AV$4:$AV$14</definedName>
    <definedName name="List_EffWindow_Direction">[1]References!$AU$4:$AU$7</definedName>
    <definedName name="List_EffWindow_Measure">[1]References!$AR$4:$AR$5</definedName>
    <definedName name="List_Exit_Type">References!$BH$4:$BH$7</definedName>
    <definedName name="List_Ext_Prescript_Measure">References!$BT$4:$BT$24</definedName>
    <definedName name="List_Gen_Replace_Option">References!$BK$4:$BK$5</definedName>
    <definedName name="List_HID_Type">References!$BJ$4:$BJ$7</definedName>
    <definedName name="List_Hours">References!$BQ$4:$BQ$5</definedName>
    <definedName name="List_HPUnitMeasures">[2]Lookups!$J$55:$J$59</definedName>
    <definedName name="List_HVAC" localSheetId="15">[1]References!$AI$4:$AI$10</definedName>
    <definedName name="List_HVAC">Table_Bldg_IEFD_IEFC[List_HVAC]</definedName>
    <definedName name="List_HVAC_Measure">[1]References!$AN$4:$AN$13</definedName>
    <definedName name="List_HVACTypes">[2]Lookups!$B$58:$B$64</definedName>
    <definedName name="List_In_Out">References!$BN$4:$BN$5</definedName>
    <definedName name="List_Install_Type" localSheetId="15">[1]References!$AF$4:$AF$7</definedName>
    <definedName name="List_Install_Type">References!$AX$4:$AX$7</definedName>
    <definedName name="List_Int_Prescript_Measure">References!$BS$4:$BS$22</definedName>
    <definedName name="List_LampsperFixture">References!$BM$4:$BM$12</definedName>
    <definedName name="List_Light_Type">Table_Custom_Measure_No[List_Light_Type]</definedName>
    <definedName name="List_LowFlowBldgTypes">[2]Lookups!$Y$3:$Y$10</definedName>
    <definedName name="List_Misc_Measure">[1]References!$AS$4:$AS$7</definedName>
    <definedName name="List_Ownership">References!$AY$4:$AY$5</definedName>
    <definedName name="List_PC">'[2]Savings Lookups'!$AE$11:$AE$13</definedName>
    <definedName name="List_Program_Names" localSheetId="15">[1]!Table_Programs_Rates[List_Programs]</definedName>
    <definedName name="List_Program_Names">Table_Programs_Rates[List_Program_Names]</definedName>
    <definedName name="List_ProgramNames">[2]Lookups!$B$3:$B$4</definedName>
    <definedName name="List_Project_Stage" localSheetId="15">[1]References!$AE$4:$AE$5</definedName>
    <definedName name="List_Project_Stage">References!$AW$4:$AW$5</definedName>
    <definedName name="List_Project_Type">References!$BR$4:$BR$5</definedName>
    <definedName name="List_ProjectStage">[2]Lookups!$B$54:$B$55</definedName>
    <definedName name="List_PRSV">[2]Lookups!$Y$13:$Y$18</definedName>
    <definedName name="List_Refrig_Measure">[1]References!$AO$4:$AO$18</definedName>
    <definedName name="List_Refrigeration">[2]Lookups!$T$3:$T$4</definedName>
    <definedName name="List_RefrSizes">[2]Lookups!$T$21:$T$24</definedName>
    <definedName name="List_Screw_In_Type">References!$BI$4:$BI$4</definedName>
    <definedName name="List_Showerhead">[2]Lookups!$Y$21:$Y$26</definedName>
    <definedName name="List_Source" localSheetId="15">[1]References!$AL$4:$AL$13</definedName>
    <definedName name="List_Source">References!$BB$4:$BB$13</definedName>
    <definedName name="List_Special_AOHs">Table_Bdg_Indep_AOH[List_Special_AOHs]</definedName>
    <definedName name="List_StripCurtainBaseline">[2]Lookups!$T$40:$T$42</definedName>
    <definedName name="List_T5HO_Type">References!$BD$4:$BD$5</definedName>
    <definedName name="List_T8HO_T12HO_Type">References!$BF$4:$BF$7</definedName>
    <definedName name="List_T8T12_Type">References!$BE$4:$BE$9</definedName>
    <definedName name="List_Tax_Entity" localSheetId="15">[1]References!$AA$4:$AA$9</definedName>
    <definedName name="List_Tax_Entity">References!$AS$4:$AS$9</definedName>
    <definedName name="List_UT8_UT12_Type">References!$BG$4:$BG$9</definedName>
    <definedName name="List_Water_Heating" localSheetId="15">[1]References!$AJ$4:$AJ$10</definedName>
    <definedName name="List_Water_Heating">References!$AZ$4:$AZ$10</definedName>
    <definedName name="List_WinFilm_Direction">[1]References!$AT$4:$AT$6</definedName>
    <definedName name="List_WinFilm_Measure">[1]References!$AQ$4:$AQ$6</definedName>
    <definedName name="List_Y_N">References!$AU$4:$AU$5</definedName>
    <definedName name="List_Y_N_U" localSheetId="15">[1]References!$AB$4:$AB$6</definedName>
    <definedName name="List_Y_N_U">References!$AT$4:$AT$6</definedName>
    <definedName name="Net_Project_Cost" localSheetId="15">[1]Summary!$E$11</definedName>
    <definedName name="Net_Project_Cost">'Review the Summary'!$E$8</definedName>
    <definedName name="ProgramNumber">[3]Library!$R$3</definedName>
    <definedName name="Project_Energy_Savings" localSheetId="15">[1]Summary!$F$11</definedName>
    <definedName name="Project_Energy_Savings">'Review the Summary'!$F$8</definedName>
    <definedName name="Replace_Option_LIST">References!$BK$4:$BK$12</definedName>
    <definedName name="Screw_In_Type_LIST">References!$BI$4:$BI$11</definedName>
    <definedName name="Subtotal_Bonus">[2]Summary!#REF!</definedName>
    <definedName name="Subtotal_CustomIncentive" localSheetId="15">[2]QC!$C$19</definedName>
    <definedName name="Subtotal_CustomIncentive">QC!#REF!</definedName>
    <definedName name="Subtotal_Incentive">[2]QC!$D$19</definedName>
    <definedName name="Subtotal_OtherCosts" localSheetId="15">SUM([1]Summary!#REF!)</definedName>
    <definedName name="Subtotal_OtherCosts">SUM('Review the Summary'!#REF!)</definedName>
    <definedName name="Subtotal_PrescriptiveIncentive">[2]QC!$B$19</definedName>
    <definedName name="Table_ACHPFactors">[2]Lookups!$J$3:$R$11</definedName>
    <definedName name="Table_ACTU">'[2]Savings Lookups'!$B$23:$F$25</definedName>
    <definedName name="Table_ACTUFactors">[2]Lookups!$J$27:$P$30</definedName>
    <definedName name="Table_Aerators">'[2]Savings Lookups'!$U$2:$W$10</definedName>
    <definedName name="Table_APS">'[2]Savings Lookups'!$AE$6:$AH$8</definedName>
    <definedName name="Table_ASHC">'[2]Savings Lookups'!$H$11:$J$14</definedName>
    <definedName name="Table_ChillerFactors">[2]Lookups!$J$33:$P$43</definedName>
    <definedName name="Table_Chillers">'[2]Savings Lookups'!$B$30:$D$39</definedName>
    <definedName name="Table_CombinationOven">'[2]Savings Lookups'!$N$33:$P$35</definedName>
    <definedName name="Table_ConvectionOven">'[2]Savings Lookups'!$N$28:$P$30</definedName>
    <definedName name="Table_CustomMeasureNames">[2]Lookups!$AC$2:$AD$111</definedName>
    <definedName name="Table_Dishwashers">'[2]Savings Lookups'!$N$2:$S$25</definedName>
    <definedName name="Table_DuctSealing">'[2]Savings Lookups'!$B$47:$D$48</definedName>
    <definedName name="Table_ECMHVACFan">'[2]Savings Lookups'!$B$42:$D$42</definedName>
    <definedName name="Table_ECMRefrFan">'[2]Savings Lookups'!$H$2:$J$4</definedName>
    <definedName name="Table_EFLH">[2]Lookups!$J$13:$M$25</definedName>
    <definedName name="Table_ESRefrigerators">'[2]Savings Lookups'!$H$27:$L$35</definedName>
    <definedName name="Table_EvapFanControls">'[2]Savings Lookups'!$H$6:$J$9</definedName>
    <definedName name="Table_GREM">'[2]Savings Lookups'!$B$44:$D$45</definedName>
    <definedName name="Table_IceMaker">'[2]Savings Lookups'!$N$44:$P$50</definedName>
    <definedName name="Table_Measures">[2]Lookups!$B$6:$G$51</definedName>
    <definedName name="Table_NightCovers">'[2]Savings Lookups'!$H$16:$J$25</definedName>
    <definedName name="Table_PCPowerMgmt">'[2]Savings Lookups'!$AE$10:$AG$13</definedName>
    <definedName name="Table_PRSV">'[2]Savings Lookups'!$U$43:$W$49</definedName>
    <definedName name="Table_RTUFactors">[2]Lookups!$J$3:$M$11</definedName>
    <definedName name="Table_Showerhead">'[2]Savings Lookups'!$U$78:$W$84</definedName>
    <definedName name="Table_SteamCooker">'[2]Savings Lookups'!$N$37:$P$41</definedName>
    <definedName name="Table_StripCurtains">'[2]Savings Lookups'!$H$37:$L$58</definedName>
    <definedName name="test">[4]References!$B$8</definedName>
    <definedName name="Total_Incentive" localSheetId="15">[1]Summary!$D$11</definedName>
    <definedName name="Total_Incentive">'Review the Summary'!$D$8</definedName>
    <definedName name="Total_ProjectCost">[2]Summary!$C$12</definedName>
    <definedName name="Value_Application_Version" localSheetId="15">[1]References!$B$8</definedName>
    <definedName name="Value_Application_Version">References!$B$9</definedName>
    <definedName name="Value_Bonus_Rate">References!$B$10</definedName>
    <definedName name="Value_CalcVersion">'[2]Fillable application &amp; instruct'!$J$17</definedName>
    <definedName name="Value_Cus_IncentRate">[1]References!$B$6</definedName>
    <definedName name="Value_Custom_IncentRate">References!$B$12</definedName>
    <definedName name="Value_ExitSign_BaselineW">25.1</definedName>
    <definedName name="Value_ExitSign_LEDW">3</definedName>
    <definedName name="Value_FastTrack_Limit">References!$B$5</definedName>
    <definedName name="Value_LC_IncentRate">References!$B$7</definedName>
    <definedName name="Value_LtgControls_CF">0.26</definedName>
    <definedName name="Value_Max_Incentive">[2]QC!$G$21</definedName>
    <definedName name="Value_Measure_CAP">References!$B$4</definedName>
    <definedName name="Value_Project_CAP" localSheetId="15">[1]References!$B$3</definedName>
    <definedName name="Value_Project_CAP">References!$B$3</definedName>
    <definedName name="Value_SC_IncentRate">References!$B$6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44" l="1"/>
  <c r="BT20" i="22"/>
  <c r="BS10" i="22"/>
  <c r="Y11" i="1" l="1"/>
  <c r="BS21" i="22"/>
  <c r="BS22" i="22"/>
  <c r="BT18" i="22"/>
  <c r="BT19" i="22"/>
  <c r="BT21" i="22"/>
  <c r="BT22" i="22"/>
  <c r="BT23" i="22"/>
  <c r="BT24" i="22"/>
  <c r="BT5" i="22"/>
  <c r="BT6" i="22"/>
  <c r="BT7" i="22"/>
  <c r="BT8" i="22"/>
  <c r="BT9" i="22"/>
  <c r="BT10" i="22"/>
  <c r="BT11" i="22"/>
  <c r="BT12" i="22"/>
  <c r="BT13" i="22"/>
  <c r="BT14" i="22"/>
  <c r="BT15" i="22"/>
  <c r="BT16" i="22"/>
  <c r="BT17" i="22"/>
  <c r="BT4" i="22"/>
  <c r="BS18" i="22"/>
  <c r="BS19" i="22"/>
  <c r="BS20" i="22"/>
  <c r="BS5" i="22"/>
  <c r="BS6" i="22"/>
  <c r="BS7" i="22"/>
  <c r="BS8" i="22"/>
  <c r="BS9" i="22"/>
  <c r="BS11" i="22"/>
  <c r="BS12" i="22"/>
  <c r="BS13" i="22"/>
  <c r="BS14" i="22"/>
  <c r="BS15" i="22"/>
  <c r="BS16" i="22"/>
  <c r="BS17" i="22"/>
  <c r="BS4" i="22"/>
  <c r="B28" i="41"/>
  <c r="C13" i="26" l="1"/>
  <c r="C12" i="26"/>
  <c r="C11" i="26"/>
  <c r="AB5" i="22"/>
  <c r="AB7" i="22"/>
  <c r="AP5" i="22" l="1"/>
  <c r="AP4" i="22"/>
  <c r="J4" i="22"/>
  <c r="B6" i="22"/>
  <c r="B7" i="22"/>
  <c r="D29" i="52" l="1"/>
  <c r="D28" i="52"/>
  <c r="D30" i="52" s="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01" i="1"/>
  <c r="V102" i="1"/>
  <c r="V103" i="1"/>
  <c r="V104" i="1"/>
  <c r="V105" i="1"/>
  <c r="V106" i="1"/>
  <c r="V107" i="1"/>
  <c r="V108" i="1"/>
  <c r="V109" i="1"/>
  <c r="V110" i="1"/>
  <c r="V111" i="1"/>
  <c r="V112" i="1"/>
  <c r="V113" i="1"/>
  <c r="V114" i="1"/>
  <c r="V115" i="1"/>
  <c r="V116" i="1"/>
  <c r="V117" i="1"/>
  <c r="V118" i="1"/>
  <c r="V119" i="1"/>
  <c r="V120" i="1"/>
  <c r="V121" i="1"/>
  <c r="V122" i="1"/>
  <c r="V123" i="1"/>
  <c r="V124" i="1"/>
  <c r="V125" i="1"/>
  <c r="V126" i="1"/>
  <c r="V127" i="1"/>
  <c r="V128" i="1"/>
  <c r="V129" i="1"/>
  <c r="V130" i="1"/>
  <c r="V131" i="1"/>
  <c r="V132" i="1"/>
  <c r="V133" i="1"/>
  <c r="V134" i="1"/>
  <c r="V135" i="1"/>
  <c r="V136" i="1"/>
  <c r="V137" i="1"/>
  <c r="V138" i="1"/>
  <c r="V139" i="1"/>
  <c r="V140" i="1"/>
  <c r="V141" i="1"/>
  <c r="V142" i="1"/>
  <c r="V143" i="1"/>
  <c r="V144" i="1"/>
  <c r="V145" i="1"/>
  <c r="V146" i="1"/>
  <c r="V147" i="1"/>
  <c r="V148" i="1"/>
  <c r="V149" i="1"/>
  <c r="V150" i="1"/>
  <c r="V151" i="1"/>
  <c r="V152" i="1"/>
  <c r="V153" i="1"/>
  <c r="V154" i="1"/>
  <c r="V155" i="1"/>
  <c r="V156" i="1"/>
  <c r="V157" i="1"/>
  <c r="V158" i="1"/>
  <c r="V159" i="1"/>
  <c r="V160" i="1"/>
  <c r="V161" i="1"/>
  <c r="V162" i="1"/>
  <c r="V163" i="1"/>
  <c r="V164" i="1"/>
  <c r="V165" i="1"/>
  <c r="V166" i="1"/>
  <c r="V167" i="1"/>
  <c r="V168" i="1"/>
  <c r="V169" i="1"/>
  <c r="V170" i="1"/>
  <c r="V171" i="1"/>
  <c r="V172" i="1"/>
  <c r="V173" i="1"/>
  <c r="V174" i="1"/>
  <c r="V175" i="1"/>
  <c r="V176" i="1"/>
  <c r="V177" i="1"/>
  <c r="V178" i="1"/>
  <c r="V179" i="1"/>
  <c r="V180" i="1"/>
  <c r="V181" i="1"/>
  <c r="V182" i="1"/>
  <c r="V183" i="1"/>
  <c r="V184" i="1"/>
  <c r="V185" i="1"/>
  <c r="V186" i="1"/>
  <c r="V187" i="1"/>
  <c r="V188" i="1"/>
  <c r="V189" i="1"/>
  <c r="V190" i="1"/>
  <c r="V191" i="1"/>
  <c r="V192" i="1"/>
  <c r="V193" i="1"/>
  <c r="V194" i="1"/>
  <c r="V195" i="1"/>
  <c r="V196" i="1"/>
  <c r="V197" i="1"/>
  <c r="V198" i="1"/>
  <c r="V199" i="1"/>
  <c r="V200" i="1"/>
  <c r="V201" i="1"/>
  <c r="V202" i="1"/>
  <c r="V203" i="1"/>
  <c r="V204" i="1"/>
  <c r="C5" i="1"/>
  <c r="C6" i="1"/>
  <c r="C7" i="1"/>
  <c r="G7" i="1" s="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AN5" i="1"/>
  <c r="AN6" i="1"/>
  <c r="AN7" i="1"/>
  <c r="AN8" i="1"/>
  <c r="AN9" i="1"/>
  <c r="AN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10" i="1"/>
  <c r="AN111" i="1"/>
  <c r="AN112" i="1"/>
  <c r="AN113" i="1"/>
  <c r="AN114" i="1"/>
  <c r="AN115" i="1"/>
  <c r="AN116" i="1"/>
  <c r="AN117" i="1"/>
  <c r="AN118" i="1"/>
  <c r="AN119" i="1"/>
  <c r="AN120" i="1"/>
  <c r="AN121" i="1"/>
  <c r="AN122" i="1"/>
  <c r="AN123" i="1"/>
  <c r="AN124" i="1"/>
  <c r="AN125" i="1"/>
  <c r="AN126" i="1"/>
  <c r="AN127" i="1"/>
  <c r="AN128" i="1"/>
  <c r="AN129" i="1"/>
  <c r="AN130" i="1"/>
  <c r="AN131" i="1"/>
  <c r="AN132" i="1"/>
  <c r="AN133" i="1"/>
  <c r="AN134" i="1"/>
  <c r="AN135" i="1"/>
  <c r="AN136" i="1"/>
  <c r="AN137" i="1"/>
  <c r="AN138" i="1"/>
  <c r="AN139" i="1"/>
  <c r="AN140" i="1"/>
  <c r="AN141" i="1"/>
  <c r="AN142" i="1"/>
  <c r="AN143" i="1"/>
  <c r="AN144" i="1"/>
  <c r="AN145" i="1"/>
  <c r="AN146" i="1"/>
  <c r="AN147" i="1"/>
  <c r="AN148" i="1"/>
  <c r="AN149" i="1"/>
  <c r="AN150" i="1"/>
  <c r="AN151" i="1"/>
  <c r="AN152" i="1"/>
  <c r="AN153" i="1"/>
  <c r="AN154" i="1"/>
  <c r="AN155" i="1"/>
  <c r="AN156" i="1"/>
  <c r="AN157" i="1"/>
  <c r="AN158" i="1"/>
  <c r="AN159" i="1"/>
  <c r="AN160" i="1"/>
  <c r="AN161" i="1"/>
  <c r="AN162" i="1"/>
  <c r="AN163" i="1"/>
  <c r="AN164" i="1"/>
  <c r="AN165" i="1"/>
  <c r="AN166" i="1"/>
  <c r="AN167" i="1"/>
  <c r="AN168" i="1"/>
  <c r="AN169" i="1"/>
  <c r="AN170" i="1"/>
  <c r="AN171" i="1"/>
  <c r="AN172" i="1"/>
  <c r="AN173" i="1"/>
  <c r="AN174" i="1"/>
  <c r="AN175" i="1"/>
  <c r="AN176" i="1"/>
  <c r="AN177" i="1"/>
  <c r="AN178" i="1"/>
  <c r="AN179" i="1"/>
  <c r="AN180" i="1"/>
  <c r="AN181" i="1"/>
  <c r="AN182" i="1"/>
  <c r="AN183" i="1"/>
  <c r="AN184" i="1"/>
  <c r="AN185" i="1"/>
  <c r="AN186" i="1"/>
  <c r="AN187" i="1"/>
  <c r="AN188" i="1"/>
  <c r="AN189" i="1"/>
  <c r="AN190" i="1"/>
  <c r="AN191" i="1"/>
  <c r="AN192" i="1"/>
  <c r="AN193" i="1"/>
  <c r="AN194" i="1"/>
  <c r="AN195" i="1"/>
  <c r="AN196" i="1"/>
  <c r="AN197" i="1"/>
  <c r="AN198" i="1"/>
  <c r="AN199" i="1"/>
  <c r="AN200" i="1"/>
  <c r="AN201" i="1"/>
  <c r="AN202" i="1"/>
  <c r="AN203" i="1"/>
  <c r="AN204" i="1"/>
  <c r="AL5" i="1"/>
  <c r="AL6" i="1"/>
  <c r="AL7" i="1"/>
  <c r="AL8" i="1"/>
  <c r="AL9" i="1"/>
  <c r="AL10" i="1"/>
  <c r="AL11" i="1"/>
  <c r="AL12" i="1"/>
  <c r="AL13" i="1"/>
  <c r="AL14" i="1"/>
  <c r="AL15" i="1"/>
  <c r="AL16" i="1"/>
  <c r="AL17" i="1"/>
  <c r="AL18" i="1"/>
  <c r="AL19" i="1"/>
  <c r="AL20" i="1"/>
  <c r="AL21" i="1"/>
  <c r="AL22" i="1"/>
  <c r="AL23" i="1"/>
  <c r="AL24" i="1"/>
  <c r="AL25" i="1"/>
  <c r="AL26" i="1"/>
  <c r="AL27" i="1"/>
  <c r="AL28" i="1"/>
  <c r="AL29" i="1"/>
  <c r="AL30" i="1"/>
  <c r="AL31" i="1"/>
  <c r="AL32" i="1"/>
  <c r="AL33" i="1"/>
  <c r="AL34" i="1"/>
  <c r="AL35" i="1"/>
  <c r="AL36" i="1"/>
  <c r="AL37" i="1"/>
  <c r="AL38" i="1"/>
  <c r="AL39" i="1"/>
  <c r="AL40" i="1"/>
  <c r="AL41" i="1"/>
  <c r="AL42" i="1"/>
  <c r="AL43" i="1"/>
  <c r="AL44" i="1"/>
  <c r="AL45" i="1"/>
  <c r="AL46" i="1"/>
  <c r="AL47" i="1"/>
  <c r="AL48" i="1"/>
  <c r="AL49" i="1"/>
  <c r="AL50" i="1"/>
  <c r="AL51" i="1"/>
  <c r="AL52" i="1"/>
  <c r="AL53" i="1"/>
  <c r="AL54" i="1"/>
  <c r="AL55" i="1"/>
  <c r="AL56" i="1"/>
  <c r="AL57" i="1"/>
  <c r="AL58" i="1"/>
  <c r="AL59" i="1"/>
  <c r="AL60" i="1"/>
  <c r="AL61" i="1"/>
  <c r="AL62" i="1"/>
  <c r="AL63" i="1"/>
  <c r="AL64" i="1"/>
  <c r="AL65" i="1"/>
  <c r="AL66" i="1"/>
  <c r="AL67" i="1"/>
  <c r="AL68" i="1"/>
  <c r="AL69" i="1"/>
  <c r="AL70" i="1"/>
  <c r="AL71" i="1"/>
  <c r="AL72" i="1"/>
  <c r="AL73" i="1"/>
  <c r="AL74" i="1"/>
  <c r="AL75" i="1"/>
  <c r="AL76" i="1"/>
  <c r="AL77" i="1"/>
  <c r="AL78" i="1"/>
  <c r="AL79" i="1"/>
  <c r="AL80" i="1"/>
  <c r="AL81" i="1"/>
  <c r="AL82" i="1"/>
  <c r="AL83" i="1"/>
  <c r="AL84" i="1"/>
  <c r="AL85" i="1"/>
  <c r="AL86" i="1"/>
  <c r="AL87" i="1"/>
  <c r="AL88" i="1"/>
  <c r="AL89" i="1"/>
  <c r="AL90" i="1"/>
  <c r="AL91" i="1"/>
  <c r="AL92" i="1"/>
  <c r="AL93" i="1"/>
  <c r="AL94" i="1"/>
  <c r="AL95" i="1"/>
  <c r="AL96" i="1"/>
  <c r="AL97" i="1"/>
  <c r="AL98" i="1"/>
  <c r="AL99" i="1"/>
  <c r="AL100" i="1"/>
  <c r="AL101" i="1"/>
  <c r="AL102" i="1"/>
  <c r="AL103" i="1"/>
  <c r="AL104" i="1"/>
  <c r="AL105" i="1"/>
  <c r="AL106" i="1"/>
  <c r="AL107" i="1"/>
  <c r="AL108" i="1"/>
  <c r="AL109" i="1"/>
  <c r="AL110" i="1"/>
  <c r="AL111" i="1"/>
  <c r="AL112" i="1"/>
  <c r="AL113" i="1"/>
  <c r="AL114" i="1"/>
  <c r="AL115" i="1"/>
  <c r="AL116" i="1"/>
  <c r="AL117" i="1"/>
  <c r="AL118" i="1"/>
  <c r="AL119" i="1"/>
  <c r="AL120" i="1"/>
  <c r="AL121" i="1"/>
  <c r="AL122" i="1"/>
  <c r="AL123" i="1"/>
  <c r="AL124" i="1"/>
  <c r="AL125" i="1"/>
  <c r="AL126" i="1"/>
  <c r="AL127" i="1"/>
  <c r="AL128" i="1"/>
  <c r="AL129" i="1"/>
  <c r="AL130" i="1"/>
  <c r="AL131" i="1"/>
  <c r="AL132" i="1"/>
  <c r="AL133" i="1"/>
  <c r="AL134" i="1"/>
  <c r="AL135" i="1"/>
  <c r="AL136" i="1"/>
  <c r="AL137" i="1"/>
  <c r="AL138" i="1"/>
  <c r="AL139" i="1"/>
  <c r="AL140" i="1"/>
  <c r="AL141" i="1"/>
  <c r="AL142" i="1"/>
  <c r="AL143" i="1"/>
  <c r="AL144" i="1"/>
  <c r="AL145" i="1"/>
  <c r="AL146" i="1"/>
  <c r="AL147" i="1"/>
  <c r="AL148" i="1"/>
  <c r="AL149" i="1"/>
  <c r="AL150" i="1"/>
  <c r="AL151" i="1"/>
  <c r="AL152" i="1"/>
  <c r="AL153" i="1"/>
  <c r="AL154" i="1"/>
  <c r="AL155" i="1"/>
  <c r="AL156" i="1"/>
  <c r="AL157" i="1"/>
  <c r="AL158" i="1"/>
  <c r="AL159" i="1"/>
  <c r="AL160" i="1"/>
  <c r="AL161" i="1"/>
  <c r="AL162" i="1"/>
  <c r="AL163" i="1"/>
  <c r="AL164" i="1"/>
  <c r="AL165" i="1"/>
  <c r="AL166" i="1"/>
  <c r="AL167" i="1"/>
  <c r="AL168" i="1"/>
  <c r="AL169" i="1"/>
  <c r="AL170" i="1"/>
  <c r="AL171" i="1"/>
  <c r="AL172" i="1"/>
  <c r="AL173" i="1"/>
  <c r="AL174" i="1"/>
  <c r="AL175" i="1"/>
  <c r="AL176" i="1"/>
  <c r="AL177" i="1"/>
  <c r="AL178" i="1"/>
  <c r="AL179" i="1"/>
  <c r="AL180" i="1"/>
  <c r="AL181" i="1"/>
  <c r="AL182" i="1"/>
  <c r="AL183" i="1"/>
  <c r="AL184" i="1"/>
  <c r="AL185" i="1"/>
  <c r="AL186" i="1"/>
  <c r="AL187" i="1"/>
  <c r="AL188" i="1"/>
  <c r="AL189" i="1"/>
  <c r="AL190" i="1"/>
  <c r="AL191" i="1"/>
  <c r="AL192" i="1"/>
  <c r="AL193" i="1"/>
  <c r="AL194" i="1"/>
  <c r="AL195" i="1"/>
  <c r="AL196" i="1"/>
  <c r="AL197" i="1"/>
  <c r="AL198" i="1"/>
  <c r="AL199" i="1"/>
  <c r="AL200" i="1"/>
  <c r="AL201" i="1"/>
  <c r="AL202" i="1"/>
  <c r="AL203" i="1"/>
  <c r="AL204" i="1"/>
  <c r="AK5" i="1"/>
  <c r="AK6" i="1"/>
  <c r="AK7" i="1"/>
  <c r="AK8" i="1"/>
  <c r="AK9" i="1"/>
  <c r="AK10" i="1"/>
  <c r="AK11" i="1"/>
  <c r="AK12" i="1"/>
  <c r="AK13" i="1"/>
  <c r="AK14" i="1"/>
  <c r="AK15" i="1"/>
  <c r="AK16" i="1"/>
  <c r="AK17" i="1"/>
  <c r="AK18" i="1"/>
  <c r="AK19" i="1"/>
  <c r="AK20" i="1"/>
  <c r="AK21" i="1"/>
  <c r="AK22" i="1"/>
  <c r="AK23" i="1"/>
  <c r="AK24" i="1"/>
  <c r="AK25" i="1"/>
  <c r="AK26" i="1"/>
  <c r="AK27" i="1"/>
  <c r="AK28" i="1"/>
  <c r="AK29" i="1"/>
  <c r="AK30" i="1"/>
  <c r="AK31" i="1"/>
  <c r="AK32" i="1"/>
  <c r="AK33" i="1"/>
  <c r="AK34" i="1"/>
  <c r="AK35" i="1"/>
  <c r="AK36" i="1"/>
  <c r="AK37" i="1"/>
  <c r="AK38" i="1"/>
  <c r="AK39" i="1"/>
  <c r="AK40" i="1"/>
  <c r="AK41" i="1"/>
  <c r="AK42" i="1"/>
  <c r="AK43" i="1"/>
  <c r="AK44" i="1"/>
  <c r="AK45" i="1"/>
  <c r="AK46" i="1"/>
  <c r="AK47" i="1"/>
  <c r="AK48" i="1"/>
  <c r="AK49" i="1"/>
  <c r="AK50" i="1"/>
  <c r="AK51" i="1"/>
  <c r="AK52" i="1"/>
  <c r="AK53" i="1"/>
  <c r="AK54" i="1"/>
  <c r="AK55" i="1"/>
  <c r="AK56" i="1"/>
  <c r="AK57" i="1"/>
  <c r="AK58" i="1"/>
  <c r="AK59" i="1"/>
  <c r="AK60" i="1"/>
  <c r="AK61" i="1"/>
  <c r="AK62" i="1"/>
  <c r="AK63" i="1"/>
  <c r="AK64" i="1"/>
  <c r="AK65" i="1"/>
  <c r="AK66" i="1"/>
  <c r="AK67" i="1"/>
  <c r="AK68" i="1"/>
  <c r="AK69" i="1"/>
  <c r="AK70" i="1"/>
  <c r="AK71" i="1"/>
  <c r="AK72" i="1"/>
  <c r="AK73" i="1"/>
  <c r="AK74" i="1"/>
  <c r="AK75" i="1"/>
  <c r="AK76" i="1"/>
  <c r="AK77" i="1"/>
  <c r="AK78" i="1"/>
  <c r="AK79" i="1"/>
  <c r="AK80" i="1"/>
  <c r="AK81" i="1"/>
  <c r="AK82" i="1"/>
  <c r="AK83" i="1"/>
  <c r="AK84" i="1"/>
  <c r="AK85" i="1"/>
  <c r="AK86" i="1"/>
  <c r="AK87" i="1"/>
  <c r="AK88" i="1"/>
  <c r="AK89" i="1"/>
  <c r="AK90" i="1"/>
  <c r="AK91" i="1"/>
  <c r="AK92" i="1"/>
  <c r="AK93" i="1"/>
  <c r="AK94" i="1"/>
  <c r="AK95" i="1"/>
  <c r="AK96" i="1"/>
  <c r="AK97" i="1"/>
  <c r="AK98" i="1"/>
  <c r="AK99" i="1"/>
  <c r="AK100" i="1"/>
  <c r="AK101" i="1"/>
  <c r="AK102" i="1"/>
  <c r="AK103" i="1"/>
  <c r="AK104" i="1"/>
  <c r="AK105" i="1"/>
  <c r="AK106" i="1"/>
  <c r="AK107" i="1"/>
  <c r="AK108" i="1"/>
  <c r="AK109" i="1"/>
  <c r="AK110" i="1"/>
  <c r="AK111" i="1"/>
  <c r="AK112" i="1"/>
  <c r="AK113" i="1"/>
  <c r="AK114" i="1"/>
  <c r="AK115" i="1"/>
  <c r="AK116" i="1"/>
  <c r="AK117" i="1"/>
  <c r="AK118" i="1"/>
  <c r="AK119" i="1"/>
  <c r="AK120" i="1"/>
  <c r="AK121" i="1"/>
  <c r="AK122" i="1"/>
  <c r="AK123" i="1"/>
  <c r="AK124" i="1"/>
  <c r="AK125" i="1"/>
  <c r="AK126" i="1"/>
  <c r="AK127" i="1"/>
  <c r="AK128" i="1"/>
  <c r="AK129" i="1"/>
  <c r="AK130" i="1"/>
  <c r="AK131" i="1"/>
  <c r="AK132" i="1"/>
  <c r="AK133" i="1"/>
  <c r="AK134" i="1"/>
  <c r="AK135" i="1"/>
  <c r="AK136" i="1"/>
  <c r="AK137" i="1"/>
  <c r="AK138" i="1"/>
  <c r="AK139" i="1"/>
  <c r="AK140" i="1"/>
  <c r="AK141" i="1"/>
  <c r="AK142" i="1"/>
  <c r="AK143" i="1"/>
  <c r="AK144" i="1"/>
  <c r="AK145" i="1"/>
  <c r="AK146" i="1"/>
  <c r="AK147" i="1"/>
  <c r="AK148" i="1"/>
  <c r="AK149" i="1"/>
  <c r="AK150" i="1"/>
  <c r="AK151" i="1"/>
  <c r="AK152" i="1"/>
  <c r="AK153" i="1"/>
  <c r="AK154" i="1"/>
  <c r="AK155" i="1"/>
  <c r="AK156" i="1"/>
  <c r="AK157" i="1"/>
  <c r="AK158" i="1"/>
  <c r="AK159" i="1"/>
  <c r="AK160" i="1"/>
  <c r="AK161" i="1"/>
  <c r="AK162" i="1"/>
  <c r="AK163" i="1"/>
  <c r="AK164" i="1"/>
  <c r="AK165" i="1"/>
  <c r="AK166" i="1"/>
  <c r="AK167" i="1"/>
  <c r="AK168" i="1"/>
  <c r="AK169" i="1"/>
  <c r="AK170" i="1"/>
  <c r="AK171" i="1"/>
  <c r="AK172" i="1"/>
  <c r="AK173" i="1"/>
  <c r="AK174" i="1"/>
  <c r="AK175" i="1"/>
  <c r="AK176" i="1"/>
  <c r="AK177" i="1"/>
  <c r="AK178" i="1"/>
  <c r="AK179" i="1"/>
  <c r="AK180" i="1"/>
  <c r="AK181" i="1"/>
  <c r="AK182" i="1"/>
  <c r="AK183" i="1"/>
  <c r="AK184" i="1"/>
  <c r="AK185" i="1"/>
  <c r="AK186" i="1"/>
  <c r="AK187" i="1"/>
  <c r="AK188" i="1"/>
  <c r="AK189" i="1"/>
  <c r="AK190" i="1"/>
  <c r="AK191" i="1"/>
  <c r="AK192" i="1"/>
  <c r="AK193" i="1"/>
  <c r="AK194" i="1"/>
  <c r="AK195" i="1"/>
  <c r="AK196" i="1"/>
  <c r="AK197" i="1"/>
  <c r="AK198" i="1"/>
  <c r="AK199" i="1"/>
  <c r="AK200" i="1"/>
  <c r="AK201" i="1"/>
  <c r="AK202" i="1"/>
  <c r="AK203" i="1"/>
  <c r="AK204" i="1"/>
  <c r="AM5" i="1"/>
  <c r="AM6" i="1"/>
  <c r="AM7" i="1"/>
  <c r="AM8" i="1"/>
  <c r="AM9" i="1"/>
  <c r="AM10" i="1"/>
  <c r="AM11" i="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107" i="1"/>
  <c r="AM108" i="1"/>
  <c r="AM109" i="1"/>
  <c r="AM110" i="1"/>
  <c r="AM111" i="1"/>
  <c r="AM112" i="1"/>
  <c r="AM113" i="1"/>
  <c r="AM114" i="1"/>
  <c r="AM115" i="1"/>
  <c r="AM116" i="1"/>
  <c r="AM117" i="1"/>
  <c r="AM118" i="1"/>
  <c r="AM119" i="1"/>
  <c r="AM120" i="1"/>
  <c r="AM121" i="1"/>
  <c r="AM122" i="1"/>
  <c r="AM123" i="1"/>
  <c r="AM124" i="1"/>
  <c r="AM125" i="1"/>
  <c r="AM126" i="1"/>
  <c r="AM127" i="1"/>
  <c r="AM128" i="1"/>
  <c r="AM129" i="1"/>
  <c r="AM130" i="1"/>
  <c r="AM131" i="1"/>
  <c r="AM132" i="1"/>
  <c r="AM133" i="1"/>
  <c r="AM134" i="1"/>
  <c r="AM135" i="1"/>
  <c r="AM136" i="1"/>
  <c r="AM137" i="1"/>
  <c r="AM138" i="1"/>
  <c r="AM139" i="1"/>
  <c r="AM140" i="1"/>
  <c r="AM141" i="1"/>
  <c r="AM142" i="1"/>
  <c r="AM143" i="1"/>
  <c r="AM144" i="1"/>
  <c r="AM145" i="1"/>
  <c r="AM146" i="1"/>
  <c r="AM147" i="1"/>
  <c r="AM148" i="1"/>
  <c r="AM149" i="1"/>
  <c r="AM150" i="1"/>
  <c r="AM151" i="1"/>
  <c r="AM152" i="1"/>
  <c r="AM153" i="1"/>
  <c r="AM154" i="1"/>
  <c r="AM155" i="1"/>
  <c r="AM156" i="1"/>
  <c r="AM157" i="1"/>
  <c r="AM158" i="1"/>
  <c r="AM159" i="1"/>
  <c r="AM160" i="1"/>
  <c r="AM161" i="1"/>
  <c r="AM162" i="1"/>
  <c r="AM163" i="1"/>
  <c r="AM164" i="1"/>
  <c r="AM165" i="1"/>
  <c r="AM166" i="1"/>
  <c r="AM167" i="1"/>
  <c r="AM168" i="1"/>
  <c r="AM169" i="1"/>
  <c r="AM170" i="1"/>
  <c r="AM171" i="1"/>
  <c r="AM172" i="1"/>
  <c r="AM173" i="1"/>
  <c r="AM174" i="1"/>
  <c r="AM175" i="1"/>
  <c r="AM176" i="1"/>
  <c r="AM177" i="1"/>
  <c r="AM178" i="1"/>
  <c r="AM179" i="1"/>
  <c r="AM180" i="1"/>
  <c r="AM181" i="1"/>
  <c r="AM182" i="1"/>
  <c r="AM183" i="1"/>
  <c r="AM184" i="1"/>
  <c r="AM185" i="1"/>
  <c r="AM186" i="1"/>
  <c r="AM187" i="1"/>
  <c r="AM188" i="1"/>
  <c r="AM189" i="1"/>
  <c r="AM190" i="1"/>
  <c r="AM191" i="1"/>
  <c r="AM192" i="1"/>
  <c r="AM193" i="1"/>
  <c r="AM194" i="1"/>
  <c r="AM195" i="1"/>
  <c r="AM196" i="1"/>
  <c r="AM197" i="1"/>
  <c r="AM198" i="1"/>
  <c r="AM199" i="1"/>
  <c r="AM200" i="1"/>
  <c r="AM201" i="1"/>
  <c r="AM202" i="1"/>
  <c r="AM203" i="1"/>
  <c r="AM204" i="1"/>
  <c r="AX7" i="1" l="1"/>
  <c r="AL5" i="27"/>
  <c r="AL6" i="27"/>
  <c r="AL7" i="27"/>
  <c r="AL8" i="27"/>
  <c r="AL9" i="27"/>
  <c r="AL10" i="27"/>
  <c r="AL11" i="27"/>
  <c r="AL12" i="27"/>
  <c r="AL13" i="27"/>
  <c r="AL14" i="27"/>
  <c r="AL15" i="27"/>
  <c r="AL16" i="27"/>
  <c r="AL17" i="27"/>
  <c r="AL18" i="27"/>
  <c r="AL19" i="27"/>
  <c r="AL20" i="27"/>
  <c r="AL21" i="27"/>
  <c r="AL22" i="27"/>
  <c r="AL23" i="27"/>
  <c r="AL24" i="27"/>
  <c r="AL25" i="27"/>
  <c r="AL26" i="27"/>
  <c r="AL27" i="27"/>
  <c r="AL28" i="27"/>
  <c r="AL29" i="27"/>
  <c r="AL30" i="27"/>
  <c r="AL31" i="27"/>
  <c r="AL32" i="27"/>
  <c r="AL33" i="27"/>
  <c r="AL34" i="27"/>
  <c r="AL35" i="27"/>
  <c r="AL36" i="27"/>
  <c r="AL37" i="27"/>
  <c r="AL38" i="27"/>
  <c r="AL39" i="27"/>
  <c r="AL40" i="27"/>
  <c r="AL41" i="27"/>
  <c r="AL42" i="27"/>
  <c r="AL43" i="27"/>
  <c r="AL44" i="27"/>
  <c r="AL45" i="27"/>
  <c r="AL46" i="27"/>
  <c r="AL47" i="27"/>
  <c r="AL48" i="27"/>
  <c r="AL49" i="27"/>
  <c r="AL50" i="27"/>
  <c r="AL51" i="27"/>
  <c r="AL52" i="27"/>
  <c r="AL53" i="27"/>
  <c r="AL54" i="27"/>
  <c r="AL55" i="27"/>
  <c r="AL56" i="27"/>
  <c r="AL57" i="27"/>
  <c r="AL58" i="27"/>
  <c r="AL59" i="27"/>
  <c r="AL60" i="27"/>
  <c r="AL61" i="27"/>
  <c r="AL62" i="27"/>
  <c r="AL63" i="27"/>
  <c r="AL64" i="27"/>
  <c r="AL65" i="27"/>
  <c r="AL66" i="27"/>
  <c r="AL67" i="27"/>
  <c r="AL68" i="27"/>
  <c r="AL69" i="27"/>
  <c r="AL70" i="27"/>
  <c r="AL71" i="27"/>
  <c r="AL72" i="27"/>
  <c r="AL73" i="27"/>
  <c r="AL74" i="27"/>
  <c r="AL75" i="27"/>
  <c r="AL76" i="27"/>
  <c r="AL77" i="27"/>
  <c r="AL78" i="27"/>
  <c r="AL79" i="27"/>
  <c r="AL80" i="27"/>
  <c r="AL81" i="27"/>
  <c r="AL82" i="27"/>
  <c r="AL83" i="27"/>
  <c r="AL84" i="27"/>
  <c r="AL85" i="27"/>
  <c r="AL86" i="27"/>
  <c r="AL87" i="27"/>
  <c r="AL88" i="27"/>
  <c r="AL89" i="27"/>
  <c r="AL90" i="27"/>
  <c r="AL91" i="27"/>
  <c r="AL92" i="27"/>
  <c r="AL93" i="27"/>
  <c r="AL94" i="27"/>
  <c r="AL95" i="27"/>
  <c r="AL96" i="27"/>
  <c r="AL97" i="27"/>
  <c r="AL98" i="27"/>
  <c r="AL99" i="27"/>
  <c r="AL100" i="27"/>
  <c r="AL101" i="27"/>
  <c r="AL102" i="27"/>
  <c r="AL103" i="27"/>
  <c r="AL104" i="27"/>
  <c r="B12" i="22" l="1"/>
  <c r="W37" i="22" l="1"/>
  <c r="H5" i="27"/>
  <c r="W39" i="22"/>
  <c r="W38" i="22"/>
  <c r="J7" i="22" l="1"/>
  <c r="AF26" i="27" l="1"/>
  <c r="AF27" i="27"/>
  <c r="AF28" i="27"/>
  <c r="AF29" i="27"/>
  <c r="AF30" i="27"/>
  <c r="AF31" i="27"/>
  <c r="AF32" i="27"/>
  <c r="AF33" i="27"/>
  <c r="AF34" i="27"/>
  <c r="AF35" i="27"/>
  <c r="AF36" i="27"/>
  <c r="AF37" i="27"/>
  <c r="AF38" i="27"/>
  <c r="AF39" i="27"/>
  <c r="AF40" i="27"/>
  <c r="AF41" i="27"/>
  <c r="AF42" i="27"/>
  <c r="AF43" i="27"/>
  <c r="AF44" i="27"/>
  <c r="AF45" i="27"/>
  <c r="AF46" i="27"/>
  <c r="AF47" i="27"/>
  <c r="AF48" i="27"/>
  <c r="AF49" i="27"/>
  <c r="AF50" i="27"/>
  <c r="AF51" i="27"/>
  <c r="AF52" i="27"/>
  <c r="AF53" i="27"/>
  <c r="AF54" i="27"/>
  <c r="AF55" i="27"/>
  <c r="AF56" i="27"/>
  <c r="AF57" i="27"/>
  <c r="AF58" i="27"/>
  <c r="AF59" i="27"/>
  <c r="AF60" i="27"/>
  <c r="AF61" i="27"/>
  <c r="AF62" i="27"/>
  <c r="AF63" i="27"/>
  <c r="AF64" i="27"/>
  <c r="AF65" i="27"/>
  <c r="AF66" i="27"/>
  <c r="AF67" i="27"/>
  <c r="AF68" i="27"/>
  <c r="AF69" i="27"/>
  <c r="AF70" i="27"/>
  <c r="AF71" i="27"/>
  <c r="AF72" i="27"/>
  <c r="AF73" i="27"/>
  <c r="AF74" i="27"/>
  <c r="AF75" i="27"/>
  <c r="AF76" i="27"/>
  <c r="AF77" i="27"/>
  <c r="AF78" i="27"/>
  <c r="AF79" i="27"/>
  <c r="AF80" i="27"/>
  <c r="AF81" i="27"/>
  <c r="AF82" i="27"/>
  <c r="AF83" i="27"/>
  <c r="AF84" i="27"/>
  <c r="AF85" i="27"/>
  <c r="AF86" i="27"/>
  <c r="AF87" i="27"/>
  <c r="AF88" i="27"/>
  <c r="AF89" i="27"/>
  <c r="AF90" i="27"/>
  <c r="AF91" i="27"/>
  <c r="AF92" i="27"/>
  <c r="AF93" i="27"/>
  <c r="AF94" i="27"/>
  <c r="AF95" i="27"/>
  <c r="AF96" i="27"/>
  <c r="AF97" i="27"/>
  <c r="AF98" i="27"/>
  <c r="AF99" i="27"/>
  <c r="AF100" i="27"/>
  <c r="AF101" i="27"/>
  <c r="AF102" i="27"/>
  <c r="AF103" i="27"/>
  <c r="AF104" i="27"/>
  <c r="AA6" i="27"/>
  <c r="AA7" i="27"/>
  <c r="AA8" i="27"/>
  <c r="AA9" i="27"/>
  <c r="AA10" i="27"/>
  <c r="AA17" i="27"/>
  <c r="AA19" i="27"/>
  <c r="AA24" i="27"/>
  <c r="AA26" i="27"/>
  <c r="AA27" i="27"/>
  <c r="AA28" i="27"/>
  <c r="AA29" i="27"/>
  <c r="AA30" i="27"/>
  <c r="AA31" i="27"/>
  <c r="AA32" i="27"/>
  <c r="AA33" i="27"/>
  <c r="AA34" i="27"/>
  <c r="AA35" i="27"/>
  <c r="AA36" i="27"/>
  <c r="AA37" i="27"/>
  <c r="AA38" i="27"/>
  <c r="AA39" i="27"/>
  <c r="AA40" i="27"/>
  <c r="AA41" i="27"/>
  <c r="AA42" i="27"/>
  <c r="AA43" i="27"/>
  <c r="AA44" i="27"/>
  <c r="AA45" i="27"/>
  <c r="AA46" i="27"/>
  <c r="AA47" i="27"/>
  <c r="AA48" i="27"/>
  <c r="AA49" i="27"/>
  <c r="AA50" i="27"/>
  <c r="AA51" i="27"/>
  <c r="AA52" i="27"/>
  <c r="AA53" i="27"/>
  <c r="AA54" i="27"/>
  <c r="AA55" i="27"/>
  <c r="AA56" i="27"/>
  <c r="AA57" i="27"/>
  <c r="AA58" i="27"/>
  <c r="AA59" i="27"/>
  <c r="AA60" i="27"/>
  <c r="AA61" i="27"/>
  <c r="AA62" i="27"/>
  <c r="AA63" i="27"/>
  <c r="AA64" i="27"/>
  <c r="AA65" i="27"/>
  <c r="AA66" i="27"/>
  <c r="AA67" i="27"/>
  <c r="AA68" i="27"/>
  <c r="AA69" i="27"/>
  <c r="AA70" i="27"/>
  <c r="AA71" i="27"/>
  <c r="AA72" i="27"/>
  <c r="AA73" i="27"/>
  <c r="AA74" i="27"/>
  <c r="AA75" i="27"/>
  <c r="AA76" i="27"/>
  <c r="AA77" i="27"/>
  <c r="AA78" i="27"/>
  <c r="AA79" i="27"/>
  <c r="AA80" i="27"/>
  <c r="AA81" i="27"/>
  <c r="AA82" i="27"/>
  <c r="AA83" i="27"/>
  <c r="AA84" i="27"/>
  <c r="AA85" i="27"/>
  <c r="AA86" i="27"/>
  <c r="AA87" i="27"/>
  <c r="AA88" i="27"/>
  <c r="AA89" i="27"/>
  <c r="AA90" i="27"/>
  <c r="AA91" i="27"/>
  <c r="AA92" i="27"/>
  <c r="AA93" i="27"/>
  <c r="AA94" i="27"/>
  <c r="AA95" i="27"/>
  <c r="AA96" i="27"/>
  <c r="AA97" i="27"/>
  <c r="AA98" i="27"/>
  <c r="AA99" i="27"/>
  <c r="AA100" i="27"/>
  <c r="AA101" i="27"/>
  <c r="AA102" i="27"/>
  <c r="AA103" i="27"/>
  <c r="AA104" i="27"/>
  <c r="Z26" i="27"/>
  <c r="Z27" i="27"/>
  <c r="Z28" i="27"/>
  <c r="Z29" i="27"/>
  <c r="Z30" i="27"/>
  <c r="Z31" i="27"/>
  <c r="Z32" i="27"/>
  <c r="Z33" i="27"/>
  <c r="Z34" i="27"/>
  <c r="Z35" i="27"/>
  <c r="Z36" i="27"/>
  <c r="Z37" i="27"/>
  <c r="Z38" i="27"/>
  <c r="Z39" i="27"/>
  <c r="Z40" i="27"/>
  <c r="Z41" i="27"/>
  <c r="Z42" i="27"/>
  <c r="Z43" i="27"/>
  <c r="Z44" i="27"/>
  <c r="Z45" i="27"/>
  <c r="Z46" i="27"/>
  <c r="Z47" i="27"/>
  <c r="Z48" i="27"/>
  <c r="Z49" i="27"/>
  <c r="Z50" i="27"/>
  <c r="Z51" i="27"/>
  <c r="Z52" i="27"/>
  <c r="Z53" i="27"/>
  <c r="Z54" i="27"/>
  <c r="Z55" i="27"/>
  <c r="Z56" i="27"/>
  <c r="Z57" i="27"/>
  <c r="Z58" i="27"/>
  <c r="Z59" i="27"/>
  <c r="Z60" i="27"/>
  <c r="Z61" i="27"/>
  <c r="Z62" i="27"/>
  <c r="Z63" i="27"/>
  <c r="Z64" i="27"/>
  <c r="Z65" i="27"/>
  <c r="Z66" i="27"/>
  <c r="Z67" i="27"/>
  <c r="Z68" i="27"/>
  <c r="Z69" i="27"/>
  <c r="Z70" i="27"/>
  <c r="Z71" i="27"/>
  <c r="Z72" i="27"/>
  <c r="Z73" i="27"/>
  <c r="Z74" i="27"/>
  <c r="Z75" i="27"/>
  <c r="Z76" i="27"/>
  <c r="Z77" i="27"/>
  <c r="Z78" i="27"/>
  <c r="Z79" i="27"/>
  <c r="Z80" i="27"/>
  <c r="Z81" i="27"/>
  <c r="Z82" i="27"/>
  <c r="Z83" i="27"/>
  <c r="Z84" i="27"/>
  <c r="Z85" i="27"/>
  <c r="Z86" i="27"/>
  <c r="Z87" i="27"/>
  <c r="Z88" i="27"/>
  <c r="Z89" i="27"/>
  <c r="Z90" i="27"/>
  <c r="Z91" i="27"/>
  <c r="Z92" i="27"/>
  <c r="Z93" i="27"/>
  <c r="Z94" i="27"/>
  <c r="Z95" i="27"/>
  <c r="Z96" i="27"/>
  <c r="Z97" i="27"/>
  <c r="Z98" i="27"/>
  <c r="Z99" i="27"/>
  <c r="Z100" i="27"/>
  <c r="Z101" i="27"/>
  <c r="Z102" i="27"/>
  <c r="Z103" i="27"/>
  <c r="Z104" i="27"/>
  <c r="AQ5" i="1"/>
  <c r="AR5" i="1" s="1"/>
  <c r="AQ6" i="1"/>
  <c r="AR6" i="1" s="1"/>
  <c r="AQ7" i="1"/>
  <c r="AR7" i="1" s="1"/>
  <c r="AQ8" i="1"/>
  <c r="AR8" i="1" s="1"/>
  <c r="AQ9" i="1"/>
  <c r="AR9" i="1" s="1"/>
  <c r="AQ10" i="1"/>
  <c r="AR10" i="1" s="1"/>
  <c r="AQ11" i="1"/>
  <c r="AR11" i="1" s="1"/>
  <c r="AQ12" i="1"/>
  <c r="AR12" i="1" s="1"/>
  <c r="AQ13" i="1"/>
  <c r="AR13" i="1" s="1"/>
  <c r="AQ14" i="1"/>
  <c r="AR14" i="1" s="1"/>
  <c r="AQ15" i="1"/>
  <c r="AR15" i="1" s="1"/>
  <c r="AQ16" i="1"/>
  <c r="AR16" i="1" s="1"/>
  <c r="AQ17" i="1"/>
  <c r="AR17" i="1" s="1"/>
  <c r="AQ18" i="1"/>
  <c r="AR18" i="1" s="1"/>
  <c r="AQ19" i="1"/>
  <c r="AR19" i="1" s="1"/>
  <c r="AQ20" i="1"/>
  <c r="AR20" i="1" s="1"/>
  <c r="AQ21" i="1"/>
  <c r="AR21" i="1" s="1"/>
  <c r="AQ22" i="1"/>
  <c r="AR22" i="1" s="1"/>
  <c r="AQ23" i="1"/>
  <c r="AR23" i="1" s="1"/>
  <c r="AQ24" i="1"/>
  <c r="AR24" i="1" s="1"/>
  <c r="AQ25" i="1"/>
  <c r="AR25" i="1" s="1"/>
  <c r="AQ26" i="1"/>
  <c r="AR26" i="1" s="1"/>
  <c r="AQ27" i="1"/>
  <c r="AR27" i="1" s="1"/>
  <c r="AQ28" i="1"/>
  <c r="AR28" i="1" s="1"/>
  <c r="AQ29" i="1"/>
  <c r="AR29" i="1" s="1"/>
  <c r="AQ30" i="1"/>
  <c r="AR30" i="1" s="1"/>
  <c r="AQ31" i="1"/>
  <c r="AR31" i="1" s="1"/>
  <c r="AQ32" i="1"/>
  <c r="AR32" i="1" s="1"/>
  <c r="AQ33" i="1"/>
  <c r="AR33" i="1" s="1"/>
  <c r="AQ34" i="1"/>
  <c r="AR34" i="1" s="1"/>
  <c r="AQ35" i="1"/>
  <c r="AR35" i="1" s="1"/>
  <c r="AQ36" i="1"/>
  <c r="AR36" i="1" s="1"/>
  <c r="AQ37" i="1"/>
  <c r="AR37" i="1" s="1"/>
  <c r="AQ38" i="1"/>
  <c r="AR38" i="1" s="1"/>
  <c r="AQ39" i="1"/>
  <c r="AR39" i="1" s="1"/>
  <c r="AQ40" i="1"/>
  <c r="AR40" i="1" s="1"/>
  <c r="AQ41" i="1"/>
  <c r="AR41" i="1" s="1"/>
  <c r="AQ42" i="1"/>
  <c r="AR42" i="1" s="1"/>
  <c r="AQ43" i="1"/>
  <c r="AR43" i="1" s="1"/>
  <c r="AQ44" i="1"/>
  <c r="AR44" i="1" s="1"/>
  <c r="AQ45" i="1"/>
  <c r="AR45" i="1" s="1"/>
  <c r="AQ46" i="1"/>
  <c r="AR46" i="1" s="1"/>
  <c r="AQ47" i="1"/>
  <c r="AR47" i="1" s="1"/>
  <c r="AQ48" i="1"/>
  <c r="AR48" i="1" s="1"/>
  <c r="AQ49" i="1"/>
  <c r="AR49" i="1" s="1"/>
  <c r="AQ50" i="1"/>
  <c r="AR50" i="1" s="1"/>
  <c r="AQ51" i="1"/>
  <c r="AR51" i="1" s="1"/>
  <c r="AQ52" i="1"/>
  <c r="AR52" i="1" s="1"/>
  <c r="AQ53" i="1"/>
  <c r="AR53" i="1" s="1"/>
  <c r="AQ54" i="1"/>
  <c r="AR54" i="1" s="1"/>
  <c r="AQ55" i="1"/>
  <c r="AR55" i="1" s="1"/>
  <c r="AQ56" i="1"/>
  <c r="AR56" i="1" s="1"/>
  <c r="AQ57" i="1"/>
  <c r="AR57" i="1" s="1"/>
  <c r="AQ58" i="1"/>
  <c r="AR58" i="1" s="1"/>
  <c r="AQ59" i="1"/>
  <c r="AR59" i="1" s="1"/>
  <c r="AQ60" i="1"/>
  <c r="AR60" i="1" s="1"/>
  <c r="AQ61" i="1"/>
  <c r="AR61" i="1" s="1"/>
  <c r="AQ62" i="1"/>
  <c r="AR62" i="1" s="1"/>
  <c r="AQ63" i="1"/>
  <c r="AR63" i="1" s="1"/>
  <c r="AQ64" i="1"/>
  <c r="AR64" i="1" s="1"/>
  <c r="AQ65" i="1"/>
  <c r="AR65" i="1" s="1"/>
  <c r="AQ66" i="1"/>
  <c r="AR66" i="1" s="1"/>
  <c r="AQ67" i="1"/>
  <c r="AR67" i="1" s="1"/>
  <c r="AQ68" i="1"/>
  <c r="AR68" i="1" s="1"/>
  <c r="AQ69" i="1"/>
  <c r="AR69" i="1" s="1"/>
  <c r="AQ70" i="1"/>
  <c r="AR70" i="1" s="1"/>
  <c r="AQ71" i="1"/>
  <c r="AR71" i="1" s="1"/>
  <c r="AQ72" i="1"/>
  <c r="AR72" i="1" s="1"/>
  <c r="AQ73" i="1"/>
  <c r="AR73" i="1" s="1"/>
  <c r="AQ74" i="1"/>
  <c r="AR74" i="1" s="1"/>
  <c r="AQ75" i="1"/>
  <c r="AR75" i="1" s="1"/>
  <c r="AQ76" i="1"/>
  <c r="AR76" i="1" s="1"/>
  <c r="AQ77" i="1"/>
  <c r="AR77" i="1" s="1"/>
  <c r="AQ78" i="1"/>
  <c r="AR78" i="1" s="1"/>
  <c r="AQ79" i="1"/>
  <c r="AR79" i="1" s="1"/>
  <c r="AQ80" i="1"/>
  <c r="AR80" i="1" s="1"/>
  <c r="AQ81" i="1"/>
  <c r="AR81" i="1" s="1"/>
  <c r="AQ82" i="1"/>
  <c r="AR82" i="1" s="1"/>
  <c r="AQ83" i="1"/>
  <c r="AR83" i="1" s="1"/>
  <c r="AQ84" i="1"/>
  <c r="AR84" i="1" s="1"/>
  <c r="AQ85" i="1"/>
  <c r="AR85" i="1" s="1"/>
  <c r="AQ86" i="1"/>
  <c r="AR86" i="1" s="1"/>
  <c r="AQ87" i="1"/>
  <c r="AR87" i="1" s="1"/>
  <c r="AQ88" i="1"/>
  <c r="AR88" i="1" s="1"/>
  <c r="AQ89" i="1"/>
  <c r="AR89" i="1" s="1"/>
  <c r="AQ90" i="1"/>
  <c r="AR90" i="1" s="1"/>
  <c r="AQ91" i="1"/>
  <c r="AR91" i="1" s="1"/>
  <c r="AQ92" i="1"/>
  <c r="AR92" i="1" s="1"/>
  <c r="AQ93" i="1"/>
  <c r="AR93" i="1" s="1"/>
  <c r="AQ94" i="1"/>
  <c r="AR94" i="1" s="1"/>
  <c r="AQ95" i="1"/>
  <c r="AR95" i="1" s="1"/>
  <c r="AQ96" i="1"/>
  <c r="AR96" i="1" s="1"/>
  <c r="AQ97" i="1"/>
  <c r="AR97" i="1" s="1"/>
  <c r="AQ98" i="1"/>
  <c r="AR98" i="1" s="1"/>
  <c r="AQ99" i="1"/>
  <c r="AR99" i="1" s="1"/>
  <c r="AQ100" i="1"/>
  <c r="AR100" i="1" s="1"/>
  <c r="AQ101" i="1"/>
  <c r="AR101" i="1" s="1"/>
  <c r="AQ102" i="1"/>
  <c r="AR102" i="1" s="1"/>
  <c r="AQ103" i="1"/>
  <c r="AR103" i="1" s="1"/>
  <c r="AQ104" i="1"/>
  <c r="AR104" i="1" s="1"/>
  <c r="AQ105" i="1"/>
  <c r="AR105" i="1" s="1"/>
  <c r="AQ106" i="1"/>
  <c r="AR106" i="1" s="1"/>
  <c r="AQ107" i="1"/>
  <c r="AR107" i="1" s="1"/>
  <c r="AQ108" i="1"/>
  <c r="AR108" i="1" s="1"/>
  <c r="AQ109" i="1"/>
  <c r="AR109" i="1" s="1"/>
  <c r="AQ110" i="1"/>
  <c r="AR110" i="1" s="1"/>
  <c r="AQ111" i="1"/>
  <c r="AR111" i="1" s="1"/>
  <c r="AQ112" i="1"/>
  <c r="AR112" i="1" s="1"/>
  <c r="AQ113" i="1"/>
  <c r="AR113" i="1" s="1"/>
  <c r="AQ114" i="1"/>
  <c r="AR114" i="1" s="1"/>
  <c r="AQ115" i="1"/>
  <c r="AR115" i="1" s="1"/>
  <c r="AQ116" i="1"/>
  <c r="AR116" i="1" s="1"/>
  <c r="AQ117" i="1"/>
  <c r="AR117" i="1" s="1"/>
  <c r="AQ118" i="1"/>
  <c r="AR118" i="1" s="1"/>
  <c r="AQ119" i="1"/>
  <c r="AR119" i="1" s="1"/>
  <c r="AQ120" i="1"/>
  <c r="AR120" i="1" s="1"/>
  <c r="AQ121" i="1"/>
  <c r="AR121" i="1" s="1"/>
  <c r="AQ122" i="1"/>
  <c r="AR122" i="1" s="1"/>
  <c r="AQ123" i="1"/>
  <c r="AR123" i="1" s="1"/>
  <c r="AQ124" i="1"/>
  <c r="AR124" i="1" s="1"/>
  <c r="AQ125" i="1"/>
  <c r="AR125" i="1" s="1"/>
  <c r="AQ126" i="1"/>
  <c r="AR126" i="1" s="1"/>
  <c r="AQ127" i="1"/>
  <c r="AR127" i="1" s="1"/>
  <c r="AQ128" i="1"/>
  <c r="AR128" i="1" s="1"/>
  <c r="AQ129" i="1"/>
  <c r="AR129" i="1" s="1"/>
  <c r="AQ130" i="1"/>
  <c r="AR130" i="1" s="1"/>
  <c r="AQ131" i="1"/>
  <c r="AR131" i="1" s="1"/>
  <c r="AQ132" i="1"/>
  <c r="AR132" i="1" s="1"/>
  <c r="AQ133" i="1"/>
  <c r="AR133" i="1" s="1"/>
  <c r="AQ134" i="1"/>
  <c r="AR134" i="1" s="1"/>
  <c r="AQ135" i="1"/>
  <c r="AR135" i="1" s="1"/>
  <c r="AQ136" i="1"/>
  <c r="AR136" i="1" s="1"/>
  <c r="AQ137" i="1"/>
  <c r="AR137" i="1" s="1"/>
  <c r="AQ138" i="1"/>
  <c r="AR138" i="1" s="1"/>
  <c r="AQ139" i="1"/>
  <c r="AR139" i="1" s="1"/>
  <c r="AQ140" i="1"/>
  <c r="AR140" i="1" s="1"/>
  <c r="AQ141" i="1"/>
  <c r="AR141" i="1" s="1"/>
  <c r="AQ142" i="1"/>
  <c r="AR142" i="1" s="1"/>
  <c r="AQ143" i="1"/>
  <c r="AR143" i="1" s="1"/>
  <c r="AQ144" i="1"/>
  <c r="AR144" i="1" s="1"/>
  <c r="AQ145" i="1"/>
  <c r="AR145" i="1" s="1"/>
  <c r="AQ146" i="1"/>
  <c r="AR146" i="1" s="1"/>
  <c r="AQ147" i="1"/>
  <c r="AR147" i="1" s="1"/>
  <c r="AQ148" i="1"/>
  <c r="AR148" i="1" s="1"/>
  <c r="AQ149" i="1"/>
  <c r="AR149" i="1" s="1"/>
  <c r="AQ150" i="1"/>
  <c r="AR150" i="1" s="1"/>
  <c r="AQ151" i="1"/>
  <c r="AR151" i="1" s="1"/>
  <c r="AQ152" i="1"/>
  <c r="AR152" i="1" s="1"/>
  <c r="AQ153" i="1"/>
  <c r="AR153" i="1" s="1"/>
  <c r="AQ154" i="1"/>
  <c r="AR154" i="1" s="1"/>
  <c r="AQ155" i="1"/>
  <c r="AR155" i="1" s="1"/>
  <c r="AQ156" i="1"/>
  <c r="AR156" i="1" s="1"/>
  <c r="AQ157" i="1"/>
  <c r="AR157" i="1" s="1"/>
  <c r="AQ158" i="1"/>
  <c r="AR158" i="1" s="1"/>
  <c r="AQ159" i="1"/>
  <c r="AR159" i="1" s="1"/>
  <c r="AQ160" i="1"/>
  <c r="AR160" i="1" s="1"/>
  <c r="AQ161" i="1"/>
  <c r="AR161" i="1" s="1"/>
  <c r="AQ162" i="1"/>
  <c r="AR162" i="1" s="1"/>
  <c r="AQ163" i="1"/>
  <c r="AR163" i="1" s="1"/>
  <c r="AQ164" i="1"/>
  <c r="AR164" i="1" s="1"/>
  <c r="AQ165" i="1"/>
  <c r="AR165" i="1" s="1"/>
  <c r="AQ166" i="1"/>
  <c r="AR166" i="1" s="1"/>
  <c r="AQ167" i="1"/>
  <c r="AR167" i="1" s="1"/>
  <c r="AQ168" i="1"/>
  <c r="AR168" i="1" s="1"/>
  <c r="AQ169" i="1"/>
  <c r="AR169" i="1" s="1"/>
  <c r="AQ170" i="1"/>
  <c r="AR170" i="1" s="1"/>
  <c r="AQ171" i="1"/>
  <c r="AR171" i="1" s="1"/>
  <c r="AQ172" i="1"/>
  <c r="AR172" i="1" s="1"/>
  <c r="AQ173" i="1"/>
  <c r="AR173" i="1" s="1"/>
  <c r="AQ174" i="1"/>
  <c r="AR174" i="1" s="1"/>
  <c r="AQ175" i="1"/>
  <c r="AR175" i="1" s="1"/>
  <c r="AQ176" i="1"/>
  <c r="AR176" i="1" s="1"/>
  <c r="AQ177" i="1"/>
  <c r="AR177" i="1" s="1"/>
  <c r="AQ178" i="1"/>
  <c r="AR178" i="1" s="1"/>
  <c r="AQ179" i="1"/>
  <c r="AR179" i="1" s="1"/>
  <c r="AQ180" i="1"/>
  <c r="AR180" i="1" s="1"/>
  <c r="AQ181" i="1"/>
  <c r="AR181" i="1" s="1"/>
  <c r="AQ182" i="1"/>
  <c r="AR182" i="1" s="1"/>
  <c r="AQ183" i="1"/>
  <c r="AR183" i="1" s="1"/>
  <c r="AQ184" i="1"/>
  <c r="AR184" i="1" s="1"/>
  <c r="AQ185" i="1"/>
  <c r="AR185" i="1" s="1"/>
  <c r="AQ186" i="1"/>
  <c r="AR186" i="1" s="1"/>
  <c r="AQ187" i="1"/>
  <c r="AR187" i="1" s="1"/>
  <c r="AQ188" i="1"/>
  <c r="AR188" i="1" s="1"/>
  <c r="AQ189" i="1"/>
  <c r="AR189" i="1" s="1"/>
  <c r="AQ190" i="1"/>
  <c r="AR190" i="1" s="1"/>
  <c r="AQ191" i="1"/>
  <c r="AR191" i="1" s="1"/>
  <c r="AQ192" i="1"/>
  <c r="AR192" i="1" s="1"/>
  <c r="AQ193" i="1"/>
  <c r="AR193" i="1" s="1"/>
  <c r="AQ194" i="1"/>
  <c r="AR194" i="1" s="1"/>
  <c r="AQ195" i="1"/>
  <c r="AR195" i="1" s="1"/>
  <c r="AQ196" i="1"/>
  <c r="AR196" i="1" s="1"/>
  <c r="AQ197" i="1"/>
  <c r="AR197" i="1" s="1"/>
  <c r="AQ198" i="1"/>
  <c r="AR198" i="1" s="1"/>
  <c r="AQ199" i="1"/>
  <c r="AR199" i="1" s="1"/>
  <c r="AQ200" i="1"/>
  <c r="AR200" i="1" s="1"/>
  <c r="AQ201" i="1"/>
  <c r="AR201" i="1" s="1"/>
  <c r="AQ202" i="1"/>
  <c r="AR202" i="1" s="1"/>
  <c r="AQ203" i="1"/>
  <c r="AR203" i="1" s="1"/>
  <c r="AQ204" i="1"/>
  <c r="AR204" i="1" s="1"/>
  <c r="R1445" i="42"/>
  <c r="R1449" i="42"/>
  <c r="R1448" i="42"/>
  <c r="R1443" i="42"/>
  <c r="R1450" i="42"/>
  <c r="R1444" i="42"/>
  <c r="R1453" i="42"/>
  <c r="R1447" i="42"/>
  <c r="R1436" i="42"/>
  <c r="R1426" i="42"/>
  <c r="R1424" i="42"/>
  <c r="R1431" i="42"/>
  <c r="R1427" i="42"/>
  <c r="R1434" i="42"/>
  <c r="R1422" i="42"/>
  <c r="R1425" i="42"/>
  <c r="R1439" i="42"/>
  <c r="R1451" i="42"/>
  <c r="R1499" i="42"/>
  <c r="R1478" i="42"/>
  <c r="R1480" i="42"/>
  <c r="R1465" i="42"/>
  <c r="R1482" i="42"/>
  <c r="R1466" i="42"/>
  <c r="R1484" i="42"/>
  <c r="R1486" i="42"/>
  <c r="R1488" i="42"/>
  <c r="R1469" i="42"/>
  <c r="R1491" i="42"/>
  <c r="R1493" i="42"/>
  <c r="R1471" i="42"/>
  <c r="R1473" i="42"/>
  <c r="R1474" i="42"/>
  <c r="R1498" i="42"/>
  <c r="R1476" i="42"/>
  <c r="R1477" i="42"/>
  <c r="R1500" i="42"/>
  <c r="R1501" i="42"/>
  <c r="R1479" i="42"/>
  <c r="R1481" i="42"/>
  <c r="R1502" i="42"/>
  <c r="R1483" i="42"/>
  <c r="R1467" i="42"/>
  <c r="R1485" i="42"/>
  <c r="R1487" i="42"/>
  <c r="R1489" i="42"/>
  <c r="R1468" i="42"/>
  <c r="R1490" i="42"/>
  <c r="R1492" i="42"/>
  <c r="R1470" i="42"/>
  <c r="R1494" i="42"/>
  <c r="R1472" i="42"/>
  <c r="R1495" i="42"/>
  <c r="R1496" i="42"/>
  <c r="R1497" i="42"/>
  <c r="R1375" i="42"/>
  <c r="R1367" i="42"/>
  <c r="R1378" i="42"/>
  <c r="R1372" i="42"/>
  <c r="R1383" i="42"/>
  <c r="R1241" i="42"/>
  <c r="R1245" i="42"/>
  <c r="R1246" i="42"/>
  <c r="R1247" i="42"/>
  <c r="R1240" i="42"/>
  <c r="R1285" i="42"/>
  <c r="R1275" i="42"/>
  <c r="R1356" i="42"/>
  <c r="R1349" i="42"/>
  <c r="R1289" i="42"/>
  <c r="R1277" i="42"/>
  <c r="R1359" i="42"/>
  <c r="R1351" i="42"/>
  <c r="R1292" i="42"/>
  <c r="R1278" i="42"/>
  <c r="R1361" i="42"/>
  <c r="R1352" i="42"/>
  <c r="R1296" i="42"/>
  <c r="R1279" i="42"/>
  <c r="R1363" i="42"/>
  <c r="R1353" i="42"/>
  <c r="R1298" i="42"/>
  <c r="R1280" i="42"/>
  <c r="R1365" i="42"/>
  <c r="R1391" i="42"/>
  <c r="R1387" i="42"/>
  <c r="R1310" i="42"/>
  <c r="R1306" i="42"/>
  <c r="R1376" i="42"/>
  <c r="R1392" i="42"/>
  <c r="R1388" i="42"/>
  <c r="R1307" i="42"/>
  <c r="R1369" i="42"/>
  <c r="R1393" i="42"/>
  <c r="R1389" i="42"/>
  <c r="R1308" i="42"/>
  <c r="R1381" i="42"/>
  <c r="R1316" i="42"/>
  <c r="R1394" i="42"/>
  <c r="R1390" i="42"/>
  <c r="R1311" i="42"/>
  <c r="R1309" i="42"/>
  <c r="R1385" i="42"/>
  <c r="R1374" i="42"/>
  <c r="R1386" i="42"/>
  <c r="R1232" i="42"/>
  <c r="R1395" i="42"/>
  <c r="R1282" i="42"/>
  <c r="R1237" i="42"/>
  <c r="R1302" i="42"/>
  <c r="R1354" i="42"/>
  <c r="R1233" i="42"/>
  <c r="R1286" i="42"/>
  <c r="R1238" i="42"/>
  <c r="R1303" i="42"/>
  <c r="R1358" i="42"/>
  <c r="R1234" i="42"/>
  <c r="R1290" i="42"/>
  <c r="R1304" i="42"/>
  <c r="R1360" i="42"/>
  <c r="R1235" i="42"/>
  <c r="R1293" i="42"/>
  <c r="R1305" i="42"/>
  <c r="R1362" i="42"/>
  <c r="R1236" i="42"/>
  <c r="R1297" i="42"/>
  <c r="R1364" i="42"/>
  <c r="R1299" i="42"/>
  <c r="R810" i="42"/>
  <c r="R815" i="42"/>
  <c r="R847" i="42"/>
  <c r="R830" i="42"/>
  <c r="R854" i="42"/>
  <c r="R844" i="42"/>
  <c r="R856" i="42"/>
  <c r="R846" i="42"/>
  <c r="R811" i="42"/>
  <c r="R817" i="42"/>
  <c r="R848" i="42"/>
  <c r="R832" i="42"/>
  <c r="R812" i="42"/>
  <c r="R818" i="42"/>
  <c r="R849" i="42"/>
  <c r="R833" i="42"/>
  <c r="R813" i="42"/>
  <c r="R819" i="42"/>
  <c r="R850" i="42"/>
  <c r="R835" i="42"/>
  <c r="R838" i="42"/>
  <c r="R837" i="42"/>
  <c r="R814" i="42"/>
  <c r="R839" i="42"/>
  <c r="R851" i="42"/>
  <c r="R841" i="42"/>
  <c r="R1151" i="42"/>
  <c r="R963" i="42"/>
  <c r="R1206" i="42"/>
  <c r="R1225" i="42"/>
  <c r="R1162" i="42"/>
  <c r="R1006" i="42"/>
  <c r="R1207" i="42"/>
  <c r="R1226" i="42"/>
  <c r="R893" i="42"/>
  <c r="R1127" i="42"/>
  <c r="R1174" i="42"/>
  <c r="R1030" i="42"/>
  <c r="R1208" i="42"/>
  <c r="R1187" i="42"/>
  <c r="R1049" i="42"/>
  <c r="R1209" i="42"/>
  <c r="R1227" i="42"/>
  <c r="R863" i="42"/>
  <c r="R1080" i="42"/>
  <c r="R1112" i="42"/>
  <c r="R1146" i="42"/>
  <c r="R964" i="42"/>
  <c r="R1212" i="42"/>
  <c r="R881" i="42"/>
  <c r="R1089" i="42"/>
  <c r="R1121" i="42"/>
  <c r="R1163" i="42"/>
  <c r="R999" i="42"/>
  <c r="R1218" i="42"/>
  <c r="R894" i="42"/>
  <c r="R1097" i="42"/>
  <c r="R1130" i="42"/>
  <c r="R1175" i="42"/>
  <c r="R1024" i="42"/>
  <c r="R902" i="42"/>
  <c r="R1103" i="42"/>
  <c r="R1135" i="42"/>
  <c r="R1185" i="42"/>
  <c r="R1042" i="42"/>
  <c r="R1105" i="42"/>
  <c r="R1139" i="42"/>
  <c r="R1192" i="42"/>
  <c r="R1062" i="42"/>
  <c r="R1072" i="42"/>
  <c r="R862" i="42"/>
  <c r="R1078" i="42"/>
  <c r="R1109" i="42"/>
  <c r="R1144" i="42"/>
  <c r="R962" i="42"/>
  <c r="R1228" i="42"/>
  <c r="R1211" i="42"/>
  <c r="R880" i="42"/>
  <c r="R1086" i="42"/>
  <c r="R1118" i="42"/>
  <c r="R1161" i="42"/>
  <c r="R997" i="42"/>
  <c r="R1229" i="42"/>
  <c r="R1217" i="42"/>
  <c r="R892" i="42"/>
  <c r="R1094" i="42"/>
  <c r="R1126" i="42"/>
  <c r="R1173" i="42"/>
  <c r="R1022" i="42"/>
  <c r="R1221" i="42"/>
  <c r="R901" i="42"/>
  <c r="R1101" i="42"/>
  <c r="R1134" i="42"/>
  <c r="R1184" i="42"/>
  <c r="R1041" i="42"/>
  <c r="R1222" i="42"/>
  <c r="R1056" i="42"/>
  <c r="R1191" i="42"/>
  <c r="R1061" i="42"/>
  <c r="R1224" i="42"/>
  <c r="R1068" i="42"/>
  <c r="R872" i="42"/>
  <c r="R1081" i="42"/>
  <c r="R1110" i="42"/>
  <c r="R1213" i="42"/>
  <c r="R886" i="42"/>
  <c r="R1087" i="42"/>
  <c r="R1119" i="42"/>
  <c r="R1168" i="42"/>
  <c r="R1000" i="42"/>
  <c r="R1219" i="42"/>
  <c r="R897" i="42"/>
  <c r="R1095" i="42"/>
  <c r="R1128" i="42"/>
  <c r="R1181" i="42"/>
  <c r="R1025" i="42"/>
  <c r="R1104" i="42"/>
  <c r="R1138" i="42"/>
  <c r="R1043" i="42"/>
  <c r="R1223" i="42"/>
  <c r="R1057" i="42"/>
  <c r="R1106" i="42"/>
  <c r="R1140" i="42"/>
  <c r="R1063" i="42"/>
  <c r="R1141" i="42"/>
  <c r="R1075" i="42"/>
  <c r="R878" i="42"/>
  <c r="R982" i="42"/>
  <c r="R1011" i="42"/>
  <c r="R1033" i="42"/>
  <c r="R1052" i="42"/>
  <c r="R1475" i="42"/>
  <c r="R828" i="42"/>
  <c r="R829" i="42"/>
  <c r="R831" i="42"/>
  <c r="R834" i="42"/>
  <c r="R836" i="42"/>
  <c r="R840" i="42"/>
  <c r="R842" i="42"/>
  <c r="R843" i="42"/>
  <c r="R845" i="42"/>
  <c r="R852" i="42"/>
  <c r="R853" i="42"/>
  <c r="R855" i="42"/>
  <c r="R861" i="42"/>
  <c r="R864" i="42"/>
  <c r="R865" i="42"/>
  <c r="R866" i="42"/>
  <c r="R867" i="42"/>
  <c r="R868" i="42"/>
  <c r="R869" i="42"/>
  <c r="R870" i="42"/>
  <c r="R871" i="42"/>
  <c r="R873" i="42"/>
  <c r="R874" i="42"/>
  <c r="R875" i="42"/>
  <c r="R876" i="42"/>
  <c r="R877" i="42"/>
  <c r="R879" i="42"/>
  <c r="R882" i="42"/>
  <c r="R883" i="42"/>
  <c r="R884" i="42"/>
  <c r="R885" i="42"/>
  <c r="R887" i="42"/>
  <c r="R888" i="42"/>
  <c r="R889" i="42"/>
  <c r="R890" i="42"/>
  <c r="R891" i="42"/>
  <c r="R895" i="42"/>
  <c r="R896" i="42"/>
  <c r="R898" i="42"/>
  <c r="R899" i="42"/>
  <c r="R900" i="42"/>
  <c r="R903" i="42"/>
  <c r="R904" i="42"/>
  <c r="R905" i="42"/>
  <c r="R906" i="42"/>
  <c r="R958" i="42"/>
  <c r="R959" i="42"/>
  <c r="R960" i="42"/>
  <c r="R961" i="42"/>
  <c r="R965" i="42"/>
  <c r="R966" i="42"/>
  <c r="R967" i="42"/>
  <c r="R968" i="42"/>
  <c r="R969" i="42"/>
  <c r="R970" i="42"/>
  <c r="R971" i="42"/>
  <c r="R972" i="42"/>
  <c r="R973" i="42"/>
  <c r="R974" i="42"/>
  <c r="R975" i="42"/>
  <c r="R976" i="42"/>
  <c r="R977" i="42"/>
  <c r="R978" i="42"/>
  <c r="R979" i="42"/>
  <c r="R980" i="42"/>
  <c r="R981" i="42"/>
  <c r="R983" i="42"/>
  <c r="R984" i="42"/>
  <c r="R985" i="42"/>
  <c r="R986" i="42"/>
  <c r="R987" i="42"/>
  <c r="R988" i="42"/>
  <c r="R989" i="42"/>
  <c r="R990" i="42"/>
  <c r="R991" i="42"/>
  <c r="R992" i="42"/>
  <c r="R993" i="42"/>
  <c r="R994" i="42"/>
  <c r="R995" i="42"/>
  <c r="R996" i="42"/>
  <c r="R998" i="42"/>
  <c r="R1001" i="42"/>
  <c r="R1002" i="42"/>
  <c r="R1003" i="42"/>
  <c r="R1004" i="42"/>
  <c r="R1005" i="42"/>
  <c r="R1007" i="42"/>
  <c r="R1008" i="42"/>
  <c r="R1009" i="42"/>
  <c r="R1010" i="42"/>
  <c r="R1012" i="42"/>
  <c r="R1013" i="42"/>
  <c r="R1014" i="42"/>
  <c r="R1015" i="42"/>
  <c r="R1016" i="42"/>
  <c r="R1017" i="42"/>
  <c r="R1018" i="42"/>
  <c r="R1019" i="42"/>
  <c r="R1020" i="42"/>
  <c r="R1021" i="42"/>
  <c r="R1023" i="42"/>
  <c r="R1026" i="42"/>
  <c r="R1027" i="42"/>
  <c r="R1028" i="42"/>
  <c r="R1029" i="42"/>
  <c r="R1031" i="42"/>
  <c r="R1032" i="42"/>
  <c r="R1034" i="42"/>
  <c r="R1035" i="42"/>
  <c r="R1036" i="42"/>
  <c r="R1037" i="42"/>
  <c r="R1038" i="42"/>
  <c r="R1039" i="42"/>
  <c r="R1040" i="42"/>
  <c r="R1044" i="42"/>
  <c r="R1045" i="42"/>
  <c r="R1046" i="42"/>
  <c r="R1047" i="42"/>
  <c r="R1048" i="42"/>
  <c r="R1050" i="42"/>
  <c r="R1051" i="42"/>
  <c r="R1053" i="42"/>
  <c r="R1054" i="42"/>
  <c r="R1055" i="42"/>
  <c r="R1058" i="42"/>
  <c r="R1059" i="42"/>
  <c r="R1060" i="42"/>
  <c r="R1064" i="42"/>
  <c r="R1065" i="42"/>
  <c r="R1066" i="42"/>
  <c r="R1067" i="42"/>
  <c r="R1069" i="42"/>
  <c r="R1070" i="42"/>
  <c r="R1071" i="42"/>
  <c r="R1073" i="42"/>
  <c r="R1074" i="42"/>
  <c r="R1076" i="42"/>
  <c r="R1077" i="42"/>
  <c r="R1079" i="42"/>
  <c r="R1082" i="42"/>
  <c r="R1083" i="42"/>
  <c r="R1084" i="42"/>
  <c r="R1085" i="42"/>
  <c r="R1088" i="42"/>
  <c r="R1090" i="42"/>
  <c r="R1091" i="42"/>
  <c r="R1092" i="42"/>
  <c r="R1093" i="42"/>
  <c r="R1096" i="42"/>
  <c r="R1098" i="42"/>
  <c r="R1099" i="42"/>
  <c r="R1100" i="42"/>
  <c r="R1102" i="42"/>
  <c r="R1107" i="42"/>
  <c r="R1108" i="42"/>
  <c r="R1111" i="42"/>
  <c r="R1113" i="42"/>
  <c r="R1114" i="42"/>
  <c r="R1115" i="42"/>
  <c r="R1116" i="42"/>
  <c r="R1117" i="42"/>
  <c r="R1120" i="42"/>
  <c r="R1122" i="42"/>
  <c r="R1123" i="42"/>
  <c r="R1124" i="42"/>
  <c r="R1125" i="42"/>
  <c r="R1129" i="42"/>
  <c r="R1131" i="42"/>
  <c r="R1132" i="42"/>
  <c r="R1133" i="42"/>
  <c r="R1136" i="42"/>
  <c r="R1137" i="42"/>
  <c r="R1142" i="42"/>
  <c r="R1143" i="42"/>
  <c r="R1145" i="42"/>
  <c r="R1147" i="42"/>
  <c r="R1148" i="42"/>
  <c r="R1149" i="42"/>
  <c r="R1150" i="42"/>
  <c r="R1152" i="42"/>
  <c r="R1153" i="42"/>
  <c r="R1154" i="42"/>
  <c r="R1155" i="42"/>
  <c r="R1156" i="42"/>
  <c r="R1157" i="42"/>
  <c r="R1158" i="42"/>
  <c r="R1159" i="42"/>
  <c r="R1160" i="42"/>
  <c r="R1164" i="42"/>
  <c r="R1165" i="42"/>
  <c r="R1166" i="42"/>
  <c r="R1167" i="42"/>
  <c r="R1169" i="42"/>
  <c r="R1170" i="42"/>
  <c r="R1171" i="42"/>
  <c r="R1172" i="42"/>
  <c r="R1176" i="42"/>
  <c r="R1177" i="42"/>
  <c r="R1178" i="42"/>
  <c r="R1179" i="42"/>
  <c r="R1180" i="42"/>
  <c r="R1182" i="42"/>
  <c r="R1183" i="42"/>
  <c r="R1186" i="42"/>
  <c r="R1188" i="42"/>
  <c r="R1189" i="42"/>
  <c r="R1190" i="42"/>
  <c r="R1210" i="42"/>
  <c r="R1214" i="42"/>
  <c r="R1215" i="42"/>
  <c r="R1216" i="42"/>
  <c r="R1220" i="42"/>
  <c r="R1242" i="42"/>
  <c r="R1243" i="42"/>
  <c r="R1244" i="42"/>
  <c r="R1276" i="42"/>
  <c r="R1283" i="42"/>
  <c r="R1284" i="42"/>
  <c r="R1287" i="42"/>
  <c r="R1288" i="42"/>
  <c r="R1291" i="42"/>
  <c r="R1294" i="42"/>
  <c r="R1295" i="42"/>
  <c r="R1312" i="42"/>
  <c r="R1313" i="42"/>
  <c r="R1314" i="42"/>
  <c r="R1315" i="42"/>
  <c r="R1350" i="42"/>
  <c r="R1355" i="42"/>
  <c r="R1357" i="42"/>
  <c r="R1366" i="42"/>
  <c r="R1368" i="42"/>
  <c r="R1370" i="42"/>
  <c r="R1371" i="42"/>
  <c r="R1373" i="42"/>
  <c r="R1377" i="42"/>
  <c r="R1379" i="42"/>
  <c r="R1380" i="42"/>
  <c r="R1382" i="42"/>
  <c r="R1384" i="42"/>
  <c r="R1423" i="42"/>
  <c r="R1428" i="42"/>
  <c r="R1429" i="42"/>
  <c r="R1430" i="42"/>
  <c r="R1432" i="42"/>
  <c r="R1433" i="42"/>
  <c r="R1435" i="42"/>
  <c r="R1437" i="42"/>
  <c r="R1438" i="42"/>
  <c r="R1440" i="42"/>
  <c r="R1441" i="42"/>
  <c r="R1442" i="42"/>
  <c r="R1446" i="42"/>
  <c r="R1452" i="42"/>
  <c r="R816" i="42"/>
  <c r="AA1302" i="42"/>
  <c r="AH5" i="1"/>
  <c r="AH6" i="1"/>
  <c r="AH7" i="1"/>
  <c r="AH8" i="1"/>
  <c r="AH9" i="1"/>
  <c r="AH10" i="1"/>
  <c r="AH11" i="1"/>
  <c r="AH12" i="1"/>
  <c r="AH13" i="1"/>
  <c r="AH14" i="1"/>
  <c r="AH15" i="1"/>
  <c r="AH16" i="1"/>
  <c r="AH17" i="1"/>
  <c r="AH18" i="1"/>
  <c r="AH19" i="1"/>
  <c r="AH20" i="1"/>
  <c r="AH21" i="1"/>
  <c r="AH22"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2" i="1"/>
  <c r="AH63" i="1"/>
  <c r="AH64" i="1"/>
  <c r="AH65" i="1"/>
  <c r="AH66" i="1"/>
  <c r="AH67" i="1"/>
  <c r="AH68" i="1"/>
  <c r="AH69" i="1"/>
  <c r="AH70" i="1"/>
  <c r="AH71" i="1"/>
  <c r="AH72" i="1"/>
  <c r="AH73" i="1"/>
  <c r="AH74" i="1"/>
  <c r="AH75" i="1"/>
  <c r="AH76" i="1"/>
  <c r="AH77" i="1"/>
  <c r="AH78" i="1"/>
  <c r="AH79" i="1"/>
  <c r="AH80" i="1"/>
  <c r="AH81" i="1"/>
  <c r="AH82" i="1"/>
  <c r="AH83" i="1"/>
  <c r="AH84" i="1"/>
  <c r="AH85" i="1"/>
  <c r="AH86" i="1"/>
  <c r="AH87" i="1"/>
  <c r="AH88" i="1"/>
  <c r="AH89" i="1"/>
  <c r="AH90" i="1"/>
  <c r="AH91" i="1"/>
  <c r="AH92" i="1"/>
  <c r="AH93" i="1"/>
  <c r="AH94" i="1"/>
  <c r="AH95" i="1"/>
  <c r="AH96" i="1"/>
  <c r="AH97" i="1"/>
  <c r="AH98" i="1"/>
  <c r="AH99" i="1"/>
  <c r="AH100" i="1"/>
  <c r="AH101" i="1"/>
  <c r="AH102" i="1"/>
  <c r="AH103" i="1"/>
  <c r="AH104" i="1"/>
  <c r="AH105" i="1"/>
  <c r="AH106" i="1"/>
  <c r="AH107" i="1"/>
  <c r="AH108" i="1"/>
  <c r="AH109" i="1"/>
  <c r="AH110" i="1"/>
  <c r="AH111" i="1"/>
  <c r="AH112" i="1"/>
  <c r="AH113" i="1"/>
  <c r="AH114" i="1"/>
  <c r="AH115" i="1"/>
  <c r="AH116" i="1"/>
  <c r="AH117" i="1"/>
  <c r="AH118" i="1"/>
  <c r="AH119" i="1"/>
  <c r="AH120" i="1"/>
  <c r="AH121" i="1"/>
  <c r="AH122" i="1"/>
  <c r="AH123" i="1"/>
  <c r="AH124" i="1"/>
  <c r="AH125" i="1"/>
  <c r="AH126" i="1"/>
  <c r="AH127" i="1"/>
  <c r="AH128" i="1"/>
  <c r="AH129" i="1"/>
  <c r="AH130" i="1"/>
  <c r="AH131" i="1"/>
  <c r="AH132" i="1"/>
  <c r="AH133" i="1"/>
  <c r="AH134" i="1"/>
  <c r="AH135" i="1"/>
  <c r="AH136" i="1"/>
  <c r="AH137" i="1"/>
  <c r="AH138" i="1"/>
  <c r="AH139" i="1"/>
  <c r="AH140" i="1"/>
  <c r="AH141" i="1"/>
  <c r="AH142" i="1"/>
  <c r="AH143" i="1"/>
  <c r="AH144" i="1"/>
  <c r="AH145" i="1"/>
  <c r="AH146" i="1"/>
  <c r="AH147" i="1"/>
  <c r="AH148" i="1"/>
  <c r="AH149" i="1"/>
  <c r="AH150" i="1"/>
  <c r="AH151" i="1"/>
  <c r="AH152" i="1"/>
  <c r="AH153" i="1"/>
  <c r="AH154" i="1"/>
  <c r="AH155" i="1"/>
  <c r="AH156" i="1"/>
  <c r="AH157" i="1"/>
  <c r="AH158" i="1"/>
  <c r="AH159" i="1"/>
  <c r="AH160" i="1"/>
  <c r="AH161" i="1"/>
  <c r="AH162" i="1"/>
  <c r="AH163" i="1"/>
  <c r="AH164" i="1"/>
  <c r="AH165" i="1"/>
  <c r="AH166" i="1"/>
  <c r="AH167" i="1"/>
  <c r="AH168" i="1"/>
  <c r="AH169" i="1"/>
  <c r="AH170" i="1"/>
  <c r="AH171" i="1"/>
  <c r="AH172" i="1"/>
  <c r="AH173" i="1"/>
  <c r="AH174" i="1"/>
  <c r="AH175" i="1"/>
  <c r="AH176" i="1"/>
  <c r="AH177" i="1"/>
  <c r="AH178" i="1"/>
  <c r="AH179" i="1"/>
  <c r="AH180" i="1"/>
  <c r="AH181" i="1"/>
  <c r="AH182" i="1"/>
  <c r="AH183" i="1"/>
  <c r="AH184" i="1"/>
  <c r="AH185" i="1"/>
  <c r="AH186" i="1"/>
  <c r="AH187" i="1"/>
  <c r="AH188" i="1"/>
  <c r="AH189" i="1"/>
  <c r="AH190" i="1"/>
  <c r="AH191" i="1"/>
  <c r="AH192" i="1"/>
  <c r="AH193" i="1"/>
  <c r="AH194" i="1"/>
  <c r="AH195" i="1"/>
  <c r="AH196" i="1"/>
  <c r="AH197" i="1"/>
  <c r="AH198" i="1"/>
  <c r="AH199" i="1"/>
  <c r="AH200" i="1"/>
  <c r="AH201" i="1"/>
  <c r="AH202" i="1"/>
  <c r="AH203" i="1"/>
  <c r="AH204" i="1"/>
  <c r="R1397" i="42"/>
  <c r="R1396" i="42"/>
  <c r="R1348" i="42"/>
  <c r="R1347" i="42"/>
  <c r="R1346" i="42"/>
  <c r="R1345" i="42"/>
  <c r="R1344" i="42"/>
  <c r="R1343" i="42"/>
  <c r="R1342" i="42"/>
  <c r="R1341" i="42"/>
  <c r="R1340" i="42"/>
  <c r="R1339" i="42"/>
  <c r="R1338" i="42"/>
  <c r="R1337" i="42"/>
  <c r="R1336" i="42"/>
  <c r="R1335" i="42"/>
  <c r="R1334" i="42"/>
  <c r="R1333" i="42"/>
  <c r="R1332" i="42"/>
  <c r="R1331" i="42"/>
  <c r="R1330" i="42"/>
  <c r="R1329" i="42"/>
  <c r="R1328" i="42"/>
  <c r="R1327" i="42"/>
  <c r="R1326" i="42"/>
  <c r="R1325" i="42"/>
  <c r="R1324" i="42"/>
  <c r="R1323" i="42"/>
  <c r="R1322" i="42"/>
  <c r="R1321" i="42"/>
  <c r="R1320" i="42"/>
  <c r="R1319" i="42"/>
  <c r="R1318" i="42"/>
  <c r="R1317" i="42"/>
  <c r="R1301" i="42"/>
  <c r="R1300" i="42"/>
  <c r="R1273" i="42"/>
  <c r="R1272" i="42"/>
  <c r="R1271" i="42"/>
  <c r="R1270" i="42"/>
  <c r="R1269" i="42"/>
  <c r="R1268" i="42"/>
  <c r="R1267" i="42"/>
  <c r="R1266" i="42"/>
  <c r="R1265" i="42"/>
  <c r="R1264" i="42"/>
  <c r="R1263" i="42"/>
  <c r="R1262" i="42"/>
  <c r="R1261" i="42"/>
  <c r="R1260" i="42"/>
  <c r="R1259" i="42"/>
  <c r="R1258" i="42"/>
  <c r="R1257" i="42"/>
  <c r="R1256" i="42"/>
  <c r="R1255" i="42"/>
  <c r="R1254" i="42"/>
  <c r="R1253" i="42"/>
  <c r="R1252" i="42"/>
  <c r="R1251" i="42"/>
  <c r="R1250" i="42"/>
  <c r="R1249" i="42"/>
  <c r="R1248" i="42"/>
  <c r="R1239" i="42"/>
  <c r="R1231" i="42"/>
  <c r="R1230" i="42"/>
  <c r="R1205" i="42"/>
  <c r="R1204" i="42"/>
  <c r="R1203" i="42"/>
  <c r="R1202" i="42"/>
  <c r="R1201" i="42"/>
  <c r="R1200" i="42"/>
  <c r="R1199" i="42"/>
  <c r="R1198" i="42"/>
  <c r="R1197" i="42"/>
  <c r="R1196" i="42"/>
  <c r="R1195" i="42"/>
  <c r="R1194" i="42"/>
  <c r="R1193" i="42"/>
  <c r="R957" i="42"/>
  <c r="R956" i="42"/>
  <c r="R955" i="42"/>
  <c r="R954" i="42"/>
  <c r="R953" i="42"/>
  <c r="R952" i="42"/>
  <c r="R951" i="42"/>
  <c r="R950" i="42"/>
  <c r="R949" i="42"/>
  <c r="R948" i="42"/>
  <c r="R947" i="42"/>
  <c r="R946" i="42"/>
  <c r="R945" i="42"/>
  <c r="R944" i="42"/>
  <c r="R943" i="42"/>
  <c r="R942" i="42"/>
  <c r="R941" i="42"/>
  <c r="R940" i="42"/>
  <c r="R939" i="42"/>
  <c r="R938" i="42"/>
  <c r="R937" i="42"/>
  <c r="R936" i="42"/>
  <c r="R935" i="42"/>
  <c r="R934" i="42"/>
  <c r="R933" i="42"/>
  <c r="R932" i="42"/>
  <c r="R931" i="42"/>
  <c r="R930" i="42"/>
  <c r="R929" i="42"/>
  <c r="R928" i="42"/>
  <c r="R927" i="42"/>
  <c r="R926" i="42"/>
  <c r="R925" i="42"/>
  <c r="R924" i="42"/>
  <c r="R923" i="42"/>
  <c r="R922" i="42"/>
  <c r="R921" i="42"/>
  <c r="R920" i="42"/>
  <c r="R919" i="42"/>
  <c r="R918" i="42"/>
  <c r="R917" i="42"/>
  <c r="R916" i="42"/>
  <c r="R915" i="42"/>
  <c r="R914" i="42"/>
  <c r="R913" i="42"/>
  <c r="R912" i="42"/>
  <c r="R911" i="42"/>
  <c r="R910" i="42"/>
  <c r="R909" i="42"/>
  <c r="R908" i="42"/>
  <c r="R907" i="42"/>
  <c r="R860" i="42"/>
  <c r="R859" i="42"/>
  <c r="R858" i="42"/>
  <c r="R857" i="42"/>
  <c r="R827" i="42"/>
  <c r="R826" i="42"/>
  <c r="R825" i="42"/>
  <c r="R824" i="42"/>
  <c r="R823" i="42"/>
  <c r="R822" i="42"/>
  <c r="R821" i="42"/>
  <c r="R820" i="42"/>
  <c r="R809" i="42"/>
  <c r="R808" i="42"/>
  <c r="R807" i="42"/>
  <c r="R806" i="42"/>
  <c r="R805" i="42"/>
  <c r="R804" i="42"/>
  <c r="R803" i="42"/>
  <c r="R802" i="42"/>
  <c r="R801" i="42"/>
  <c r="R800" i="42"/>
  <c r="R799" i="42"/>
  <c r="R1274" i="42"/>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AA1575" i="42"/>
  <c r="AA1574" i="42"/>
  <c r="AA1573" i="42"/>
  <c r="AA1572" i="42"/>
  <c r="AA1571" i="42"/>
  <c r="AA1570" i="42"/>
  <c r="AA1569" i="42"/>
  <c r="AA1568" i="42"/>
  <c r="AA1567" i="42"/>
  <c r="AA1566" i="42"/>
  <c r="AA1565" i="42"/>
  <c r="AA1564" i="42"/>
  <c r="AA1563" i="42"/>
  <c r="AA1562" i="42"/>
  <c r="AA1561" i="42"/>
  <c r="AA1560" i="42"/>
  <c r="AA1559" i="42"/>
  <c r="AA1558" i="42"/>
  <c r="AA1557" i="42"/>
  <c r="AA1556" i="42"/>
  <c r="AA1555" i="42"/>
  <c r="AA1554" i="42"/>
  <c r="AA1553" i="42"/>
  <c r="AA1552" i="42"/>
  <c r="AA1551" i="42"/>
  <c r="AA1550" i="42"/>
  <c r="AA1549" i="42"/>
  <c r="AA1548" i="42"/>
  <c r="AA1547" i="42"/>
  <c r="AA1546" i="42"/>
  <c r="AA1545" i="42"/>
  <c r="AA1544" i="42"/>
  <c r="AA1543" i="42"/>
  <c r="AA1542" i="42"/>
  <c r="AA1541" i="42"/>
  <c r="AA1540" i="42"/>
  <c r="AA1539" i="42"/>
  <c r="AA1538" i="42"/>
  <c r="AA1537" i="42"/>
  <c r="AA1536" i="42"/>
  <c r="AA1535" i="42"/>
  <c r="AA1534" i="42"/>
  <c r="AA1533" i="42"/>
  <c r="AA1532" i="42"/>
  <c r="AA1531" i="42"/>
  <c r="AA1530" i="42"/>
  <c r="AA1529" i="42"/>
  <c r="AA1528" i="42"/>
  <c r="AA1527" i="42"/>
  <c r="AA1526" i="42"/>
  <c r="AA1525" i="42"/>
  <c r="AA1524" i="42"/>
  <c r="AA1523" i="42"/>
  <c r="AA1522" i="42"/>
  <c r="AA1521" i="42"/>
  <c r="AA1520" i="42"/>
  <c r="AA1519" i="42"/>
  <c r="AA1518" i="42"/>
  <c r="AA1517" i="42"/>
  <c r="AA1516" i="42"/>
  <c r="AA1515" i="42"/>
  <c r="AA1514" i="42"/>
  <c r="AA1513" i="42"/>
  <c r="AA1512" i="42"/>
  <c r="AA1511" i="42"/>
  <c r="AA1510" i="42"/>
  <c r="AA1509" i="42"/>
  <c r="AA1508" i="42"/>
  <c r="AA1507" i="42"/>
  <c r="AA1506" i="42"/>
  <c r="AA1505" i="42"/>
  <c r="AA1504" i="42"/>
  <c r="AA1503" i="42"/>
  <c r="AA1502" i="42"/>
  <c r="AA1501" i="42"/>
  <c r="AA1500" i="42"/>
  <c r="AA1499" i="42"/>
  <c r="AA1498" i="42"/>
  <c r="AA1497" i="42"/>
  <c r="AA1496" i="42"/>
  <c r="AA1495" i="42"/>
  <c r="AA1494" i="42"/>
  <c r="AA1493" i="42"/>
  <c r="AA1492" i="42"/>
  <c r="AA1491" i="42"/>
  <c r="AA1490" i="42"/>
  <c r="AA1489" i="42"/>
  <c r="AA1488" i="42"/>
  <c r="AA1487" i="42"/>
  <c r="AA1486" i="42"/>
  <c r="AA1485" i="42"/>
  <c r="AA1484" i="42"/>
  <c r="AA1483" i="42"/>
  <c r="AA1482" i="42"/>
  <c r="AA1481" i="42"/>
  <c r="AA1480" i="42"/>
  <c r="AA1479" i="42"/>
  <c r="AA1478" i="42"/>
  <c r="AA1477" i="42"/>
  <c r="AA1476" i="42"/>
  <c r="AA1475" i="42"/>
  <c r="AA1474" i="42"/>
  <c r="AA1473" i="42"/>
  <c r="AA1472" i="42"/>
  <c r="AA1471" i="42"/>
  <c r="AA1470" i="42"/>
  <c r="AA1469" i="42"/>
  <c r="AA1468" i="42"/>
  <c r="AA1467" i="42"/>
  <c r="AA1466" i="42"/>
  <c r="AA1465" i="42"/>
  <c r="AA1464" i="42"/>
  <c r="AA1463" i="42"/>
  <c r="AA1462" i="42"/>
  <c r="AA1461" i="42"/>
  <c r="AA1460" i="42"/>
  <c r="AA1459" i="42"/>
  <c r="AA1458" i="42"/>
  <c r="AA1457" i="42"/>
  <c r="AA1456" i="42"/>
  <c r="AA1455" i="42"/>
  <c r="AA1454" i="42"/>
  <c r="AA1441" i="42"/>
  <c r="AA1440" i="42"/>
  <c r="AA1439" i="42"/>
  <c r="AA1438" i="42"/>
  <c r="AA1437" i="42"/>
  <c r="AA1436" i="42"/>
  <c r="AA1435" i="42"/>
  <c r="AA1434" i="42"/>
  <c r="AA1433" i="42"/>
  <c r="AA1432" i="42"/>
  <c r="AA1431" i="42"/>
  <c r="AA1430" i="42"/>
  <c r="AA1429" i="42"/>
  <c r="AA1428" i="42"/>
  <c r="AA1427" i="42"/>
  <c r="AA1426" i="42"/>
  <c r="AA1425" i="42"/>
  <c r="AA1424" i="42"/>
  <c r="AA1423" i="42"/>
  <c r="AA1422" i="42"/>
  <c r="AA1421" i="42"/>
  <c r="AA1420" i="42"/>
  <c r="AA1419" i="42"/>
  <c r="AA1418" i="42"/>
  <c r="AA1417" i="42"/>
  <c r="AA1416" i="42"/>
  <c r="AA1415" i="42"/>
  <c r="AA1414" i="42"/>
  <c r="AA1413" i="42"/>
  <c r="AA1412" i="42"/>
  <c r="AA1411" i="42"/>
  <c r="AA1410" i="42"/>
  <c r="AA1409" i="42"/>
  <c r="AA1408" i="42"/>
  <c r="AA1407" i="42"/>
  <c r="AA1406" i="42"/>
  <c r="AA1405" i="42"/>
  <c r="AA1404" i="42"/>
  <c r="AA1403" i="42"/>
  <c r="AA1402" i="42"/>
  <c r="AA1401" i="42"/>
  <c r="AA1400" i="42"/>
  <c r="AA1399" i="42"/>
  <c r="AA1398" i="42"/>
  <c r="AA1397" i="42"/>
  <c r="AA1396" i="42"/>
  <c r="AA1348" i="42"/>
  <c r="AA1347" i="42"/>
  <c r="AA1346" i="42"/>
  <c r="AA1345" i="42"/>
  <c r="AA1344" i="42"/>
  <c r="AA1343" i="42"/>
  <c r="AA1342" i="42"/>
  <c r="AA1341" i="42"/>
  <c r="AA1340" i="42"/>
  <c r="AA1339" i="42"/>
  <c r="AA1338" i="42"/>
  <c r="AA1337" i="42"/>
  <c r="AA1336" i="42"/>
  <c r="AA1335" i="42"/>
  <c r="AA1334" i="42"/>
  <c r="AA1333" i="42"/>
  <c r="AA1332" i="42"/>
  <c r="AA1331" i="42"/>
  <c r="AA1330" i="42"/>
  <c r="AA1329" i="42"/>
  <c r="AA1328" i="42"/>
  <c r="AA1327" i="42"/>
  <c r="AA1326" i="42"/>
  <c r="AA1325" i="42"/>
  <c r="AA1324" i="42"/>
  <c r="AA1323" i="42"/>
  <c r="AA1322" i="42"/>
  <c r="AA1321" i="42"/>
  <c r="AA1320" i="42"/>
  <c r="AA1319" i="42"/>
  <c r="AA1318" i="42"/>
  <c r="AA1317" i="42"/>
  <c r="AA1301" i="42"/>
  <c r="AA1300" i="42"/>
  <c r="AA1281" i="42"/>
  <c r="AA1274" i="42"/>
  <c r="AA1273" i="42"/>
  <c r="AA1272" i="42"/>
  <c r="AA1271" i="42"/>
  <c r="AA1270" i="42"/>
  <c r="AA1269" i="42"/>
  <c r="AA1268" i="42"/>
  <c r="AA1267" i="42"/>
  <c r="AA1266" i="42"/>
  <c r="AA1265" i="42"/>
  <c r="AA1264" i="42"/>
  <c r="AA1263" i="42"/>
  <c r="AA1262" i="42"/>
  <c r="AA1261" i="42"/>
  <c r="AA1260" i="42"/>
  <c r="AA1259" i="42"/>
  <c r="AA1258" i="42"/>
  <c r="AA1257" i="42"/>
  <c r="AA1256" i="42"/>
  <c r="AA1255" i="42"/>
  <c r="AA1254" i="42"/>
  <c r="AA1253" i="42"/>
  <c r="AA1252" i="42"/>
  <c r="AA1251" i="42"/>
  <c r="AA1250" i="42"/>
  <c r="AA1249" i="42"/>
  <c r="AA1248" i="42"/>
  <c r="AA1239" i="42"/>
  <c r="AA1238" i="42"/>
  <c r="AA1237" i="42"/>
  <c r="AA1236" i="42"/>
  <c r="AA1235" i="42"/>
  <c r="AA1234" i="42"/>
  <c r="AA1233" i="42"/>
  <c r="AA1232" i="42"/>
  <c r="AA1231" i="42"/>
  <c r="AA1230" i="42"/>
  <c r="AA1229" i="42"/>
  <c r="AA1228" i="42"/>
  <c r="AA1227" i="42"/>
  <c r="AA1226" i="42"/>
  <c r="AA1225" i="42"/>
  <c r="AA1224" i="42"/>
  <c r="AA1223" i="42"/>
  <c r="AA1222" i="42"/>
  <c r="AA1221" i="42"/>
  <c r="AA1220" i="42"/>
  <c r="AA1219" i="42"/>
  <c r="AA1218" i="42"/>
  <c r="AA1217" i="42"/>
  <c r="AA1216" i="42"/>
  <c r="AA1215" i="42"/>
  <c r="AA1214" i="42"/>
  <c r="AA1213" i="42"/>
  <c r="AA1212" i="42"/>
  <c r="AA1211" i="42"/>
  <c r="AA1210" i="42"/>
  <c r="AA1209" i="42"/>
  <c r="AA1208" i="42"/>
  <c r="AA1207" i="42"/>
  <c r="AA1206" i="42"/>
  <c r="AA1205" i="42"/>
  <c r="AA1204" i="42"/>
  <c r="AA1203" i="42"/>
  <c r="AA1202" i="42"/>
  <c r="AA1201" i="42"/>
  <c r="AA1200" i="42"/>
  <c r="AA1199" i="42"/>
  <c r="AA1198" i="42"/>
  <c r="AA1197" i="42"/>
  <c r="AA1196" i="42"/>
  <c r="AA1195" i="42"/>
  <c r="AA1194" i="42"/>
  <c r="AA1193" i="42"/>
  <c r="AA1192" i="42"/>
  <c r="AA1191" i="42"/>
  <c r="AA1190" i="42"/>
  <c r="AA1189" i="42"/>
  <c r="AA1188" i="42"/>
  <c r="AA1187" i="42"/>
  <c r="AA1186" i="42"/>
  <c r="AA1185" i="42"/>
  <c r="AA1184" i="42"/>
  <c r="AA1183" i="42"/>
  <c r="AA1182" i="42"/>
  <c r="AA1181" i="42"/>
  <c r="AA1180" i="42"/>
  <c r="AA1179" i="42"/>
  <c r="AA1178" i="42"/>
  <c r="AA1177" i="42"/>
  <c r="AA1176" i="42"/>
  <c r="AA1175" i="42"/>
  <c r="AA1174" i="42"/>
  <c r="AA1173" i="42"/>
  <c r="AA1172" i="42"/>
  <c r="AA1171" i="42"/>
  <c r="AA1170" i="42"/>
  <c r="AA1169" i="42"/>
  <c r="AA1168" i="42"/>
  <c r="AA1167" i="42"/>
  <c r="AA1166" i="42"/>
  <c r="AA1165" i="42"/>
  <c r="AA1164" i="42"/>
  <c r="AA1163" i="42"/>
  <c r="AA1162" i="42"/>
  <c r="AA1161" i="42"/>
  <c r="AA1160" i="42"/>
  <c r="AA1159" i="42"/>
  <c r="AA1158" i="42"/>
  <c r="AA1157" i="42"/>
  <c r="AA1156" i="42"/>
  <c r="AA1155" i="42"/>
  <c r="AA1154" i="42"/>
  <c r="AA1153" i="42"/>
  <c r="AA1152" i="42"/>
  <c r="AA1151" i="42"/>
  <c r="AA1150" i="42"/>
  <c r="AA1149" i="42"/>
  <c r="AA1148" i="42"/>
  <c r="AA1147" i="42"/>
  <c r="AA1146" i="42"/>
  <c r="AA1145" i="42"/>
  <c r="AA1144" i="42"/>
  <c r="AA1143" i="42"/>
  <c r="AA1142" i="42"/>
  <c r="AA1141" i="42"/>
  <c r="AA1140" i="42"/>
  <c r="AA1139" i="42"/>
  <c r="AA1138" i="42"/>
  <c r="AA1137" i="42"/>
  <c r="AA1136" i="42"/>
  <c r="AA1135" i="42"/>
  <c r="AA1134" i="42"/>
  <c r="AA1133" i="42"/>
  <c r="AA1132" i="42"/>
  <c r="AA1131" i="42"/>
  <c r="AA1130" i="42"/>
  <c r="AA1129" i="42"/>
  <c r="AA1128" i="42"/>
  <c r="AA1127" i="42"/>
  <c r="AA1126" i="42"/>
  <c r="AA1125" i="42"/>
  <c r="AA1124" i="42"/>
  <c r="AA1123" i="42"/>
  <c r="AA1122" i="42"/>
  <c r="AA1121" i="42"/>
  <c r="AA1120" i="42"/>
  <c r="AA1119" i="42"/>
  <c r="AA1118" i="42"/>
  <c r="AA1117" i="42"/>
  <c r="AA1116" i="42"/>
  <c r="AA1115" i="42"/>
  <c r="AA1114" i="42"/>
  <c r="AA1113" i="42"/>
  <c r="AA1112" i="42"/>
  <c r="AA1111" i="42"/>
  <c r="AA1110" i="42"/>
  <c r="AA1109" i="42"/>
  <c r="AA1108" i="42"/>
  <c r="AA1107" i="42"/>
  <c r="AA1106" i="42"/>
  <c r="AA1105" i="42"/>
  <c r="AA1104" i="42"/>
  <c r="AA1103" i="42"/>
  <c r="AA1102" i="42"/>
  <c r="AA1101" i="42"/>
  <c r="AA1100" i="42"/>
  <c r="AA1099" i="42"/>
  <c r="AA1098" i="42"/>
  <c r="AA1097" i="42"/>
  <c r="AA1096" i="42"/>
  <c r="AA1095" i="42"/>
  <c r="AA1094" i="42"/>
  <c r="AA1093" i="42"/>
  <c r="AA1092" i="42"/>
  <c r="AA1091" i="42"/>
  <c r="AA1090" i="42"/>
  <c r="AA1089" i="42"/>
  <c r="AA1088" i="42"/>
  <c r="AA1087" i="42"/>
  <c r="AA1086" i="42"/>
  <c r="AA1085" i="42"/>
  <c r="AA1084" i="42"/>
  <c r="AA1083" i="42"/>
  <c r="AA1082" i="42"/>
  <c r="AA1081" i="42"/>
  <c r="AA1080" i="42"/>
  <c r="AA1079" i="42"/>
  <c r="AA1078" i="42"/>
  <c r="AA1077" i="42"/>
  <c r="AA1076" i="42"/>
  <c r="AA1075" i="42"/>
  <c r="AA1074" i="42"/>
  <c r="AA1073" i="42"/>
  <c r="AA1072" i="42"/>
  <c r="AA1071" i="42"/>
  <c r="AA1070" i="42"/>
  <c r="AA1069" i="42"/>
  <c r="AA1068" i="42"/>
  <c r="AA1067" i="42"/>
  <c r="AA1066" i="42"/>
  <c r="AA1065" i="42"/>
  <c r="AA1064" i="42"/>
  <c r="AA1063" i="42"/>
  <c r="AA1062" i="42"/>
  <c r="AA1061" i="42"/>
  <c r="AA1060" i="42"/>
  <c r="AA1059" i="42"/>
  <c r="AA1058" i="42"/>
  <c r="AA1057" i="42"/>
  <c r="AA1056" i="42"/>
  <c r="AA1055" i="42"/>
  <c r="AA1054" i="42"/>
  <c r="AA1053" i="42"/>
  <c r="AA1052" i="42"/>
  <c r="AA1051" i="42"/>
  <c r="AA1050" i="42"/>
  <c r="AA1049" i="42"/>
  <c r="AA1048" i="42"/>
  <c r="AA1047" i="42"/>
  <c r="AA1046" i="42"/>
  <c r="AA1045" i="42"/>
  <c r="AA1044" i="42"/>
  <c r="AA1043" i="42"/>
  <c r="AA1042" i="42"/>
  <c r="AA1041" i="42"/>
  <c r="AA1040" i="42"/>
  <c r="AA1039" i="42"/>
  <c r="AA1038" i="42"/>
  <c r="AA1037" i="42"/>
  <c r="AA1036" i="42"/>
  <c r="AA1035" i="42"/>
  <c r="AA1034" i="42"/>
  <c r="AA1033" i="42"/>
  <c r="AA1032" i="42"/>
  <c r="AA1031" i="42"/>
  <c r="AA1030" i="42"/>
  <c r="AA1029" i="42"/>
  <c r="AA1028" i="42"/>
  <c r="AA1027" i="42"/>
  <c r="AA1026" i="42"/>
  <c r="AA1025" i="42"/>
  <c r="AA1024" i="42"/>
  <c r="AA1023" i="42"/>
  <c r="AA1022" i="42"/>
  <c r="AA1021" i="42"/>
  <c r="AA1020" i="42"/>
  <c r="AA1019" i="42"/>
  <c r="AA1018" i="42"/>
  <c r="AA1017" i="42"/>
  <c r="AA1016" i="42"/>
  <c r="AA1015" i="42"/>
  <c r="AA1014" i="42"/>
  <c r="AA1013" i="42"/>
  <c r="AA1012" i="42"/>
  <c r="AA1011" i="42"/>
  <c r="AA1010" i="42"/>
  <c r="AA1009" i="42"/>
  <c r="AA1008" i="42"/>
  <c r="AA1007" i="42"/>
  <c r="AA1006" i="42"/>
  <c r="AA1005" i="42"/>
  <c r="AA1004" i="42"/>
  <c r="AA1003" i="42"/>
  <c r="AA1002" i="42"/>
  <c r="AA1001" i="42"/>
  <c r="AA1000" i="42"/>
  <c r="AA999" i="42"/>
  <c r="AA998" i="42"/>
  <c r="AA997" i="42"/>
  <c r="AA996" i="42"/>
  <c r="AA995" i="42"/>
  <c r="AA994" i="42"/>
  <c r="AA993" i="42"/>
  <c r="AA992" i="42"/>
  <c r="AA991" i="42"/>
  <c r="AA990" i="42"/>
  <c r="AA989" i="42"/>
  <c r="AA988" i="42"/>
  <c r="AA987" i="42"/>
  <c r="AA986" i="42"/>
  <c r="AA985" i="42"/>
  <c r="AA984" i="42"/>
  <c r="AA983" i="42"/>
  <c r="AA982" i="42"/>
  <c r="AA981" i="42"/>
  <c r="AA980" i="42"/>
  <c r="AA979" i="42"/>
  <c r="AA978" i="42"/>
  <c r="AA977" i="42"/>
  <c r="AA976" i="42"/>
  <c r="AA975" i="42"/>
  <c r="AA974" i="42"/>
  <c r="AA973" i="42"/>
  <c r="AA972" i="42"/>
  <c r="AA971" i="42"/>
  <c r="AA970" i="42"/>
  <c r="AA969" i="42"/>
  <c r="AA968" i="42"/>
  <c r="AA967" i="42"/>
  <c r="AA966" i="42"/>
  <c r="AA965" i="42"/>
  <c r="AA964" i="42"/>
  <c r="AA963" i="42"/>
  <c r="AA962" i="42"/>
  <c r="AA961" i="42"/>
  <c r="AA960" i="42"/>
  <c r="AA959" i="42"/>
  <c r="AA958" i="42"/>
  <c r="AA957" i="42"/>
  <c r="AA956" i="42"/>
  <c r="AA955" i="42"/>
  <c r="AA954" i="42"/>
  <c r="AA953" i="42"/>
  <c r="AA952" i="42"/>
  <c r="AA951" i="42"/>
  <c r="AA950" i="42"/>
  <c r="AA949" i="42"/>
  <c r="AA948" i="42"/>
  <c r="AA947" i="42"/>
  <c r="AA946" i="42"/>
  <c r="AA945" i="42"/>
  <c r="AA944" i="42"/>
  <c r="AA943" i="42"/>
  <c r="AA942" i="42"/>
  <c r="AA941" i="42"/>
  <c r="AA940" i="42"/>
  <c r="AA939" i="42"/>
  <c r="AA938" i="42"/>
  <c r="AA937" i="42"/>
  <c r="AA936" i="42"/>
  <c r="AA935" i="42"/>
  <c r="AA934" i="42"/>
  <c r="AA933" i="42"/>
  <c r="AA932" i="42"/>
  <c r="AA931" i="42"/>
  <c r="AA930" i="42"/>
  <c r="AA929" i="42"/>
  <c r="AA928" i="42"/>
  <c r="AA927" i="42"/>
  <c r="AA926" i="42"/>
  <c r="AA925" i="42"/>
  <c r="AA924" i="42"/>
  <c r="AA923" i="42"/>
  <c r="AA922" i="42"/>
  <c r="AA921" i="42"/>
  <c r="AA920" i="42"/>
  <c r="AA919" i="42"/>
  <c r="AA918" i="42"/>
  <c r="AA917" i="42"/>
  <c r="AA916" i="42"/>
  <c r="AA915" i="42"/>
  <c r="AA914" i="42"/>
  <c r="AA913" i="42"/>
  <c r="AA912" i="42"/>
  <c r="AA911" i="42"/>
  <c r="AA910" i="42"/>
  <c r="AA909" i="42"/>
  <c r="AA908" i="42"/>
  <c r="AA907" i="42"/>
  <c r="AA906" i="42"/>
  <c r="AA905" i="42"/>
  <c r="AA904" i="42"/>
  <c r="AA903" i="42"/>
  <c r="AA902" i="42"/>
  <c r="AA901" i="42"/>
  <c r="AA900" i="42"/>
  <c r="AA899" i="42"/>
  <c r="AA898" i="42"/>
  <c r="AA897" i="42"/>
  <c r="AA896" i="42"/>
  <c r="AA895" i="42"/>
  <c r="AA894" i="42"/>
  <c r="AA893" i="42"/>
  <c r="AA892" i="42"/>
  <c r="AA891" i="42"/>
  <c r="AA890" i="42"/>
  <c r="AA889" i="42"/>
  <c r="AA888" i="42"/>
  <c r="AA887" i="42"/>
  <c r="AA886" i="42"/>
  <c r="AA885" i="42"/>
  <c r="AA884" i="42"/>
  <c r="AA883" i="42"/>
  <c r="AA882" i="42"/>
  <c r="AA881" i="42"/>
  <c r="AA880" i="42"/>
  <c r="AA879" i="42"/>
  <c r="AA878" i="42"/>
  <c r="AA877" i="42"/>
  <c r="AA876" i="42"/>
  <c r="AA875" i="42"/>
  <c r="AA874" i="42"/>
  <c r="AA873" i="42"/>
  <c r="AA872" i="42"/>
  <c r="AA871" i="42"/>
  <c r="AA870" i="42"/>
  <c r="AA869" i="42"/>
  <c r="AA868" i="42"/>
  <c r="AA867" i="42"/>
  <c r="AA866" i="42"/>
  <c r="AA865" i="42"/>
  <c r="AA864" i="42"/>
  <c r="AA863" i="42"/>
  <c r="AA862" i="42"/>
  <c r="AA861" i="42"/>
  <c r="AA860" i="42"/>
  <c r="AA859" i="42"/>
  <c r="AA858" i="42"/>
  <c r="AA857" i="42"/>
  <c r="AA856" i="42"/>
  <c r="AA855" i="42"/>
  <c r="AA854" i="42"/>
  <c r="AA853" i="42"/>
  <c r="AA852" i="42"/>
  <c r="AA851" i="42"/>
  <c r="AA850" i="42"/>
  <c r="AA849" i="42"/>
  <c r="AA848" i="42"/>
  <c r="AA847" i="42"/>
  <c r="AA846" i="42"/>
  <c r="AA845" i="42"/>
  <c r="AA844" i="42"/>
  <c r="AA843" i="42"/>
  <c r="AA842" i="42"/>
  <c r="AA841" i="42"/>
  <c r="AA840" i="42"/>
  <c r="AA839" i="42"/>
  <c r="AA838" i="42"/>
  <c r="AA837" i="42"/>
  <c r="AA836" i="42"/>
  <c r="AA835" i="42"/>
  <c r="AA834" i="42"/>
  <c r="AA833" i="42"/>
  <c r="AA832" i="42"/>
  <c r="AA831" i="42"/>
  <c r="AA830" i="42"/>
  <c r="AA829" i="42"/>
  <c r="AA828" i="42"/>
  <c r="AA827" i="42"/>
  <c r="AA826" i="42"/>
  <c r="AA825" i="42"/>
  <c r="AA824" i="42"/>
  <c r="AA823" i="42"/>
  <c r="AA822" i="42"/>
  <c r="AA821" i="42"/>
  <c r="AA820" i="42"/>
  <c r="AA819" i="42"/>
  <c r="AA818" i="42"/>
  <c r="AA817" i="42"/>
  <c r="AA816" i="42"/>
  <c r="AA815" i="42"/>
  <c r="AA814" i="42"/>
  <c r="AA813" i="42"/>
  <c r="AA812" i="42"/>
  <c r="AA811" i="42"/>
  <c r="AA810" i="42"/>
  <c r="AA809" i="42"/>
  <c r="AA808" i="42"/>
  <c r="AA807" i="42"/>
  <c r="AA806" i="42"/>
  <c r="AA805" i="42"/>
  <c r="AA804" i="42"/>
  <c r="AA803" i="42"/>
  <c r="AA802" i="42"/>
  <c r="AA801" i="42"/>
  <c r="AA800" i="42"/>
  <c r="AA799" i="42"/>
  <c r="AA798" i="42"/>
  <c r="AA797" i="42"/>
  <c r="AA796" i="42"/>
  <c r="AA795" i="42"/>
  <c r="AA794" i="42"/>
  <c r="AA793" i="42"/>
  <c r="AA792" i="42"/>
  <c r="AA791" i="42"/>
  <c r="AA790" i="42"/>
  <c r="AA789" i="42"/>
  <c r="AA788" i="42"/>
  <c r="AA787" i="42"/>
  <c r="AA786" i="42"/>
  <c r="AA785" i="42"/>
  <c r="AA784" i="42"/>
  <c r="AA783" i="42"/>
  <c r="AA782" i="42"/>
  <c r="AA781" i="42"/>
  <c r="AA780" i="42"/>
  <c r="AA779" i="42"/>
  <c r="AA778" i="42"/>
  <c r="AA777" i="42"/>
  <c r="AA776" i="42"/>
  <c r="AA775" i="42"/>
  <c r="AA774" i="42"/>
  <c r="AA773" i="42"/>
  <c r="AA772" i="42"/>
  <c r="AA771" i="42"/>
  <c r="AA770" i="42"/>
  <c r="AA769" i="42"/>
  <c r="AA768" i="42"/>
  <c r="AA767" i="42"/>
  <c r="AA766" i="42"/>
  <c r="AA765" i="42"/>
  <c r="AA764" i="42"/>
  <c r="AA763" i="42"/>
  <c r="AA762" i="42"/>
  <c r="AA761" i="42"/>
  <c r="AA760" i="42"/>
  <c r="AA759" i="42"/>
  <c r="AA758" i="42"/>
  <c r="AA757" i="42"/>
  <c r="AA756" i="42"/>
  <c r="AA755" i="42"/>
  <c r="AA754" i="42"/>
  <c r="AA753" i="42"/>
  <c r="AA752" i="42"/>
  <c r="AA751" i="42"/>
  <c r="AA750" i="42"/>
  <c r="AA749" i="42"/>
  <c r="AA748" i="42"/>
  <c r="AA747" i="42"/>
  <c r="AA746" i="42"/>
  <c r="AA745" i="42"/>
  <c r="AA744" i="42"/>
  <c r="AA743" i="42"/>
  <c r="AA742" i="42"/>
  <c r="AA741" i="42"/>
  <c r="AA740" i="42"/>
  <c r="AA739" i="42"/>
  <c r="AA738" i="42"/>
  <c r="AA737" i="42"/>
  <c r="AA736" i="42"/>
  <c r="AA735" i="42"/>
  <c r="AA734" i="42"/>
  <c r="AA733" i="42"/>
  <c r="AA732" i="42"/>
  <c r="AA731" i="42"/>
  <c r="AA730" i="42"/>
  <c r="AA729" i="42"/>
  <c r="AA728" i="42"/>
  <c r="AA727" i="42"/>
  <c r="AA726" i="42"/>
  <c r="AA725" i="42"/>
  <c r="AA724" i="42"/>
  <c r="AA723" i="42"/>
  <c r="AA722" i="42"/>
  <c r="AA721" i="42"/>
  <c r="AA720" i="42"/>
  <c r="AA719" i="42"/>
  <c r="AA718" i="42"/>
  <c r="AA717" i="42"/>
  <c r="AA716" i="42"/>
  <c r="AA715" i="42"/>
  <c r="AA714" i="42"/>
  <c r="AA713" i="42"/>
  <c r="AA712" i="42"/>
  <c r="AA711" i="42"/>
  <c r="AA710" i="42"/>
  <c r="AA709" i="42"/>
  <c r="AA708" i="42"/>
  <c r="AA707" i="42"/>
  <c r="AA706" i="42"/>
  <c r="AA705" i="42"/>
  <c r="AA704" i="42"/>
  <c r="AA703" i="42"/>
  <c r="AA702" i="42"/>
  <c r="AA701" i="42"/>
  <c r="AA700" i="42"/>
  <c r="AA699" i="42"/>
  <c r="AA698" i="42"/>
  <c r="AA697" i="42"/>
  <c r="AA696" i="42"/>
  <c r="AA695" i="42"/>
  <c r="AA694" i="42"/>
  <c r="AA693" i="42"/>
  <c r="AA692" i="42"/>
  <c r="AA691" i="42"/>
  <c r="AA690" i="42"/>
  <c r="AA689" i="42"/>
  <c r="AA688" i="42"/>
  <c r="AA687" i="42"/>
  <c r="AA686" i="42"/>
  <c r="AA685" i="42"/>
  <c r="AA684" i="42"/>
  <c r="AA683" i="42"/>
  <c r="AA682" i="42"/>
  <c r="AA681" i="42"/>
  <c r="AA680" i="42"/>
  <c r="AA679" i="42"/>
  <c r="AA678" i="42"/>
  <c r="AA677" i="42"/>
  <c r="AA676" i="42"/>
  <c r="AA675" i="42"/>
  <c r="AA674" i="42"/>
  <c r="AA673" i="42"/>
  <c r="AA672" i="42"/>
  <c r="AA671" i="42"/>
  <c r="AA670" i="42"/>
  <c r="AA669" i="42"/>
  <c r="AA668" i="42"/>
  <c r="AA667" i="42"/>
  <c r="AA666" i="42"/>
  <c r="AA665" i="42"/>
  <c r="AA664" i="42"/>
  <c r="AA663" i="42"/>
  <c r="AA662" i="42"/>
  <c r="AA661" i="42"/>
  <c r="AA660" i="42"/>
  <c r="AA659" i="42"/>
  <c r="AA658" i="42"/>
  <c r="AA657" i="42"/>
  <c r="AA656" i="42"/>
  <c r="AA655" i="42"/>
  <c r="AA654" i="42"/>
  <c r="AA653" i="42"/>
  <c r="AA652" i="42"/>
  <c r="AA651" i="42"/>
  <c r="AA650" i="42"/>
  <c r="AA649" i="42"/>
  <c r="AA648" i="42"/>
  <c r="AA647" i="42"/>
  <c r="AA646" i="42"/>
  <c r="AA645" i="42"/>
  <c r="AA644" i="42"/>
  <c r="AA643" i="42"/>
  <c r="AA642" i="42"/>
  <c r="AA641" i="42"/>
  <c r="AA640" i="42"/>
  <c r="AA639" i="42"/>
  <c r="AA638" i="42"/>
  <c r="AA637" i="42"/>
  <c r="AA636" i="42"/>
  <c r="AA635" i="42"/>
  <c r="AA634" i="42"/>
  <c r="AA633" i="42"/>
  <c r="AA632" i="42"/>
  <c r="AA631" i="42"/>
  <c r="AA630" i="42"/>
  <c r="AA629" i="42"/>
  <c r="AA628" i="42"/>
  <c r="AA627" i="42"/>
  <c r="AA626" i="42"/>
  <c r="AA625" i="42"/>
  <c r="AA624" i="42"/>
  <c r="AA623" i="42"/>
  <c r="AA622" i="42"/>
  <c r="AA621" i="42"/>
  <c r="AA620" i="42"/>
  <c r="AA619" i="42"/>
  <c r="AA618" i="42"/>
  <c r="AA617" i="42"/>
  <c r="AA616" i="42"/>
  <c r="AA615" i="42"/>
  <c r="AA614" i="42"/>
  <c r="AA613" i="42"/>
  <c r="AA612" i="42"/>
  <c r="AA611" i="42"/>
  <c r="AA610" i="42"/>
  <c r="AA609" i="42"/>
  <c r="AA608" i="42"/>
  <c r="AA607" i="42"/>
  <c r="AA606" i="42"/>
  <c r="AA605" i="42"/>
  <c r="AA604" i="42"/>
  <c r="AA603" i="42"/>
  <c r="AA602" i="42"/>
  <c r="AA601" i="42"/>
  <c r="AA600" i="42"/>
  <c r="AA599" i="42"/>
  <c r="AA598" i="42"/>
  <c r="AA597" i="42"/>
  <c r="AA596" i="42"/>
  <c r="AA595" i="42"/>
  <c r="AA594" i="42"/>
  <c r="AA593" i="42"/>
  <c r="AA592" i="42"/>
  <c r="AA591" i="42"/>
  <c r="AA590" i="42"/>
  <c r="AA589" i="42"/>
  <c r="AA588" i="42"/>
  <c r="AA587" i="42"/>
  <c r="AA586" i="42"/>
  <c r="AA585" i="42"/>
  <c r="AA584" i="42"/>
  <c r="AA583" i="42"/>
  <c r="AA582" i="42"/>
  <c r="AA581" i="42"/>
  <c r="AA580" i="42"/>
  <c r="AA579" i="42"/>
  <c r="AA578" i="42"/>
  <c r="AA577" i="42"/>
  <c r="AA576" i="42"/>
  <c r="AA575" i="42"/>
  <c r="AA574" i="42"/>
  <c r="AA573" i="42"/>
  <c r="AA572" i="42"/>
  <c r="AA571" i="42"/>
  <c r="AA570" i="42"/>
  <c r="AA569" i="42"/>
  <c r="AA568" i="42"/>
  <c r="AA567" i="42"/>
  <c r="AA566" i="42"/>
  <c r="AA565" i="42"/>
  <c r="AA564" i="42"/>
  <c r="AA563" i="42"/>
  <c r="AA562" i="42"/>
  <c r="AA561" i="42"/>
  <c r="AA560" i="42"/>
  <c r="AA559" i="42"/>
  <c r="AA558" i="42"/>
  <c r="AA557" i="42"/>
  <c r="AA556" i="42"/>
  <c r="AA555" i="42"/>
  <c r="AA554" i="42"/>
  <c r="AA553" i="42"/>
  <c r="AA552" i="42"/>
  <c r="AA551" i="42"/>
  <c r="AA550" i="42"/>
  <c r="AA549" i="42"/>
  <c r="AA548" i="42"/>
  <c r="AA547" i="42"/>
  <c r="AA546" i="42"/>
  <c r="AA545" i="42"/>
  <c r="AA544" i="42"/>
  <c r="AA543" i="42"/>
  <c r="AA542" i="42"/>
  <c r="AA541" i="42"/>
  <c r="AA540" i="42"/>
  <c r="AA539" i="42"/>
  <c r="AA538" i="42"/>
  <c r="AA537" i="42"/>
  <c r="AA536" i="42"/>
  <c r="AA535" i="42"/>
  <c r="AA534" i="42"/>
  <c r="AA533" i="42"/>
  <c r="AA532" i="42"/>
  <c r="AA531" i="42"/>
  <c r="AA530" i="42"/>
  <c r="AA529" i="42"/>
  <c r="AA528" i="42"/>
  <c r="AA527" i="42"/>
  <c r="AA526" i="42"/>
  <c r="AA525" i="42"/>
  <c r="AA524" i="42"/>
  <c r="AA523" i="42"/>
  <c r="AA522" i="42"/>
  <c r="AA521" i="42"/>
  <c r="AA520" i="42"/>
  <c r="AA519" i="42"/>
  <c r="AA518" i="42"/>
  <c r="AA517" i="42"/>
  <c r="AA516" i="42"/>
  <c r="AA515" i="42"/>
  <c r="AA514" i="42"/>
  <c r="AA513" i="42"/>
  <c r="AA512" i="42"/>
  <c r="AA511" i="42"/>
  <c r="AA510" i="42"/>
  <c r="AA509" i="42"/>
  <c r="AA508" i="42"/>
  <c r="AA507" i="42"/>
  <c r="AA506" i="42"/>
  <c r="AA505" i="42"/>
  <c r="AA504" i="42"/>
  <c r="AA503" i="42"/>
  <c r="AA502" i="42"/>
  <c r="AA501" i="42"/>
  <c r="AA500" i="42"/>
  <c r="AA499" i="42"/>
  <c r="AA498" i="42"/>
  <c r="AA497" i="42"/>
  <c r="AA496" i="42"/>
  <c r="AA495" i="42"/>
  <c r="AA494" i="42"/>
  <c r="AA493" i="42"/>
  <c r="AA492" i="42"/>
  <c r="AA491" i="42"/>
  <c r="AA490" i="42"/>
  <c r="AA489" i="42"/>
  <c r="AA488" i="42"/>
  <c r="AA487" i="42"/>
  <c r="AA486" i="42"/>
  <c r="AA485" i="42"/>
  <c r="AA484" i="42"/>
  <c r="AA483" i="42"/>
  <c r="AA482" i="42"/>
  <c r="AA481" i="42"/>
  <c r="AA480" i="42"/>
  <c r="AA479" i="42"/>
  <c r="AA478" i="42"/>
  <c r="AA477" i="42"/>
  <c r="AA476" i="42"/>
  <c r="AA475" i="42"/>
  <c r="AA474" i="42"/>
  <c r="AA473" i="42"/>
  <c r="AA472" i="42"/>
  <c r="AA471" i="42"/>
  <c r="AA470" i="42"/>
  <c r="AA469" i="42"/>
  <c r="AA468" i="42"/>
  <c r="AA467" i="42"/>
  <c r="AA466" i="42"/>
  <c r="AA465" i="42"/>
  <c r="AA464" i="42"/>
  <c r="AA463" i="42"/>
  <c r="AA462" i="42"/>
  <c r="AA461" i="42"/>
  <c r="AA460" i="42"/>
  <c r="AA459" i="42"/>
  <c r="AA458" i="42"/>
  <c r="AA457" i="42"/>
  <c r="AA456" i="42"/>
  <c r="AA455" i="42"/>
  <c r="AA454" i="42"/>
  <c r="AA453" i="42"/>
  <c r="AA452" i="42"/>
  <c r="AA451" i="42"/>
  <c r="AA450" i="42"/>
  <c r="AA449" i="42"/>
  <c r="AA448" i="42"/>
  <c r="AA447" i="42"/>
  <c r="AA446" i="42"/>
  <c r="AA445" i="42"/>
  <c r="AA444" i="42"/>
  <c r="AA443" i="42"/>
  <c r="AA442" i="42"/>
  <c r="AA441" i="42"/>
  <c r="AA440" i="42"/>
  <c r="AA439" i="42"/>
  <c r="AA438" i="42"/>
  <c r="AA437" i="42"/>
  <c r="AA436" i="42"/>
  <c r="AA435" i="42"/>
  <c r="AA434" i="42"/>
  <c r="AA433" i="42"/>
  <c r="AA432" i="42"/>
  <c r="AA431" i="42"/>
  <c r="AA430" i="42"/>
  <c r="AA429" i="42"/>
  <c r="AA428" i="42"/>
  <c r="AA427" i="42"/>
  <c r="AA426" i="42"/>
  <c r="AA425" i="42"/>
  <c r="AA424" i="42"/>
  <c r="AA423" i="42"/>
  <c r="AA422" i="42"/>
  <c r="AA421" i="42"/>
  <c r="AA420" i="42"/>
  <c r="AA419" i="42"/>
  <c r="AA418" i="42"/>
  <c r="AA417" i="42"/>
  <c r="AA416" i="42"/>
  <c r="AA415" i="42"/>
  <c r="AA414" i="42"/>
  <c r="AA413" i="42"/>
  <c r="AA412" i="42"/>
  <c r="AA411" i="42"/>
  <c r="AA410" i="42"/>
  <c r="AA409" i="42"/>
  <c r="AA408" i="42"/>
  <c r="AA407" i="42"/>
  <c r="AA406" i="42"/>
  <c r="AA405" i="42"/>
  <c r="AA404" i="42"/>
  <c r="AA403" i="42"/>
  <c r="AA402" i="42"/>
  <c r="AA401" i="42"/>
  <c r="AA400" i="42"/>
  <c r="AA399" i="42"/>
  <c r="AA398" i="42"/>
  <c r="AA397" i="42"/>
  <c r="AA396" i="42"/>
  <c r="AA395" i="42"/>
  <c r="AA394" i="42"/>
  <c r="AA393" i="42"/>
  <c r="AA392" i="42"/>
  <c r="AA391" i="42"/>
  <c r="AA390" i="42"/>
  <c r="AA389" i="42"/>
  <c r="AA388" i="42"/>
  <c r="AA387" i="42"/>
  <c r="AA386" i="42"/>
  <c r="AA385" i="42"/>
  <c r="AA384" i="42"/>
  <c r="AA383" i="42"/>
  <c r="AA382" i="42"/>
  <c r="AA381" i="42"/>
  <c r="AA380" i="42"/>
  <c r="AA379" i="42"/>
  <c r="AA378" i="42"/>
  <c r="AA377" i="42"/>
  <c r="AA376" i="42"/>
  <c r="AA375" i="42"/>
  <c r="AA374" i="42"/>
  <c r="AA373" i="42"/>
  <c r="AA372" i="42"/>
  <c r="AA371" i="42"/>
  <c r="AA370" i="42"/>
  <c r="AA369" i="42"/>
  <c r="AA368" i="42"/>
  <c r="AA367" i="42"/>
  <c r="AA366" i="42"/>
  <c r="AA365" i="42"/>
  <c r="AA364" i="42"/>
  <c r="AA363" i="42"/>
  <c r="AA362" i="42"/>
  <c r="AA361" i="42"/>
  <c r="AA360" i="42"/>
  <c r="AA359" i="42"/>
  <c r="AA358" i="42"/>
  <c r="AA357" i="42"/>
  <c r="AA356" i="42"/>
  <c r="AA355" i="42"/>
  <c r="AA354" i="42"/>
  <c r="AA353" i="42"/>
  <c r="AA352" i="42"/>
  <c r="AA351" i="42"/>
  <c r="AA350" i="42"/>
  <c r="AA349" i="42"/>
  <c r="AA348" i="42"/>
  <c r="AA347" i="42"/>
  <c r="AA346" i="42"/>
  <c r="AA345" i="42"/>
  <c r="AA344" i="42"/>
  <c r="AA343" i="42"/>
  <c r="AA342" i="42"/>
  <c r="AA341" i="42"/>
  <c r="AA340" i="42"/>
  <c r="AA339" i="42"/>
  <c r="AA338" i="42"/>
  <c r="AA337" i="42"/>
  <c r="AA336" i="42"/>
  <c r="AA335" i="42"/>
  <c r="AA334" i="42"/>
  <c r="AA333" i="42"/>
  <c r="AA332" i="42"/>
  <c r="AA331" i="42"/>
  <c r="AA330" i="42"/>
  <c r="AA329" i="42"/>
  <c r="AA328" i="42"/>
  <c r="AA327" i="42"/>
  <c r="AA326" i="42"/>
  <c r="AA325" i="42"/>
  <c r="AA324" i="42"/>
  <c r="AA323" i="42"/>
  <c r="AA322" i="42"/>
  <c r="AA321" i="42"/>
  <c r="AA320" i="42"/>
  <c r="AA319" i="42"/>
  <c r="AA318" i="42"/>
  <c r="AA317" i="42"/>
  <c r="AA316" i="42"/>
  <c r="AA315" i="42"/>
  <c r="AA314" i="42"/>
  <c r="AA313" i="42"/>
  <c r="AA312" i="42"/>
  <c r="AA311" i="42"/>
  <c r="AA310" i="42"/>
  <c r="AA309" i="42"/>
  <c r="AA308" i="42"/>
  <c r="AA307" i="42"/>
  <c r="AA306" i="42"/>
  <c r="AA305" i="42"/>
  <c r="AA304" i="42"/>
  <c r="AA303" i="42"/>
  <c r="AA302" i="42"/>
  <c r="AA301" i="42"/>
  <c r="AA300" i="42"/>
  <c r="AA299" i="42"/>
  <c r="AA298" i="42"/>
  <c r="AA297" i="42"/>
  <c r="AA296" i="42"/>
  <c r="AA295" i="42"/>
  <c r="AA294" i="42"/>
  <c r="AA293" i="42"/>
  <c r="AA292" i="42"/>
  <c r="AA291" i="42"/>
  <c r="AA290" i="42"/>
  <c r="AA289" i="42"/>
  <c r="AA288" i="42"/>
  <c r="AA287" i="42"/>
  <c r="AA286" i="42"/>
  <c r="AA285" i="42"/>
  <c r="AA284" i="42"/>
  <c r="AA283" i="42"/>
  <c r="AA282" i="42"/>
  <c r="AA281" i="42"/>
  <c r="AA280" i="42"/>
  <c r="AA279" i="42"/>
  <c r="AA278" i="42"/>
  <c r="AA277" i="42"/>
  <c r="AA276" i="42"/>
  <c r="AA275" i="42"/>
  <c r="AA274" i="42"/>
  <c r="AA273" i="42"/>
  <c r="AA272" i="42"/>
  <c r="AA271" i="42"/>
  <c r="AA270" i="42"/>
  <c r="AA269" i="42"/>
  <c r="AA268" i="42"/>
  <c r="AA267" i="42"/>
  <c r="AA266" i="42"/>
  <c r="AA265" i="42"/>
  <c r="AA264" i="42"/>
  <c r="AA263" i="42"/>
  <c r="AA262" i="42"/>
  <c r="AA261" i="42"/>
  <c r="AA260" i="42"/>
  <c r="AA259" i="42"/>
  <c r="AA258" i="42"/>
  <c r="AA257" i="42"/>
  <c r="AA256" i="42"/>
  <c r="AA255" i="42"/>
  <c r="AA254" i="42"/>
  <c r="AA253" i="42"/>
  <c r="AA252" i="42"/>
  <c r="AA251" i="42"/>
  <c r="AA250" i="42"/>
  <c r="AA249" i="42"/>
  <c r="AA248" i="42"/>
  <c r="AA247" i="42"/>
  <c r="AA246" i="42"/>
  <c r="AA245" i="42"/>
  <c r="AA244" i="42"/>
  <c r="AA243" i="42"/>
  <c r="AA242" i="42"/>
  <c r="AA241" i="42"/>
  <c r="AA240" i="42"/>
  <c r="AA239" i="42"/>
  <c r="AA238" i="42"/>
  <c r="AA237" i="42"/>
  <c r="AA236" i="42"/>
  <c r="AA235" i="42"/>
  <c r="AA234" i="42"/>
  <c r="AA233" i="42"/>
  <c r="AA232" i="42"/>
  <c r="AA231" i="42"/>
  <c r="AA230" i="42"/>
  <c r="AA229" i="42"/>
  <c r="AA228" i="42"/>
  <c r="AA227" i="42"/>
  <c r="AA226" i="42"/>
  <c r="AA225" i="42"/>
  <c r="AA224" i="42"/>
  <c r="AA223" i="42"/>
  <c r="AA222" i="42"/>
  <c r="AA221" i="42"/>
  <c r="AA220" i="42"/>
  <c r="AA219" i="42"/>
  <c r="AA218" i="42"/>
  <c r="AA217" i="42"/>
  <c r="AA216" i="42"/>
  <c r="AA215" i="42"/>
  <c r="AA214" i="42"/>
  <c r="AA213" i="42"/>
  <c r="AA212" i="42"/>
  <c r="AA211" i="42"/>
  <c r="AA210" i="42"/>
  <c r="AA209" i="42"/>
  <c r="AA208" i="42"/>
  <c r="AA207" i="42"/>
  <c r="AA206" i="42"/>
  <c r="AA205" i="42"/>
  <c r="AA204" i="42"/>
  <c r="AA203" i="42"/>
  <c r="AA202" i="42"/>
  <c r="AA201" i="42"/>
  <c r="AA200" i="42"/>
  <c r="AA199" i="42"/>
  <c r="AA198" i="42"/>
  <c r="AA197" i="42"/>
  <c r="AA196" i="42"/>
  <c r="AA195" i="42"/>
  <c r="AA194" i="42"/>
  <c r="AA193" i="42"/>
  <c r="AA192" i="42"/>
  <c r="AA191" i="42"/>
  <c r="AA190" i="42"/>
  <c r="AA189" i="42"/>
  <c r="AA188" i="42"/>
  <c r="AA187" i="42"/>
  <c r="AA186" i="42"/>
  <c r="AA185" i="42"/>
  <c r="AA184" i="42"/>
  <c r="AA183" i="42"/>
  <c r="AA182" i="42"/>
  <c r="AA181" i="42"/>
  <c r="AA180" i="42"/>
  <c r="AA179" i="42"/>
  <c r="AA178" i="42"/>
  <c r="AA177" i="42"/>
  <c r="AA176" i="42"/>
  <c r="AA175" i="42"/>
  <c r="AA174" i="42"/>
  <c r="AA173" i="42"/>
  <c r="AA172" i="42"/>
  <c r="AA171" i="42"/>
  <c r="AA170" i="42"/>
  <c r="AA169" i="42"/>
  <c r="AA168" i="42"/>
  <c r="AA167" i="42"/>
  <c r="AA166" i="42"/>
  <c r="AA165" i="42"/>
  <c r="AA164" i="42"/>
  <c r="AA163" i="42"/>
  <c r="AA162" i="42"/>
  <c r="AA161" i="42"/>
  <c r="AA160" i="42"/>
  <c r="AA159" i="42"/>
  <c r="AA158" i="42"/>
  <c r="AA157" i="42"/>
  <c r="AA156" i="42"/>
  <c r="AA155" i="42"/>
  <c r="AA154" i="42"/>
  <c r="AA153" i="42"/>
  <c r="AA152" i="42"/>
  <c r="AA151" i="42"/>
  <c r="AA150" i="42"/>
  <c r="AA149" i="42"/>
  <c r="AA148" i="42"/>
  <c r="AA147" i="42"/>
  <c r="AA146" i="42"/>
  <c r="AA145" i="42"/>
  <c r="AA144" i="42"/>
  <c r="AA143" i="42"/>
  <c r="AA142" i="42"/>
  <c r="AA141" i="42"/>
  <c r="AA140" i="42"/>
  <c r="AA139" i="42"/>
  <c r="AA138" i="42"/>
  <c r="AA137" i="42"/>
  <c r="AA136" i="42"/>
  <c r="AA135" i="42"/>
  <c r="AA134" i="42"/>
  <c r="AA133" i="42"/>
  <c r="AA132" i="42"/>
  <c r="AA131" i="42"/>
  <c r="AA130" i="42"/>
  <c r="AA129" i="42"/>
  <c r="AA128" i="42"/>
  <c r="AA127" i="42"/>
  <c r="AA126" i="42"/>
  <c r="AA125" i="42"/>
  <c r="AA124" i="42"/>
  <c r="AA123" i="42"/>
  <c r="AA122" i="42"/>
  <c r="AA121" i="42"/>
  <c r="AA120" i="42"/>
  <c r="AA119" i="42"/>
  <c r="AA118" i="42"/>
  <c r="AA117" i="42"/>
  <c r="AA116" i="42"/>
  <c r="AA115" i="42"/>
  <c r="AA114" i="42"/>
  <c r="AA113" i="42"/>
  <c r="AA112" i="42"/>
  <c r="AA111" i="42"/>
  <c r="AA110" i="42"/>
  <c r="AA109" i="42"/>
  <c r="AA108" i="42"/>
  <c r="AA107" i="42"/>
  <c r="AA106" i="42"/>
  <c r="AA105" i="42"/>
  <c r="AA104" i="42"/>
  <c r="AA103" i="42"/>
  <c r="AA102" i="42"/>
  <c r="AA101" i="42"/>
  <c r="AA100" i="42"/>
  <c r="AA99" i="42"/>
  <c r="AA98" i="42"/>
  <c r="AA97" i="42"/>
  <c r="AA96" i="42"/>
  <c r="AA95" i="42"/>
  <c r="AA94" i="42"/>
  <c r="AA93" i="42"/>
  <c r="AA92" i="42"/>
  <c r="AA91" i="42"/>
  <c r="AA90" i="42"/>
  <c r="AA89" i="42"/>
  <c r="AA88" i="42"/>
  <c r="AA87" i="42"/>
  <c r="AA86" i="42"/>
  <c r="AA85" i="42"/>
  <c r="AA84" i="42"/>
  <c r="AA83" i="42"/>
  <c r="AA82" i="42"/>
  <c r="AA81" i="42"/>
  <c r="AA80" i="42"/>
  <c r="AA79" i="42"/>
  <c r="AA78" i="42"/>
  <c r="AA77" i="42"/>
  <c r="AA76" i="42"/>
  <c r="AA75" i="42"/>
  <c r="AA74" i="42"/>
  <c r="AA73" i="42"/>
  <c r="AA72" i="42"/>
  <c r="AA71" i="42"/>
  <c r="AA70" i="42"/>
  <c r="AA69" i="42"/>
  <c r="AA68" i="42"/>
  <c r="AA67" i="42"/>
  <c r="AA66" i="42"/>
  <c r="AA65" i="42"/>
  <c r="AA64" i="42"/>
  <c r="AA63" i="42"/>
  <c r="AA62" i="42"/>
  <c r="AA61" i="42"/>
  <c r="AA60" i="42"/>
  <c r="AA59" i="42"/>
  <c r="AA58" i="42"/>
  <c r="AA57" i="42"/>
  <c r="AA56" i="42"/>
  <c r="AA55" i="42"/>
  <c r="AA54" i="42"/>
  <c r="AA53" i="42"/>
  <c r="AA52" i="42"/>
  <c r="AA51" i="42"/>
  <c r="AA50" i="42"/>
  <c r="AA49" i="42"/>
  <c r="AA48" i="42"/>
  <c r="AA47" i="42"/>
  <c r="AA46" i="42"/>
  <c r="AA45" i="42"/>
  <c r="AA44" i="42"/>
  <c r="AA43" i="42"/>
  <c r="AA42" i="42"/>
  <c r="AA41" i="42"/>
  <c r="AA40" i="42"/>
  <c r="AA39" i="42"/>
  <c r="AA38" i="42"/>
  <c r="AA37" i="42"/>
  <c r="AA36" i="42"/>
  <c r="AA35" i="42"/>
  <c r="AA34" i="42"/>
  <c r="AA33" i="42"/>
  <c r="AA32" i="42"/>
  <c r="AA31" i="42"/>
  <c r="AA30" i="42"/>
  <c r="AA29" i="42"/>
  <c r="AA28" i="42"/>
  <c r="AA27" i="42"/>
  <c r="AA26" i="42"/>
  <c r="AA25" i="42"/>
  <c r="AA24" i="42"/>
  <c r="AA23" i="42"/>
  <c r="AA22" i="42"/>
  <c r="AA21" i="42"/>
  <c r="AA20" i="42"/>
  <c r="AA19" i="42"/>
  <c r="AA18" i="42"/>
  <c r="AA17" i="42"/>
  <c r="AA16" i="42"/>
  <c r="AA15" i="42"/>
  <c r="AA14" i="42"/>
  <c r="AA13" i="42"/>
  <c r="AA12" i="42"/>
  <c r="AA11" i="42"/>
  <c r="AA10" i="42"/>
  <c r="AA9" i="42"/>
  <c r="AA8" i="42"/>
  <c r="AA7" i="42"/>
  <c r="AA6" i="42"/>
  <c r="AA5" i="42"/>
  <c r="AA4" i="42"/>
  <c r="AA3" i="42"/>
  <c r="S679" i="42"/>
  <c r="S680" i="42"/>
  <c r="S681" i="42"/>
  <c r="S682" i="42"/>
  <c r="S683" i="42"/>
  <c r="S684" i="42"/>
  <c r="S685" i="42"/>
  <c r="S686" i="42"/>
  <c r="S687" i="42"/>
  <c r="S688" i="42"/>
  <c r="S689" i="42"/>
  <c r="S690" i="42"/>
  <c r="S691" i="42"/>
  <c r="S692" i="42"/>
  <c r="S693" i="42"/>
  <c r="S694" i="42"/>
  <c r="S695" i="42"/>
  <c r="S696" i="42"/>
  <c r="S697" i="42"/>
  <c r="S698" i="42"/>
  <c r="S699" i="42"/>
  <c r="S700" i="42"/>
  <c r="S701" i="42"/>
  <c r="S702" i="42"/>
  <c r="S703" i="42"/>
  <c r="S704" i="42"/>
  <c r="S705" i="42"/>
  <c r="S706" i="42"/>
  <c r="S707" i="42"/>
  <c r="S708" i="42"/>
  <c r="S709" i="42"/>
  <c r="S710" i="42"/>
  <c r="S711" i="42"/>
  <c r="S712" i="42"/>
  <c r="S713" i="42"/>
  <c r="S714" i="42"/>
  <c r="S715" i="42"/>
  <c r="S716" i="42"/>
  <c r="S717" i="42"/>
  <c r="S718" i="42"/>
  <c r="S719" i="42"/>
  <c r="S720" i="42"/>
  <c r="S721" i="42"/>
  <c r="S722" i="42"/>
  <c r="S723" i="42"/>
  <c r="S724" i="42"/>
  <c r="S725" i="42"/>
  <c r="S726" i="42"/>
  <c r="S727" i="42"/>
  <c r="S728" i="42"/>
  <c r="S729" i="42"/>
  <c r="S730" i="42"/>
  <c r="S731" i="42"/>
  <c r="S732" i="42"/>
  <c r="S733" i="42"/>
  <c r="S734" i="42"/>
  <c r="S735" i="42"/>
  <c r="S736" i="42"/>
  <c r="S737" i="42"/>
  <c r="S738" i="42"/>
  <c r="S739" i="42"/>
  <c r="S740" i="42"/>
  <c r="S741" i="42"/>
  <c r="S742" i="42"/>
  <c r="S743" i="42"/>
  <c r="S744" i="42"/>
  <c r="S745" i="42"/>
  <c r="S746" i="42"/>
  <c r="S747" i="42"/>
  <c r="S748" i="42"/>
  <c r="S749" i="42"/>
  <c r="S750" i="42"/>
  <c r="S751" i="42"/>
  <c r="S752" i="42"/>
  <c r="S753" i="42"/>
  <c r="S754" i="42"/>
  <c r="S755" i="42"/>
  <c r="S756" i="42"/>
  <c r="S757" i="42"/>
  <c r="S758" i="42"/>
  <c r="S759" i="42"/>
  <c r="S760" i="42"/>
  <c r="S761" i="42"/>
  <c r="S762" i="42"/>
  <c r="S763" i="42"/>
  <c r="S764" i="42"/>
  <c r="S765" i="42"/>
  <c r="S766" i="42"/>
  <c r="S767" i="42"/>
  <c r="S768" i="42"/>
  <c r="S769" i="42"/>
  <c r="S770" i="42"/>
  <c r="S771" i="42"/>
  <c r="S772" i="42"/>
  <c r="S773" i="42"/>
  <c r="S774" i="42"/>
  <c r="S775" i="42"/>
  <c r="S776" i="42"/>
  <c r="S777" i="42"/>
  <c r="S778" i="42"/>
  <c r="S779" i="42"/>
  <c r="S780" i="42"/>
  <c r="S781" i="42"/>
  <c r="S782" i="42"/>
  <c r="S783" i="42"/>
  <c r="S784" i="42"/>
  <c r="S785" i="42"/>
  <c r="S786" i="42"/>
  <c r="S787" i="42"/>
  <c r="S788" i="42"/>
  <c r="S789" i="42"/>
  <c r="S790" i="42"/>
  <c r="S791" i="42"/>
  <c r="S792" i="42"/>
  <c r="S793" i="42"/>
  <c r="S794" i="42"/>
  <c r="S795" i="42"/>
  <c r="S796" i="42"/>
  <c r="S797" i="42"/>
  <c r="S798" i="42"/>
  <c r="S799" i="42"/>
  <c r="S800" i="42"/>
  <c r="S801" i="42"/>
  <c r="S802" i="42"/>
  <c r="S803" i="42"/>
  <c r="S804" i="42"/>
  <c r="S805" i="42"/>
  <c r="S806" i="42"/>
  <c r="S807" i="42"/>
  <c r="S808" i="42"/>
  <c r="S809" i="42"/>
  <c r="S810" i="42"/>
  <c r="S811" i="42"/>
  <c r="S812" i="42"/>
  <c r="S813" i="42"/>
  <c r="S814" i="42"/>
  <c r="S815" i="42"/>
  <c r="S816" i="42"/>
  <c r="S817" i="42"/>
  <c r="S818" i="42"/>
  <c r="S819" i="42"/>
  <c r="S820" i="42"/>
  <c r="S821" i="42"/>
  <c r="S822" i="42"/>
  <c r="S823" i="42"/>
  <c r="S824" i="42"/>
  <c r="S825" i="42"/>
  <c r="S826" i="42"/>
  <c r="S827" i="42"/>
  <c r="S828" i="42"/>
  <c r="S829" i="42"/>
  <c r="S830" i="42"/>
  <c r="S831" i="42"/>
  <c r="S832" i="42"/>
  <c r="S833" i="42"/>
  <c r="S834" i="42"/>
  <c r="S835" i="42"/>
  <c r="S836" i="42"/>
  <c r="S837" i="42"/>
  <c r="S838" i="42"/>
  <c r="S839" i="42"/>
  <c r="S840" i="42"/>
  <c r="S841" i="42"/>
  <c r="S842" i="42"/>
  <c r="S843" i="42"/>
  <c r="S844" i="42"/>
  <c r="S845" i="42"/>
  <c r="S846" i="42"/>
  <c r="S847" i="42"/>
  <c r="S848" i="42"/>
  <c r="S849" i="42"/>
  <c r="S850" i="42"/>
  <c r="S851" i="42"/>
  <c r="S852" i="42"/>
  <c r="S853" i="42"/>
  <c r="S854" i="42"/>
  <c r="S855" i="42"/>
  <c r="S856" i="42"/>
  <c r="S857" i="42"/>
  <c r="S858" i="42"/>
  <c r="S859" i="42"/>
  <c r="S860" i="42"/>
  <c r="S861" i="42"/>
  <c r="S862" i="42"/>
  <c r="S863" i="42"/>
  <c r="S864" i="42"/>
  <c r="S865" i="42"/>
  <c r="S866" i="42"/>
  <c r="S867" i="42"/>
  <c r="S868" i="42"/>
  <c r="S869" i="42"/>
  <c r="S870" i="42"/>
  <c r="S871" i="42"/>
  <c r="S872" i="42"/>
  <c r="S873" i="42"/>
  <c r="S874" i="42"/>
  <c r="S875" i="42"/>
  <c r="S876" i="42"/>
  <c r="S877" i="42"/>
  <c r="S878" i="42"/>
  <c r="S879" i="42"/>
  <c r="S880" i="42"/>
  <c r="S881" i="42"/>
  <c r="S882" i="42"/>
  <c r="S883" i="42"/>
  <c r="S884" i="42"/>
  <c r="S885" i="42"/>
  <c r="S886" i="42"/>
  <c r="S887" i="42"/>
  <c r="S888" i="42"/>
  <c r="S889" i="42"/>
  <c r="S890" i="42"/>
  <c r="S891" i="42"/>
  <c r="S892" i="42"/>
  <c r="S893" i="42"/>
  <c r="S894" i="42"/>
  <c r="S895" i="42"/>
  <c r="S896" i="42"/>
  <c r="S897" i="42"/>
  <c r="S898" i="42"/>
  <c r="S899" i="42"/>
  <c r="S900" i="42"/>
  <c r="S901" i="42"/>
  <c r="S902" i="42"/>
  <c r="S903" i="42"/>
  <c r="S904" i="42"/>
  <c r="S905" i="42"/>
  <c r="S906" i="42"/>
  <c r="S907" i="42"/>
  <c r="S908" i="42"/>
  <c r="S909" i="42"/>
  <c r="S910" i="42"/>
  <c r="S911" i="42"/>
  <c r="S912" i="42"/>
  <c r="S913" i="42"/>
  <c r="S914" i="42"/>
  <c r="S915" i="42"/>
  <c r="S916" i="42"/>
  <c r="S917" i="42"/>
  <c r="S918" i="42"/>
  <c r="S919" i="42"/>
  <c r="S920" i="42"/>
  <c r="S921" i="42"/>
  <c r="S922" i="42"/>
  <c r="S923" i="42"/>
  <c r="S924" i="42"/>
  <c r="S925" i="42"/>
  <c r="S926" i="42"/>
  <c r="S927" i="42"/>
  <c r="S928" i="42"/>
  <c r="S929" i="42"/>
  <c r="S930" i="42"/>
  <c r="S931" i="42"/>
  <c r="S932" i="42"/>
  <c r="S933" i="42"/>
  <c r="S934" i="42"/>
  <c r="S935" i="42"/>
  <c r="S936" i="42"/>
  <c r="S937" i="42"/>
  <c r="S938" i="42"/>
  <c r="S939" i="42"/>
  <c r="S940" i="42"/>
  <c r="S941" i="42"/>
  <c r="S942" i="42"/>
  <c r="S943" i="42"/>
  <c r="S944" i="42"/>
  <c r="S945" i="42"/>
  <c r="S946" i="42"/>
  <c r="S947" i="42"/>
  <c r="S948" i="42"/>
  <c r="S949" i="42"/>
  <c r="S950" i="42"/>
  <c r="S951" i="42"/>
  <c r="S952" i="42"/>
  <c r="S953" i="42"/>
  <c r="S954" i="42"/>
  <c r="S955" i="42"/>
  <c r="S956" i="42"/>
  <c r="S957" i="42"/>
  <c r="S1084" i="42"/>
  <c r="S959" i="42"/>
  <c r="S960" i="42"/>
  <c r="S961" i="42"/>
  <c r="S962" i="42"/>
  <c r="S963" i="42"/>
  <c r="S964" i="42"/>
  <c r="S965" i="42"/>
  <c r="S966" i="42"/>
  <c r="S967" i="42"/>
  <c r="S968" i="42"/>
  <c r="S969" i="42"/>
  <c r="S970" i="42"/>
  <c r="S971" i="42"/>
  <c r="S972" i="42"/>
  <c r="S973" i="42"/>
  <c r="S974" i="42"/>
  <c r="S975" i="42"/>
  <c r="S976" i="42"/>
  <c r="S977" i="42"/>
  <c r="S978" i="42"/>
  <c r="S979" i="42"/>
  <c r="S980" i="42"/>
  <c r="S981" i="42"/>
  <c r="S982" i="42"/>
  <c r="S983" i="42"/>
  <c r="S984" i="42"/>
  <c r="S985" i="42"/>
  <c r="S986" i="42"/>
  <c r="S987" i="42"/>
  <c r="S988" i="42"/>
  <c r="S989" i="42"/>
  <c r="S990" i="42"/>
  <c r="S991" i="42"/>
  <c r="S992" i="42"/>
  <c r="S993" i="42"/>
  <c r="S1085" i="42"/>
  <c r="S1086" i="42"/>
  <c r="S1087" i="42"/>
  <c r="S1088" i="42"/>
  <c r="S1089" i="42"/>
  <c r="S1090" i="42"/>
  <c r="S1091" i="42"/>
  <c r="S958" i="42"/>
  <c r="S1116" i="42"/>
  <c r="S1117" i="42"/>
  <c r="S1118" i="42"/>
  <c r="S1119" i="42"/>
  <c r="S1120" i="42"/>
  <c r="S1121" i="42"/>
  <c r="S1122" i="42"/>
  <c r="S1123" i="42"/>
  <c r="S1159" i="42"/>
  <c r="S1160" i="42"/>
  <c r="S1161" i="42"/>
  <c r="S1162" i="42"/>
  <c r="S1163" i="42"/>
  <c r="S1164" i="42"/>
  <c r="S1165" i="42"/>
  <c r="S1166" i="42"/>
  <c r="S1167" i="42"/>
  <c r="S1019" i="42"/>
  <c r="S1020" i="42"/>
  <c r="S1021" i="42"/>
  <c r="S1022" i="42"/>
  <c r="S1023" i="42"/>
  <c r="S1024" i="42"/>
  <c r="S1025" i="42"/>
  <c r="S1026" i="42"/>
  <c r="S1027" i="42"/>
  <c r="S1028" i="42"/>
  <c r="S1029" i="42"/>
  <c r="S1030" i="42"/>
  <c r="S1031" i="42"/>
  <c r="S1032" i="42"/>
  <c r="S1033" i="42"/>
  <c r="S1034" i="42"/>
  <c r="S1035" i="42"/>
  <c r="S1036" i="42"/>
  <c r="S1037" i="42"/>
  <c r="S1038" i="42"/>
  <c r="S1039" i="42"/>
  <c r="S1040" i="42"/>
  <c r="S1041" i="42"/>
  <c r="S1042" i="42"/>
  <c r="S1043" i="42"/>
  <c r="S1044" i="42"/>
  <c r="S1045" i="42"/>
  <c r="S1046" i="42"/>
  <c r="S1047" i="42"/>
  <c r="S1048" i="42"/>
  <c r="S1049" i="42"/>
  <c r="S1050" i="42"/>
  <c r="S1051" i="42"/>
  <c r="S1052" i="42"/>
  <c r="S1053" i="42"/>
  <c r="S1054" i="42"/>
  <c r="S1055" i="42"/>
  <c r="S1056" i="42"/>
  <c r="S1057" i="42"/>
  <c r="S1058" i="42"/>
  <c r="S1059" i="42"/>
  <c r="S1060" i="42"/>
  <c r="S1061" i="42"/>
  <c r="S1062" i="42"/>
  <c r="S1063" i="42"/>
  <c r="S1064" i="42"/>
  <c r="S1065" i="42"/>
  <c r="S1066" i="42"/>
  <c r="S1067" i="42"/>
  <c r="S1068" i="42"/>
  <c r="S1069" i="42"/>
  <c r="S1070" i="42"/>
  <c r="S1071" i="42"/>
  <c r="S1072" i="42"/>
  <c r="S1073" i="42"/>
  <c r="S1074" i="42"/>
  <c r="S1075" i="42"/>
  <c r="S1076" i="42"/>
  <c r="S1077" i="42"/>
  <c r="S1078" i="42"/>
  <c r="S1079" i="42"/>
  <c r="S1080" i="42"/>
  <c r="S1081" i="42"/>
  <c r="S1082" i="42"/>
  <c r="S1083" i="42"/>
  <c r="S1168" i="42"/>
  <c r="S1169" i="42"/>
  <c r="S1170" i="42"/>
  <c r="S994" i="42"/>
  <c r="S995" i="42"/>
  <c r="S996" i="42"/>
  <c r="S997" i="42"/>
  <c r="S998" i="42"/>
  <c r="S1092" i="42"/>
  <c r="S1093" i="42"/>
  <c r="S1094" i="42"/>
  <c r="S1095" i="42"/>
  <c r="S1096" i="42"/>
  <c r="S1097" i="42"/>
  <c r="S1098" i="42"/>
  <c r="S1099" i="42"/>
  <c r="S1100" i="42"/>
  <c r="S1101" i="42"/>
  <c r="S1102" i="42"/>
  <c r="S1103" i="42"/>
  <c r="S1104" i="42"/>
  <c r="S1105" i="42"/>
  <c r="S1106" i="42"/>
  <c r="S1107" i="42"/>
  <c r="S1108" i="42"/>
  <c r="S1109" i="42"/>
  <c r="S1110" i="42"/>
  <c r="S1111" i="42"/>
  <c r="S1112" i="42"/>
  <c r="S1113" i="42"/>
  <c r="S1114" i="42"/>
  <c r="S1115" i="42"/>
  <c r="S999" i="42"/>
  <c r="S1000" i="42"/>
  <c r="S1001" i="42"/>
  <c r="S1002" i="42"/>
  <c r="S1003" i="42"/>
  <c r="S1004" i="42"/>
  <c r="S1005" i="42"/>
  <c r="S1006" i="42"/>
  <c r="S1124" i="42"/>
  <c r="S1125" i="42"/>
  <c r="S1126" i="42"/>
  <c r="S1127" i="42"/>
  <c r="S1128" i="42"/>
  <c r="S1129" i="42"/>
  <c r="S1130" i="42"/>
  <c r="S1131" i="42"/>
  <c r="S1132" i="42"/>
  <c r="S1133" i="42"/>
  <c r="S1134" i="42"/>
  <c r="S1135" i="42"/>
  <c r="S1136" i="42"/>
  <c r="S1137" i="42"/>
  <c r="S1138" i="42"/>
  <c r="S1139" i="42"/>
  <c r="S1140" i="42"/>
  <c r="S1141" i="42"/>
  <c r="S1142" i="42"/>
  <c r="S1143" i="42"/>
  <c r="S1144" i="42"/>
  <c r="S1145" i="42"/>
  <c r="S1146" i="42"/>
  <c r="S1147" i="42"/>
  <c r="S1148" i="42"/>
  <c r="S1149" i="42"/>
  <c r="S1150" i="42"/>
  <c r="S1151" i="42"/>
  <c r="S1152" i="42"/>
  <c r="S1153" i="42"/>
  <c r="S1154" i="42"/>
  <c r="S1155" i="42"/>
  <c r="S1156" i="42"/>
  <c r="S1157" i="42"/>
  <c r="S1158" i="42"/>
  <c r="S1007" i="42"/>
  <c r="S1008" i="42"/>
  <c r="S1009" i="42"/>
  <c r="S1010" i="42"/>
  <c r="S1011" i="42"/>
  <c r="S1012" i="42"/>
  <c r="S1013" i="42"/>
  <c r="S1014" i="42"/>
  <c r="S1015" i="42"/>
  <c r="S1016" i="42"/>
  <c r="S1017" i="42"/>
  <c r="S1018" i="42"/>
  <c r="S1171" i="42"/>
  <c r="S1172" i="42"/>
  <c r="S1173" i="42"/>
  <c r="S1174" i="42"/>
  <c r="S1175" i="42"/>
  <c r="S1176" i="42"/>
  <c r="S1177" i="42"/>
  <c r="S1178" i="42"/>
  <c r="S1179" i="42"/>
  <c r="S1180" i="42"/>
  <c r="S1181" i="42"/>
  <c r="S1182" i="42"/>
  <c r="S1183" i="42"/>
  <c r="S1184" i="42"/>
  <c r="S1185" i="42"/>
  <c r="S1186" i="42"/>
  <c r="S1187" i="42"/>
  <c r="S1188" i="42"/>
  <c r="S1189" i="42"/>
  <c r="S1190" i="42"/>
  <c r="S1191" i="42"/>
  <c r="S1192" i="42"/>
  <c r="S1193" i="42"/>
  <c r="S1194" i="42"/>
  <c r="S1195" i="42"/>
  <c r="S1196" i="42"/>
  <c r="S1197" i="42"/>
  <c r="S1198" i="42"/>
  <c r="S1199" i="42"/>
  <c r="S1200" i="42"/>
  <c r="S1201" i="42"/>
  <c r="S1202" i="42"/>
  <c r="S1203" i="42"/>
  <c r="S1204" i="42"/>
  <c r="S1205" i="42"/>
  <c r="S1206" i="42"/>
  <c r="S1207" i="42"/>
  <c r="S1208" i="42"/>
  <c r="S1209" i="42"/>
  <c r="S1210" i="42"/>
  <c r="S1211" i="42"/>
  <c r="S1212" i="42"/>
  <c r="S1213" i="42"/>
  <c r="S1214" i="42"/>
  <c r="S1215" i="42"/>
  <c r="S1216" i="42"/>
  <c r="S1229" i="42"/>
  <c r="S1217" i="42"/>
  <c r="S1218" i="42"/>
  <c r="S1219" i="42"/>
  <c r="S1221" i="42"/>
  <c r="S1222" i="42"/>
  <c r="S1223" i="42"/>
  <c r="S1224" i="42"/>
  <c r="S1225" i="42"/>
  <c r="S1220" i="42"/>
  <c r="S1227" i="42"/>
  <c r="S1228" i="42"/>
  <c r="S1226" i="42"/>
  <c r="S1230" i="42"/>
  <c r="S1231" i="42"/>
  <c r="S1232" i="42"/>
  <c r="S1233" i="42"/>
  <c r="S1234" i="42"/>
  <c r="S1235" i="42"/>
  <c r="S1236" i="42"/>
  <c r="S1237" i="42"/>
  <c r="S1238" i="42"/>
  <c r="S1239" i="42"/>
  <c r="S1240" i="42"/>
  <c r="S1241" i="42"/>
  <c r="S1242" i="42"/>
  <c r="S1243" i="42"/>
  <c r="S1244" i="42"/>
  <c r="S1245" i="42"/>
  <c r="S1246" i="42"/>
  <c r="S1247" i="42"/>
  <c r="S1248" i="42"/>
  <c r="S1249" i="42"/>
  <c r="S1250" i="42"/>
  <c r="S1251" i="42"/>
  <c r="S1252" i="42"/>
  <c r="S1253" i="42"/>
  <c r="S1254" i="42"/>
  <c r="S1255" i="42"/>
  <c r="S1256" i="42"/>
  <c r="S1257" i="42"/>
  <c r="S1258" i="42"/>
  <c r="S1259" i="42"/>
  <c r="S1260" i="42"/>
  <c r="S1261" i="42"/>
  <c r="S1262" i="42"/>
  <c r="S1263" i="42"/>
  <c r="S1264" i="42"/>
  <c r="S1265" i="42"/>
  <c r="S1266" i="42"/>
  <c r="S1267" i="42"/>
  <c r="S1268" i="42"/>
  <c r="S1269" i="42"/>
  <c r="S1270" i="42"/>
  <c r="S1271" i="42"/>
  <c r="S1272" i="42"/>
  <c r="S1273" i="42"/>
  <c r="S1274" i="42"/>
  <c r="S1275" i="42"/>
  <c r="S1276" i="42"/>
  <c r="S1277" i="42"/>
  <c r="S1278" i="42"/>
  <c r="S1279" i="42"/>
  <c r="S1280" i="42"/>
  <c r="S1281" i="42"/>
  <c r="S1282" i="42"/>
  <c r="S1283" i="42"/>
  <c r="S1284" i="42"/>
  <c r="S1285" i="42"/>
  <c r="S1286" i="42"/>
  <c r="S1287" i="42"/>
  <c r="S1288" i="42"/>
  <c r="S1289" i="42"/>
  <c r="S1290" i="42"/>
  <c r="S1291" i="42"/>
  <c r="S1292" i="42"/>
  <c r="S1293" i="42"/>
  <c r="S1294" i="42"/>
  <c r="S1295" i="42"/>
  <c r="S1296" i="42"/>
  <c r="S1297" i="42"/>
  <c r="S1298" i="42"/>
  <c r="S1299" i="42"/>
  <c r="S1300" i="42"/>
  <c r="S1301" i="42"/>
  <c r="S1302" i="42"/>
  <c r="S1303" i="42"/>
  <c r="S1304" i="42"/>
  <c r="S1305" i="42"/>
  <c r="S1306" i="42"/>
  <c r="S1307" i="42"/>
  <c r="S1308" i="42"/>
  <c r="S1309" i="42"/>
  <c r="S1310" i="42"/>
  <c r="S1311" i="42"/>
  <c r="S1312" i="42"/>
  <c r="S1313" i="42"/>
  <c r="S1314" i="42"/>
  <c r="S1315" i="42"/>
  <c r="S1316" i="42"/>
  <c r="S1317" i="42"/>
  <c r="S1318" i="42"/>
  <c r="S1319" i="42"/>
  <c r="S1320" i="42"/>
  <c r="S1321" i="42"/>
  <c r="S1322" i="42"/>
  <c r="S1323" i="42"/>
  <c r="S1324" i="42"/>
  <c r="S1325" i="42"/>
  <c r="S1326" i="42"/>
  <c r="S1327" i="42"/>
  <c r="S1328" i="42"/>
  <c r="S1329" i="42"/>
  <c r="S1330" i="42"/>
  <c r="S1331" i="42"/>
  <c r="S1332" i="42"/>
  <c r="S1333" i="42"/>
  <c r="S1334" i="42"/>
  <c r="S1335" i="42"/>
  <c r="S1336" i="42"/>
  <c r="S1337" i="42"/>
  <c r="S1338" i="42"/>
  <c r="S1339" i="42"/>
  <c r="S1340" i="42"/>
  <c r="S1341" i="42"/>
  <c r="S1342" i="42"/>
  <c r="S1343" i="42"/>
  <c r="S1344" i="42"/>
  <c r="S1345" i="42"/>
  <c r="S1346" i="42"/>
  <c r="S1347" i="42"/>
  <c r="S1348" i="42"/>
  <c r="S1349" i="42"/>
  <c r="S1350" i="42"/>
  <c r="S1351" i="42"/>
  <c r="S1352" i="42"/>
  <c r="S1353" i="42"/>
  <c r="S1354" i="42"/>
  <c r="S1355" i="42"/>
  <c r="S1356" i="42"/>
  <c r="S1357" i="42"/>
  <c r="S1358" i="42"/>
  <c r="S1359" i="42"/>
  <c r="S1360" i="42"/>
  <c r="S1361" i="42"/>
  <c r="S1362" i="42"/>
  <c r="S1363" i="42"/>
  <c r="S1364" i="42"/>
  <c r="S1365" i="42"/>
  <c r="S1366" i="42"/>
  <c r="S1367" i="42"/>
  <c r="S1368" i="42"/>
  <c r="S1369" i="42"/>
  <c r="S1370" i="42"/>
  <c r="S1371" i="42"/>
  <c r="S1372" i="42"/>
  <c r="S1373" i="42"/>
  <c r="S1374" i="42"/>
  <c r="S1375" i="42"/>
  <c r="S1376" i="42"/>
  <c r="S1377" i="42"/>
  <c r="S1378" i="42"/>
  <c r="S1379" i="42"/>
  <c r="S1380" i="42"/>
  <c r="S1381" i="42"/>
  <c r="S1382" i="42"/>
  <c r="S1383" i="42"/>
  <c r="S1384" i="42"/>
  <c r="S1385" i="42"/>
  <c r="S1386" i="42"/>
  <c r="S1387" i="42"/>
  <c r="S1388" i="42"/>
  <c r="S1389" i="42"/>
  <c r="S1390" i="42"/>
  <c r="S1391" i="42"/>
  <c r="S1392" i="42"/>
  <c r="S1393" i="42"/>
  <c r="S1394" i="42"/>
  <c r="S1395" i="42"/>
  <c r="S1396" i="42"/>
  <c r="S1397" i="42"/>
  <c r="S1398" i="42"/>
  <c r="S1399" i="42"/>
  <c r="S1400" i="42"/>
  <c r="S1401" i="42"/>
  <c r="S1402" i="42"/>
  <c r="S1403" i="42"/>
  <c r="S1404" i="42"/>
  <c r="S1405" i="42"/>
  <c r="S1406" i="42"/>
  <c r="S1407" i="42"/>
  <c r="S1408" i="42"/>
  <c r="S1409" i="42"/>
  <c r="S1410" i="42"/>
  <c r="S1411" i="42"/>
  <c r="S1412" i="42"/>
  <c r="S1413" i="42"/>
  <c r="S1414" i="42"/>
  <c r="S1415" i="42"/>
  <c r="S1416" i="42"/>
  <c r="S1417" i="42"/>
  <c r="S1418" i="42"/>
  <c r="S1419" i="42"/>
  <c r="S1420" i="42"/>
  <c r="S1421" i="42"/>
  <c r="S1422" i="42"/>
  <c r="S1423" i="42"/>
  <c r="S1424" i="42"/>
  <c r="S1425" i="42"/>
  <c r="S1426" i="42"/>
  <c r="S1427" i="42"/>
  <c r="S1428" i="42"/>
  <c r="S1429" i="42"/>
  <c r="S1430" i="42"/>
  <c r="S1431" i="42"/>
  <c r="S1432" i="42"/>
  <c r="S1433" i="42"/>
  <c r="S1434" i="42"/>
  <c r="S1435" i="42"/>
  <c r="S1436" i="42"/>
  <c r="S1437" i="42"/>
  <c r="S1438" i="42"/>
  <c r="S1439" i="42"/>
  <c r="S1440" i="42"/>
  <c r="S1441" i="42"/>
  <c r="S1442" i="42"/>
  <c r="S1443" i="42"/>
  <c r="S1444" i="42"/>
  <c r="S1445" i="42"/>
  <c r="S1446" i="42"/>
  <c r="S1447" i="42"/>
  <c r="S1448" i="42"/>
  <c r="S1449" i="42"/>
  <c r="S1450" i="42"/>
  <c r="S1451" i="42"/>
  <c r="S1452" i="42"/>
  <c r="S1453" i="42"/>
  <c r="S1454" i="42"/>
  <c r="S1455" i="42"/>
  <c r="S1456" i="42"/>
  <c r="S1457" i="42"/>
  <c r="S1458" i="42"/>
  <c r="S1459" i="42"/>
  <c r="S1460" i="42"/>
  <c r="S1461" i="42"/>
  <c r="S1462" i="42"/>
  <c r="S1463" i="42"/>
  <c r="S1464" i="42"/>
  <c r="S1465" i="42"/>
  <c r="S1466" i="42"/>
  <c r="S1467" i="42"/>
  <c r="S1468" i="42"/>
  <c r="S1469" i="42"/>
  <c r="S1470" i="42"/>
  <c r="S1471" i="42"/>
  <c r="S1472" i="42"/>
  <c r="S1473" i="42"/>
  <c r="S1474" i="42"/>
  <c r="S1475" i="42"/>
  <c r="S1476" i="42"/>
  <c r="S1477" i="42"/>
  <c r="S1478" i="42"/>
  <c r="S1479" i="42"/>
  <c r="S1480" i="42"/>
  <c r="S1481" i="42"/>
  <c r="S1482" i="42"/>
  <c r="S1483" i="42"/>
  <c r="S1484" i="42"/>
  <c r="S1485" i="42"/>
  <c r="S1486" i="42"/>
  <c r="S1487" i="42"/>
  <c r="S1488" i="42"/>
  <c r="S1489" i="42"/>
  <c r="S1490" i="42"/>
  <c r="S1491" i="42"/>
  <c r="S1492" i="42"/>
  <c r="S1493" i="42"/>
  <c r="S1494" i="42"/>
  <c r="S1495" i="42"/>
  <c r="S1496" i="42"/>
  <c r="S1497" i="42"/>
  <c r="S1498" i="42"/>
  <c r="S1499" i="42"/>
  <c r="S1500" i="42"/>
  <c r="S1501" i="42"/>
  <c r="S1502" i="42"/>
  <c r="S1503" i="42"/>
  <c r="S1504" i="42"/>
  <c r="S1505" i="42"/>
  <c r="S1506" i="42"/>
  <c r="S1507" i="42"/>
  <c r="S1508" i="42"/>
  <c r="S1509" i="42"/>
  <c r="S1510" i="42"/>
  <c r="S1511" i="42"/>
  <c r="S1512" i="42"/>
  <c r="S1513" i="42"/>
  <c r="S1514" i="42"/>
  <c r="S1515" i="42"/>
  <c r="S1516" i="42"/>
  <c r="S1517" i="42"/>
  <c r="S1518" i="42"/>
  <c r="S1519" i="42"/>
  <c r="S1520" i="42"/>
  <c r="S1521" i="42"/>
  <c r="S1522" i="42"/>
  <c r="S1523" i="42"/>
  <c r="S1524" i="42"/>
  <c r="S1525" i="42"/>
  <c r="S1526" i="42"/>
  <c r="S1527" i="42"/>
  <c r="S1528" i="42"/>
  <c r="S1529" i="42"/>
  <c r="S1530" i="42"/>
  <c r="S1531" i="42"/>
  <c r="S1532" i="42"/>
  <c r="S1533" i="42"/>
  <c r="S1534" i="42"/>
  <c r="S1535" i="42"/>
  <c r="S1536" i="42"/>
  <c r="S1537" i="42"/>
  <c r="S1538" i="42"/>
  <c r="S1539" i="42"/>
  <c r="S1540" i="42"/>
  <c r="S1541" i="42"/>
  <c r="S1542" i="42"/>
  <c r="S1543" i="42"/>
  <c r="S1544" i="42"/>
  <c r="S1545" i="42"/>
  <c r="S1546" i="42"/>
  <c r="S1547" i="42"/>
  <c r="S1548" i="42"/>
  <c r="S1549" i="42"/>
  <c r="S1550" i="42"/>
  <c r="S1551" i="42"/>
  <c r="S1552" i="42"/>
  <c r="S1553" i="42"/>
  <c r="S1554" i="42"/>
  <c r="S1555" i="42"/>
  <c r="S1556" i="42"/>
  <c r="S1557" i="42"/>
  <c r="S1558" i="42"/>
  <c r="S1559" i="42"/>
  <c r="S1560" i="42"/>
  <c r="S1561" i="42"/>
  <c r="S1562" i="42"/>
  <c r="S1563" i="42"/>
  <c r="S1564" i="42"/>
  <c r="S1565" i="42"/>
  <c r="S1566" i="42"/>
  <c r="S1567" i="42"/>
  <c r="S1568" i="42"/>
  <c r="S1569" i="42"/>
  <c r="S1570" i="42"/>
  <c r="S1571" i="42"/>
  <c r="S1572" i="42"/>
  <c r="S1573" i="42"/>
  <c r="S1574" i="42"/>
  <c r="S1575" i="42"/>
  <c r="S671" i="42"/>
  <c r="S672" i="42"/>
  <c r="S673" i="42"/>
  <c r="S674" i="42"/>
  <c r="S675" i="42"/>
  <c r="S676" i="42"/>
  <c r="S677" i="42"/>
  <c r="S678" i="42"/>
  <c r="S666" i="42"/>
  <c r="S667" i="42"/>
  <c r="S668" i="42"/>
  <c r="S669" i="42"/>
  <c r="S670" i="42"/>
  <c r="S665" i="42"/>
  <c r="S563" i="42"/>
  <c r="S564" i="42"/>
  <c r="S565" i="42"/>
  <c r="S566" i="42"/>
  <c r="S567" i="42"/>
  <c r="S568" i="42"/>
  <c r="S569" i="42"/>
  <c r="S570" i="42"/>
  <c r="S571" i="42"/>
  <c r="S572" i="42"/>
  <c r="S573" i="42"/>
  <c r="S574" i="42"/>
  <c r="S575" i="42"/>
  <c r="S576" i="42"/>
  <c r="S577" i="42"/>
  <c r="S578" i="42"/>
  <c r="S579" i="42"/>
  <c r="S580" i="42"/>
  <c r="S581" i="42"/>
  <c r="S582" i="42"/>
  <c r="S583" i="42"/>
  <c r="S584" i="42"/>
  <c r="S585" i="42"/>
  <c r="S586" i="42"/>
  <c r="S587" i="42"/>
  <c r="S588" i="42"/>
  <c r="S589" i="42"/>
  <c r="S590" i="42"/>
  <c r="S591" i="42"/>
  <c r="S592" i="42"/>
  <c r="S593" i="42"/>
  <c r="S594" i="42"/>
  <c r="S595" i="42"/>
  <c r="S596" i="42"/>
  <c r="S597" i="42"/>
  <c r="S598" i="42"/>
  <c r="S599" i="42"/>
  <c r="S600" i="42"/>
  <c r="S601" i="42"/>
  <c r="S602" i="42"/>
  <c r="S603" i="42"/>
  <c r="S604" i="42"/>
  <c r="S605" i="42"/>
  <c r="S606" i="42"/>
  <c r="S607" i="42"/>
  <c r="S608" i="42"/>
  <c r="S609" i="42"/>
  <c r="S610" i="42"/>
  <c r="S611" i="42"/>
  <c r="S612" i="42"/>
  <c r="S613" i="42"/>
  <c r="S614" i="42"/>
  <c r="S615" i="42"/>
  <c r="S616" i="42"/>
  <c r="S617" i="42"/>
  <c r="S618" i="42"/>
  <c r="S619" i="42"/>
  <c r="S620" i="42"/>
  <c r="S621" i="42"/>
  <c r="S622" i="42"/>
  <c r="S623" i="42"/>
  <c r="S624" i="42"/>
  <c r="S625" i="42"/>
  <c r="S626" i="42"/>
  <c r="S627" i="42"/>
  <c r="S628" i="42"/>
  <c r="S629" i="42"/>
  <c r="S630" i="42"/>
  <c r="S631" i="42"/>
  <c r="S632" i="42"/>
  <c r="S633" i="42"/>
  <c r="S634" i="42"/>
  <c r="S635" i="42"/>
  <c r="S636" i="42"/>
  <c r="S637" i="42"/>
  <c r="S638" i="42"/>
  <c r="S639" i="42"/>
  <c r="S640" i="42"/>
  <c r="S641" i="42"/>
  <c r="S642" i="42"/>
  <c r="S643" i="42"/>
  <c r="S644" i="42"/>
  <c r="S645" i="42"/>
  <c r="S646" i="42"/>
  <c r="S647" i="42"/>
  <c r="S648" i="42"/>
  <c r="S649" i="42"/>
  <c r="S650" i="42"/>
  <c r="S651" i="42"/>
  <c r="S652" i="42"/>
  <c r="S653" i="42"/>
  <c r="S654" i="42"/>
  <c r="S655" i="42"/>
  <c r="S656" i="42"/>
  <c r="S657" i="42"/>
  <c r="S658" i="42"/>
  <c r="S659" i="42"/>
  <c r="S660" i="42"/>
  <c r="S661" i="42"/>
  <c r="S662" i="42"/>
  <c r="S663" i="42"/>
  <c r="S664" i="42"/>
  <c r="Y6" i="1" l="1"/>
  <c r="Y7" i="1"/>
  <c r="Y8" i="1"/>
  <c r="Y9" i="1"/>
  <c r="Y10"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10" i="1"/>
  <c r="Y111" i="1"/>
  <c r="Y112" i="1"/>
  <c r="Y113" i="1"/>
  <c r="Y114" i="1"/>
  <c r="Y115" i="1"/>
  <c r="Y116" i="1"/>
  <c r="Y117" i="1"/>
  <c r="Y118" i="1"/>
  <c r="Y119" i="1"/>
  <c r="Y120" i="1"/>
  <c r="Y121" i="1"/>
  <c r="Y122" i="1"/>
  <c r="Y123" i="1"/>
  <c r="Y124" i="1"/>
  <c r="Y125" i="1"/>
  <c r="Y126" i="1"/>
  <c r="Y127" i="1"/>
  <c r="Y128" i="1"/>
  <c r="Y129" i="1"/>
  <c r="Y130" i="1"/>
  <c r="Y131" i="1"/>
  <c r="Y132" i="1"/>
  <c r="Y133" i="1"/>
  <c r="Y134" i="1"/>
  <c r="Y135" i="1"/>
  <c r="Y136" i="1"/>
  <c r="Y137" i="1"/>
  <c r="Y138" i="1"/>
  <c r="Y139" i="1"/>
  <c r="Y140" i="1"/>
  <c r="Y141" i="1"/>
  <c r="Y142" i="1"/>
  <c r="Y143" i="1"/>
  <c r="Y144" i="1"/>
  <c r="Y145" i="1"/>
  <c r="Y146" i="1"/>
  <c r="Y147" i="1"/>
  <c r="Y148" i="1"/>
  <c r="Y149" i="1"/>
  <c r="Y150" i="1"/>
  <c r="Y151" i="1"/>
  <c r="Y152" i="1"/>
  <c r="Y153" i="1"/>
  <c r="Y154" i="1"/>
  <c r="Y155" i="1"/>
  <c r="Y156" i="1"/>
  <c r="Y157" i="1"/>
  <c r="Y158" i="1"/>
  <c r="Y159" i="1"/>
  <c r="Y160" i="1"/>
  <c r="Y161" i="1"/>
  <c r="Y162" i="1"/>
  <c r="Y163" i="1"/>
  <c r="Y164" i="1"/>
  <c r="Y165" i="1"/>
  <c r="Y166" i="1"/>
  <c r="Y167" i="1"/>
  <c r="Y168" i="1"/>
  <c r="Y169" i="1"/>
  <c r="Y170" i="1"/>
  <c r="Y171" i="1"/>
  <c r="Y172" i="1"/>
  <c r="Y173" i="1"/>
  <c r="Y174" i="1"/>
  <c r="Y175" i="1"/>
  <c r="Y176" i="1"/>
  <c r="Y177" i="1"/>
  <c r="Y178" i="1"/>
  <c r="Y179" i="1"/>
  <c r="Y180" i="1"/>
  <c r="Y181" i="1"/>
  <c r="Y182" i="1"/>
  <c r="Y183" i="1"/>
  <c r="Y184" i="1"/>
  <c r="Y185" i="1"/>
  <c r="Y186" i="1"/>
  <c r="Y187" i="1"/>
  <c r="Y188" i="1"/>
  <c r="Y189" i="1"/>
  <c r="Y190" i="1"/>
  <c r="Y191" i="1"/>
  <c r="Y192" i="1"/>
  <c r="Y193" i="1"/>
  <c r="Y194" i="1"/>
  <c r="Y195" i="1"/>
  <c r="Y196" i="1"/>
  <c r="Y197" i="1"/>
  <c r="Y198" i="1"/>
  <c r="Y199" i="1"/>
  <c r="Y200" i="1"/>
  <c r="Y201" i="1"/>
  <c r="Y202" i="1"/>
  <c r="Y203" i="1"/>
  <c r="Y204" i="1"/>
  <c r="B47" i="52" l="1"/>
  <c r="B32" i="26"/>
  <c r="B1340" i="50"/>
  <c r="B208" i="46"/>
  <c r="B108" i="27"/>
  <c r="B208" i="1"/>
  <c r="B41" i="37"/>
  <c r="J204" i="28" l="1"/>
  <c r="J205" i="28"/>
  <c r="J206" i="28"/>
  <c r="J207" i="28"/>
  <c r="J208" i="28"/>
  <c r="J209" i="28"/>
  <c r="J210" i="28"/>
  <c r="J211" i="28"/>
  <c r="J212" i="28"/>
  <c r="J213" i="28"/>
  <c r="J214" i="28"/>
  <c r="J215" i="28"/>
  <c r="J216" i="28"/>
  <c r="J217" i="28"/>
  <c r="J218" i="28"/>
  <c r="J219" i="28"/>
  <c r="J220" i="28"/>
  <c r="J221" i="28"/>
  <c r="J222" i="28"/>
  <c r="J223" i="28"/>
  <c r="J224" i="28"/>
  <c r="J225" i="28"/>
  <c r="J226" i="28"/>
  <c r="J227" i="28"/>
  <c r="J228" i="28"/>
  <c r="J229" i="28"/>
  <c r="J230" i="28"/>
  <c r="J231" i="28"/>
  <c r="J232" i="28"/>
  <c r="J233" i="28"/>
  <c r="J234" i="28"/>
  <c r="J235" i="28"/>
  <c r="J236" i="28"/>
  <c r="J237" i="28"/>
  <c r="J238" i="28"/>
  <c r="J239" i="28"/>
  <c r="J240" i="28"/>
  <c r="J241" i="28"/>
  <c r="J242" i="28"/>
  <c r="J243" i="28"/>
  <c r="J244" i="28"/>
  <c r="J245" i="28"/>
  <c r="J246" i="28"/>
  <c r="J247" i="28"/>
  <c r="J248" i="28"/>
  <c r="J249" i="28"/>
  <c r="J250" i="28"/>
  <c r="J251" i="28"/>
  <c r="J252" i="28"/>
  <c r="J253" i="28"/>
  <c r="J254" i="28"/>
  <c r="J255" i="28"/>
  <c r="J256" i="28"/>
  <c r="J257" i="28"/>
  <c r="J258" i="28"/>
  <c r="J259" i="28"/>
  <c r="J260" i="28"/>
  <c r="J261" i="28"/>
  <c r="J262" i="28"/>
  <c r="J263" i="28"/>
  <c r="J264" i="28"/>
  <c r="J265" i="28"/>
  <c r="J266" i="28"/>
  <c r="J267" i="28"/>
  <c r="J268" i="28"/>
  <c r="J269" i="28"/>
  <c r="J270" i="28"/>
  <c r="J271" i="28"/>
  <c r="J272" i="28"/>
  <c r="J273" i="28"/>
  <c r="J274" i="28"/>
  <c r="J275" i="28"/>
  <c r="J276" i="28"/>
  <c r="J277" i="28"/>
  <c r="J278" i="28"/>
  <c r="J279" i="28"/>
  <c r="J280" i="28"/>
  <c r="J281" i="28"/>
  <c r="J282" i="28"/>
  <c r="J283" i="28"/>
  <c r="J284" i="28"/>
  <c r="J285" i="28"/>
  <c r="J286" i="28"/>
  <c r="J287" i="28"/>
  <c r="J288" i="28"/>
  <c r="J289" i="28"/>
  <c r="J290" i="28"/>
  <c r="J291" i="28"/>
  <c r="J292" i="28"/>
  <c r="J293" i="28"/>
  <c r="J294" i="28"/>
  <c r="J295" i="28"/>
  <c r="J296" i="28"/>
  <c r="J297" i="28"/>
  <c r="J298" i="28"/>
  <c r="J299" i="28"/>
  <c r="J300" i="28"/>
  <c r="J301" i="28"/>
  <c r="J302" i="28"/>
  <c r="J203" i="28"/>
  <c r="K4" i="28"/>
  <c r="K5" i="28"/>
  <c r="K6" i="28"/>
  <c r="K7" i="28"/>
  <c r="K8" i="28"/>
  <c r="K9" i="28"/>
  <c r="K10" i="28"/>
  <c r="K11" i="28"/>
  <c r="K12" i="28"/>
  <c r="K13" i="28"/>
  <c r="K14" i="28"/>
  <c r="K15" i="28"/>
  <c r="K16" i="28"/>
  <c r="K17" i="28"/>
  <c r="K18" i="28"/>
  <c r="K19" i="28"/>
  <c r="K20" i="28"/>
  <c r="K21" i="28"/>
  <c r="K22" i="28"/>
  <c r="K23" i="28"/>
  <c r="K24" i="28"/>
  <c r="K25" i="28"/>
  <c r="K26" i="28"/>
  <c r="K27" i="28"/>
  <c r="K28" i="28"/>
  <c r="K29" i="28"/>
  <c r="K30" i="28"/>
  <c r="K31" i="28"/>
  <c r="K32" i="28"/>
  <c r="K33" i="28"/>
  <c r="K34" i="28"/>
  <c r="K35" i="28"/>
  <c r="K36" i="28"/>
  <c r="K37" i="28"/>
  <c r="K38" i="28"/>
  <c r="K39" i="28"/>
  <c r="K40" i="28"/>
  <c r="K41" i="28"/>
  <c r="K42" i="28"/>
  <c r="K43" i="28"/>
  <c r="K44" i="28"/>
  <c r="K45" i="28"/>
  <c r="K46" i="28"/>
  <c r="K47" i="28"/>
  <c r="K48" i="28"/>
  <c r="K49" i="28"/>
  <c r="K50" i="28"/>
  <c r="K51" i="28"/>
  <c r="K52" i="28"/>
  <c r="K53" i="28"/>
  <c r="K54" i="28"/>
  <c r="K55" i="28"/>
  <c r="K56" i="28"/>
  <c r="K57" i="28"/>
  <c r="K58" i="28"/>
  <c r="K59" i="28"/>
  <c r="K60" i="28"/>
  <c r="K61" i="28"/>
  <c r="K62" i="28"/>
  <c r="K63" i="28"/>
  <c r="K64" i="28"/>
  <c r="K65" i="28"/>
  <c r="K66" i="28"/>
  <c r="K67" i="28"/>
  <c r="K68" i="28"/>
  <c r="K69" i="28"/>
  <c r="K70" i="28"/>
  <c r="K71" i="28"/>
  <c r="K72" i="28"/>
  <c r="K73" i="28"/>
  <c r="K74" i="28"/>
  <c r="K75" i="28"/>
  <c r="K76" i="28"/>
  <c r="K77" i="28"/>
  <c r="K78" i="28"/>
  <c r="K79" i="28"/>
  <c r="K80" i="28"/>
  <c r="K81" i="28"/>
  <c r="K82" i="28"/>
  <c r="K83" i="28"/>
  <c r="K84" i="28"/>
  <c r="K85" i="28"/>
  <c r="K86" i="28"/>
  <c r="K87" i="28"/>
  <c r="K88" i="28"/>
  <c r="K89" i="28"/>
  <c r="K90" i="28"/>
  <c r="K91" i="28"/>
  <c r="K92" i="28"/>
  <c r="K93" i="28"/>
  <c r="K94" i="28"/>
  <c r="K95" i="28"/>
  <c r="K96" i="28"/>
  <c r="K97" i="28"/>
  <c r="K98" i="28"/>
  <c r="K99" i="28"/>
  <c r="K100" i="28"/>
  <c r="K101" i="28"/>
  <c r="K102" i="28"/>
  <c r="K103" i="28"/>
  <c r="K104" i="28"/>
  <c r="K105" i="28"/>
  <c r="K106" i="28"/>
  <c r="K107" i="28"/>
  <c r="K108" i="28"/>
  <c r="K109" i="28"/>
  <c r="K110" i="28"/>
  <c r="K111" i="28"/>
  <c r="K112" i="28"/>
  <c r="K113" i="28"/>
  <c r="K114" i="28"/>
  <c r="K115" i="28"/>
  <c r="K116" i="28"/>
  <c r="K117" i="28"/>
  <c r="K118" i="28"/>
  <c r="K119" i="28"/>
  <c r="K120" i="28"/>
  <c r="K121" i="28"/>
  <c r="K122" i="28"/>
  <c r="K123" i="28"/>
  <c r="K124" i="28"/>
  <c r="K125" i="28"/>
  <c r="K126" i="28"/>
  <c r="K127" i="28"/>
  <c r="K128" i="28"/>
  <c r="K129" i="28"/>
  <c r="K130" i="28"/>
  <c r="K131" i="28"/>
  <c r="K132" i="28"/>
  <c r="K133" i="28"/>
  <c r="K134" i="28"/>
  <c r="K135" i="28"/>
  <c r="K136" i="28"/>
  <c r="K137" i="28"/>
  <c r="K138" i="28"/>
  <c r="K139" i="28"/>
  <c r="K140" i="28"/>
  <c r="K141" i="28"/>
  <c r="K142" i="28"/>
  <c r="K143" i="28"/>
  <c r="K144" i="28"/>
  <c r="K145" i="28"/>
  <c r="K146" i="28"/>
  <c r="K147" i="28"/>
  <c r="K148" i="28"/>
  <c r="K149" i="28"/>
  <c r="K150" i="28"/>
  <c r="K151" i="28"/>
  <c r="K152" i="28"/>
  <c r="K153" i="28"/>
  <c r="K154" i="28"/>
  <c r="K155" i="28"/>
  <c r="K156" i="28"/>
  <c r="K157" i="28"/>
  <c r="K158" i="28"/>
  <c r="K159" i="28"/>
  <c r="K160" i="28"/>
  <c r="K161" i="28"/>
  <c r="K162" i="28"/>
  <c r="K163" i="28"/>
  <c r="K164" i="28"/>
  <c r="K165" i="28"/>
  <c r="K166" i="28"/>
  <c r="K167" i="28"/>
  <c r="K168" i="28"/>
  <c r="K169" i="28"/>
  <c r="K170" i="28"/>
  <c r="K171" i="28"/>
  <c r="K172" i="28"/>
  <c r="K173" i="28"/>
  <c r="K174" i="28"/>
  <c r="K175" i="28"/>
  <c r="K176" i="28"/>
  <c r="K177" i="28"/>
  <c r="K178" i="28"/>
  <c r="K179" i="28"/>
  <c r="K180" i="28"/>
  <c r="K181" i="28"/>
  <c r="K182" i="28"/>
  <c r="K183" i="28"/>
  <c r="K184" i="28"/>
  <c r="K185" i="28"/>
  <c r="K186" i="28"/>
  <c r="K187" i="28"/>
  <c r="K188" i="28"/>
  <c r="K189" i="28"/>
  <c r="K190" i="28"/>
  <c r="K191" i="28"/>
  <c r="K192" i="28"/>
  <c r="K193" i="28"/>
  <c r="K194" i="28"/>
  <c r="K195" i="28"/>
  <c r="K196" i="28"/>
  <c r="K197" i="28"/>
  <c r="K198" i="28"/>
  <c r="K199" i="28"/>
  <c r="K200" i="28"/>
  <c r="K201" i="28"/>
  <c r="K202" i="28"/>
  <c r="K3" i="28"/>
  <c r="J4" i="28"/>
  <c r="J5" i="28"/>
  <c r="J6" i="28"/>
  <c r="J7" i="28"/>
  <c r="J8" i="28"/>
  <c r="J9" i="28"/>
  <c r="J10" i="28"/>
  <c r="J11" i="28"/>
  <c r="J12" i="28"/>
  <c r="J13" i="28"/>
  <c r="J14" i="28"/>
  <c r="J15" i="28"/>
  <c r="J16" i="28"/>
  <c r="J17" i="28"/>
  <c r="J18" i="28"/>
  <c r="J19" i="28"/>
  <c r="J20" i="28"/>
  <c r="J21" i="28"/>
  <c r="J22" i="28"/>
  <c r="J23" i="28"/>
  <c r="J24" i="28"/>
  <c r="J25" i="28"/>
  <c r="J26" i="28"/>
  <c r="J27" i="28"/>
  <c r="J28" i="28"/>
  <c r="J29" i="28"/>
  <c r="J30" i="28"/>
  <c r="J31" i="28"/>
  <c r="J32" i="28"/>
  <c r="J33" i="28"/>
  <c r="J34" i="28"/>
  <c r="J35" i="28"/>
  <c r="J36" i="28"/>
  <c r="J37" i="28"/>
  <c r="J38" i="28"/>
  <c r="J39" i="28"/>
  <c r="J40" i="28"/>
  <c r="J41" i="28"/>
  <c r="J42" i="28"/>
  <c r="J43" i="28"/>
  <c r="J44" i="28"/>
  <c r="J45" i="28"/>
  <c r="J46" i="28"/>
  <c r="J47" i="28"/>
  <c r="J48" i="28"/>
  <c r="J49" i="28"/>
  <c r="J50" i="28"/>
  <c r="J51" i="28"/>
  <c r="J52" i="28"/>
  <c r="J53" i="28"/>
  <c r="J54" i="28"/>
  <c r="J55" i="28"/>
  <c r="J56" i="28"/>
  <c r="J57" i="28"/>
  <c r="J58" i="28"/>
  <c r="J59" i="28"/>
  <c r="J60" i="28"/>
  <c r="J61" i="28"/>
  <c r="J62" i="28"/>
  <c r="J63" i="28"/>
  <c r="J64" i="28"/>
  <c r="J65" i="28"/>
  <c r="J66" i="28"/>
  <c r="J67" i="28"/>
  <c r="J68" i="28"/>
  <c r="J69" i="28"/>
  <c r="J70" i="28"/>
  <c r="J71" i="28"/>
  <c r="J72" i="28"/>
  <c r="J73" i="28"/>
  <c r="J74" i="28"/>
  <c r="J75" i="28"/>
  <c r="J76" i="28"/>
  <c r="J77" i="28"/>
  <c r="J78" i="28"/>
  <c r="J79" i="28"/>
  <c r="J80" i="28"/>
  <c r="J81" i="28"/>
  <c r="J82" i="28"/>
  <c r="J83" i="28"/>
  <c r="J84" i="28"/>
  <c r="J85" i="28"/>
  <c r="J86" i="28"/>
  <c r="J87" i="28"/>
  <c r="J88" i="28"/>
  <c r="J89" i="28"/>
  <c r="J90" i="28"/>
  <c r="J91" i="28"/>
  <c r="J92" i="28"/>
  <c r="J93" i="28"/>
  <c r="J94" i="28"/>
  <c r="J95" i="28"/>
  <c r="J96" i="28"/>
  <c r="J97" i="28"/>
  <c r="J98" i="28"/>
  <c r="J99" i="28"/>
  <c r="J100" i="28"/>
  <c r="J101" i="28"/>
  <c r="J102" i="28"/>
  <c r="J103" i="28"/>
  <c r="J104" i="28"/>
  <c r="J105" i="28"/>
  <c r="J106" i="28"/>
  <c r="J107" i="28"/>
  <c r="J108" i="28"/>
  <c r="J109" i="28"/>
  <c r="J110" i="28"/>
  <c r="J111" i="28"/>
  <c r="J112" i="28"/>
  <c r="J113" i="28"/>
  <c r="J114" i="28"/>
  <c r="J115" i="28"/>
  <c r="J116" i="28"/>
  <c r="J117" i="28"/>
  <c r="J118" i="28"/>
  <c r="J119" i="28"/>
  <c r="J120" i="28"/>
  <c r="J121" i="28"/>
  <c r="J122" i="28"/>
  <c r="J123" i="28"/>
  <c r="J124" i="28"/>
  <c r="J125" i="28"/>
  <c r="J126" i="28"/>
  <c r="J127" i="28"/>
  <c r="J128" i="28"/>
  <c r="J129" i="28"/>
  <c r="J130" i="28"/>
  <c r="J131" i="28"/>
  <c r="J132" i="28"/>
  <c r="J133" i="28"/>
  <c r="J134" i="28"/>
  <c r="J135" i="28"/>
  <c r="J136" i="28"/>
  <c r="J137" i="28"/>
  <c r="J138" i="28"/>
  <c r="J139" i="28"/>
  <c r="J140" i="28"/>
  <c r="J141" i="28"/>
  <c r="J142" i="28"/>
  <c r="J143" i="28"/>
  <c r="J144" i="28"/>
  <c r="J145" i="28"/>
  <c r="J146" i="28"/>
  <c r="J147" i="28"/>
  <c r="J148" i="28"/>
  <c r="J149" i="28"/>
  <c r="J150" i="28"/>
  <c r="J151" i="28"/>
  <c r="J152" i="28"/>
  <c r="J153" i="28"/>
  <c r="J154" i="28"/>
  <c r="J155" i="28"/>
  <c r="J156" i="28"/>
  <c r="J157" i="28"/>
  <c r="J158" i="28"/>
  <c r="J159" i="28"/>
  <c r="J160" i="28"/>
  <c r="J161" i="28"/>
  <c r="J162" i="28"/>
  <c r="J163" i="28"/>
  <c r="J164" i="28"/>
  <c r="J165" i="28"/>
  <c r="J166" i="28"/>
  <c r="J167" i="28"/>
  <c r="J168" i="28"/>
  <c r="J169" i="28"/>
  <c r="J170" i="28"/>
  <c r="J171" i="28"/>
  <c r="J172" i="28"/>
  <c r="J173" i="28"/>
  <c r="J174" i="28"/>
  <c r="J175" i="28"/>
  <c r="J176" i="28"/>
  <c r="J177" i="28"/>
  <c r="J178" i="28"/>
  <c r="J179" i="28"/>
  <c r="J180" i="28"/>
  <c r="J181" i="28"/>
  <c r="J182" i="28"/>
  <c r="J183" i="28"/>
  <c r="J184" i="28"/>
  <c r="J185" i="28"/>
  <c r="J186" i="28"/>
  <c r="J187" i="28"/>
  <c r="J188" i="28"/>
  <c r="J189" i="28"/>
  <c r="J190" i="28"/>
  <c r="J191" i="28"/>
  <c r="J192" i="28"/>
  <c r="J193" i="28"/>
  <c r="J194" i="28"/>
  <c r="J195" i="28"/>
  <c r="J196" i="28"/>
  <c r="J197" i="28"/>
  <c r="J198" i="28"/>
  <c r="J199" i="28"/>
  <c r="J200" i="28"/>
  <c r="J201" i="28"/>
  <c r="J202" i="28"/>
  <c r="J3" i="28"/>
  <c r="O303" i="28"/>
  <c r="O304" i="28"/>
  <c r="O305" i="28"/>
  <c r="O306" i="28"/>
  <c r="O307" i="28"/>
  <c r="O308" i="28"/>
  <c r="O309" i="28"/>
  <c r="O310" i="28"/>
  <c r="O311" i="28"/>
  <c r="O312" i="28"/>
  <c r="O313" i="28"/>
  <c r="O314" i="28"/>
  <c r="O315" i="28"/>
  <c r="O316" i="28"/>
  <c r="O317" i="28"/>
  <c r="O318" i="28"/>
  <c r="O319" i="28"/>
  <c r="O320" i="28"/>
  <c r="O321" i="28"/>
  <c r="O322" i="28"/>
  <c r="O323" i="28"/>
  <c r="O324" i="28"/>
  <c r="O325" i="28"/>
  <c r="O326" i="28"/>
  <c r="O327" i="28"/>
  <c r="O328" i="28"/>
  <c r="O329" i="28"/>
  <c r="O330" i="28"/>
  <c r="O331" i="28"/>
  <c r="O332" i="28"/>
  <c r="O333" i="28"/>
  <c r="O334" i="28"/>
  <c r="O335" i="28"/>
  <c r="O336" i="28"/>
  <c r="O337" i="28"/>
  <c r="O338" i="28"/>
  <c r="O339" i="28"/>
  <c r="O340" i="28"/>
  <c r="O341" i="28"/>
  <c r="O342" i="28"/>
  <c r="O343" i="28"/>
  <c r="O344" i="28"/>
  <c r="O345" i="28"/>
  <c r="O346" i="28"/>
  <c r="O347" i="28"/>
  <c r="O348" i="28"/>
  <c r="O349" i="28"/>
  <c r="O350" i="28"/>
  <c r="O351" i="28"/>
  <c r="O352" i="28"/>
  <c r="O353" i="28"/>
  <c r="O354" i="28"/>
  <c r="O355" i="28"/>
  <c r="O356" i="28"/>
  <c r="O357" i="28"/>
  <c r="O358" i="28"/>
  <c r="O359" i="28"/>
  <c r="O360" i="28"/>
  <c r="O361" i="28"/>
  <c r="O362" i="28"/>
  <c r="O363" i="28"/>
  <c r="O364" i="28"/>
  <c r="O365" i="28"/>
  <c r="O366" i="28"/>
  <c r="O367" i="28"/>
  <c r="O368" i="28"/>
  <c r="O369" i="28"/>
  <c r="O370" i="28"/>
  <c r="O371" i="28"/>
  <c r="O372" i="28"/>
  <c r="O373" i="28"/>
  <c r="O374" i="28"/>
  <c r="O375" i="28"/>
  <c r="O376" i="28"/>
  <c r="O377" i="28"/>
  <c r="O378" i="28"/>
  <c r="O379" i="28"/>
  <c r="O380" i="28"/>
  <c r="O381" i="28"/>
  <c r="O382" i="28"/>
  <c r="O383" i="28"/>
  <c r="O384" i="28"/>
  <c r="O385" i="28"/>
  <c r="O386" i="28"/>
  <c r="O387" i="28"/>
  <c r="O388" i="28"/>
  <c r="O389" i="28"/>
  <c r="O390" i="28"/>
  <c r="O391" i="28"/>
  <c r="O392" i="28"/>
  <c r="O393" i="28"/>
  <c r="O394" i="28"/>
  <c r="O395" i="28"/>
  <c r="O396" i="28"/>
  <c r="O397" i="28"/>
  <c r="O398" i="28"/>
  <c r="O399" i="28"/>
  <c r="O400" i="28"/>
  <c r="O401" i="28"/>
  <c r="O402" i="28"/>
  <c r="O403" i="28"/>
  <c r="O404" i="28"/>
  <c r="O405" i="28"/>
  <c r="O406" i="28"/>
  <c r="O407" i="28"/>
  <c r="O408" i="28"/>
  <c r="O409" i="28"/>
  <c r="O410" i="28"/>
  <c r="O411" i="28"/>
  <c r="O412" i="28"/>
  <c r="O413" i="28"/>
  <c r="O414" i="28"/>
  <c r="O415" i="28"/>
  <c r="O416" i="28"/>
  <c r="O417" i="28"/>
  <c r="O418" i="28"/>
  <c r="O419" i="28"/>
  <c r="O420" i="28"/>
  <c r="O421" i="28"/>
  <c r="O422" i="28"/>
  <c r="O423" i="28"/>
  <c r="O424" i="28"/>
  <c r="O425" i="28"/>
  <c r="O426" i="28"/>
  <c r="O427" i="28"/>
  <c r="O428" i="28"/>
  <c r="O429" i="28"/>
  <c r="O430" i="28"/>
  <c r="O431" i="28"/>
  <c r="O432" i="28"/>
  <c r="O433" i="28"/>
  <c r="O434" i="28"/>
  <c r="O435" i="28"/>
  <c r="O436" i="28"/>
  <c r="O437" i="28"/>
  <c r="O438" i="28"/>
  <c r="O439" i="28"/>
  <c r="O440" i="28"/>
  <c r="O441" i="28"/>
  <c r="O442" i="28"/>
  <c r="O443" i="28"/>
  <c r="O444" i="28"/>
  <c r="O445" i="28"/>
  <c r="O446" i="28"/>
  <c r="O447" i="28"/>
  <c r="O448" i="28"/>
  <c r="O449" i="28"/>
  <c r="O450" i="28"/>
  <c r="O451" i="28"/>
  <c r="O452" i="28"/>
  <c r="O453" i="28"/>
  <c r="O454" i="28"/>
  <c r="O455" i="28"/>
  <c r="O456" i="28"/>
  <c r="O457" i="28"/>
  <c r="O458" i="28"/>
  <c r="O459" i="28"/>
  <c r="O460" i="28"/>
  <c r="O461" i="28"/>
  <c r="O462" i="28"/>
  <c r="O463" i="28"/>
  <c r="O464" i="28"/>
  <c r="O465" i="28"/>
  <c r="O466" i="28"/>
  <c r="O467" i="28"/>
  <c r="O468" i="28"/>
  <c r="O469" i="28"/>
  <c r="O470" i="28"/>
  <c r="O471" i="28"/>
  <c r="O472" i="28"/>
  <c r="O473" i="28"/>
  <c r="O474" i="28"/>
  <c r="O475" i="28"/>
  <c r="O476" i="28"/>
  <c r="O477" i="28"/>
  <c r="O478" i="28"/>
  <c r="O479" i="28"/>
  <c r="O480" i="28"/>
  <c r="O481" i="28"/>
  <c r="O482" i="28"/>
  <c r="O483" i="28"/>
  <c r="O484" i="28"/>
  <c r="O485" i="28"/>
  <c r="O486" i="28"/>
  <c r="O487" i="28"/>
  <c r="O488" i="28"/>
  <c r="O489" i="28"/>
  <c r="O490" i="28"/>
  <c r="O491" i="28"/>
  <c r="O492" i="28"/>
  <c r="O493" i="28"/>
  <c r="O494" i="28"/>
  <c r="O495" i="28"/>
  <c r="O496" i="28"/>
  <c r="O497" i="28"/>
  <c r="O498" i="28"/>
  <c r="O499" i="28"/>
  <c r="O500" i="28"/>
  <c r="O501" i="28"/>
  <c r="O502" i="28"/>
  <c r="O4" i="28"/>
  <c r="O5" i="28"/>
  <c r="O6" i="28"/>
  <c r="O7" i="28"/>
  <c r="O8" i="28"/>
  <c r="O9" i="28"/>
  <c r="O10" i="28"/>
  <c r="O11" i="28"/>
  <c r="O12" i="28"/>
  <c r="O13" i="28"/>
  <c r="O14" i="28"/>
  <c r="O15" i="28"/>
  <c r="O16" i="28"/>
  <c r="O17" i="28"/>
  <c r="O18" i="28"/>
  <c r="O19" i="28"/>
  <c r="O20" i="28"/>
  <c r="O21" i="28"/>
  <c r="O22" i="28"/>
  <c r="O23" i="28"/>
  <c r="O24" i="28"/>
  <c r="O25" i="28"/>
  <c r="O26" i="28"/>
  <c r="O27" i="28"/>
  <c r="O28" i="28"/>
  <c r="O29" i="28"/>
  <c r="O30" i="28"/>
  <c r="O31" i="28"/>
  <c r="O32" i="28"/>
  <c r="O33" i="28"/>
  <c r="O34" i="28"/>
  <c r="O35" i="28"/>
  <c r="O36" i="28"/>
  <c r="O37" i="28"/>
  <c r="O38" i="28"/>
  <c r="O39" i="28"/>
  <c r="O40" i="28"/>
  <c r="O41" i="28"/>
  <c r="O42" i="28"/>
  <c r="O43" i="28"/>
  <c r="O44" i="28"/>
  <c r="O45" i="28"/>
  <c r="O46" i="28"/>
  <c r="O47" i="28"/>
  <c r="O48" i="28"/>
  <c r="O49" i="28"/>
  <c r="O50" i="28"/>
  <c r="O51" i="28"/>
  <c r="O52" i="28"/>
  <c r="O53" i="28"/>
  <c r="O54" i="28"/>
  <c r="O55" i="28"/>
  <c r="O56" i="28"/>
  <c r="O57" i="28"/>
  <c r="O58" i="28"/>
  <c r="O59" i="28"/>
  <c r="O60" i="28"/>
  <c r="O61" i="28"/>
  <c r="O62" i="28"/>
  <c r="O63" i="28"/>
  <c r="O64" i="28"/>
  <c r="O65" i="28"/>
  <c r="O66" i="28"/>
  <c r="O67" i="28"/>
  <c r="O68" i="28"/>
  <c r="O69" i="28"/>
  <c r="O70" i="28"/>
  <c r="O71" i="28"/>
  <c r="O72" i="28"/>
  <c r="O73" i="28"/>
  <c r="O74" i="28"/>
  <c r="O75" i="28"/>
  <c r="O76" i="28"/>
  <c r="O77" i="28"/>
  <c r="O78" i="28"/>
  <c r="O79" i="28"/>
  <c r="O80" i="28"/>
  <c r="O81" i="28"/>
  <c r="O82" i="28"/>
  <c r="O83" i="28"/>
  <c r="O84" i="28"/>
  <c r="O85" i="28"/>
  <c r="O86" i="28"/>
  <c r="O87" i="28"/>
  <c r="O88" i="28"/>
  <c r="O89" i="28"/>
  <c r="O90" i="28"/>
  <c r="O91" i="28"/>
  <c r="O92" i="28"/>
  <c r="O93" i="28"/>
  <c r="O94" i="28"/>
  <c r="O95" i="28"/>
  <c r="O96" i="28"/>
  <c r="O97" i="28"/>
  <c r="O98" i="28"/>
  <c r="O99" i="28"/>
  <c r="O100" i="28"/>
  <c r="O101" i="28"/>
  <c r="O102" i="28"/>
  <c r="O103" i="28"/>
  <c r="O104" i="28"/>
  <c r="O105" i="28"/>
  <c r="O106" i="28"/>
  <c r="O107" i="28"/>
  <c r="O108" i="28"/>
  <c r="O109" i="28"/>
  <c r="O110" i="28"/>
  <c r="O111" i="28"/>
  <c r="O112" i="28"/>
  <c r="O113" i="28"/>
  <c r="O114" i="28"/>
  <c r="O115" i="28"/>
  <c r="O116" i="28"/>
  <c r="O117" i="28"/>
  <c r="O118" i="28"/>
  <c r="O119" i="28"/>
  <c r="O120" i="28"/>
  <c r="O121" i="28"/>
  <c r="O122" i="28"/>
  <c r="O123" i="28"/>
  <c r="O124" i="28"/>
  <c r="O125" i="28"/>
  <c r="O126" i="28"/>
  <c r="O127" i="28"/>
  <c r="O128" i="28"/>
  <c r="O129" i="28"/>
  <c r="O130" i="28"/>
  <c r="O131" i="28"/>
  <c r="O132" i="28"/>
  <c r="O133" i="28"/>
  <c r="O134" i="28"/>
  <c r="O135" i="28"/>
  <c r="O136" i="28"/>
  <c r="O137" i="28"/>
  <c r="O138" i="28"/>
  <c r="O139" i="28"/>
  <c r="O140" i="28"/>
  <c r="O141" i="28"/>
  <c r="O142" i="28"/>
  <c r="O143" i="28"/>
  <c r="O144" i="28"/>
  <c r="O145" i="28"/>
  <c r="O146" i="28"/>
  <c r="O147" i="28"/>
  <c r="O148" i="28"/>
  <c r="O149" i="28"/>
  <c r="O150" i="28"/>
  <c r="O151" i="28"/>
  <c r="O152" i="28"/>
  <c r="O153" i="28"/>
  <c r="O154" i="28"/>
  <c r="O155" i="28"/>
  <c r="O156" i="28"/>
  <c r="O157" i="28"/>
  <c r="O158" i="28"/>
  <c r="O159" i="28"/>
  <c r="O160" i="28"/>
  <c r="O161" i="28"/>
  <c r="O162" i="28"/>
  <c r="O163" i="28"/>
  <c r="O164" i="28"/>
  <c r="O165" i="28"/>
  <c r="O166" i="28"/>
  <c r="O167" i="28"/>
  <c r="O168" i="28"/>
  <c r="O169" i="28"/>
  <c r="O170" i="28"/>
  <c r="O171" i="28"/>
  <c r="O172" i="28"/>
  <c r="O173" i="28"/>
  <c r="O174" i="28"/>
  <c r="O175" i="28"/>
  <c r="O176" i="28"/>
  <c r="O177" i="28"/>
  <c r="O178" i="28"/>
  <c r="O179" i="28"/>
  <c r="O180" i="28"/>
  <c r="O181" i="28"/>
  <c r="O182" i="28"/>
  <c r="O183" i="28"/>
  <c r="O184" i="28"/>
  <c r="O185" i="28"/>
  <c r="O186" i="28"/>
  <c r="O187" i="28"/>
  <c r="O188" i="28"/>
  <c r="O189" i="28"/>
  <c r="O190" i="28"/>
  <c r="O191" i="28"/>
  <c r="O192" i="28"/>
  <c r="O193" i="28"/>
  <c r="O194" i="28"/>
  <c r="O195" i="28"/>
  <c r="O196" i="28"/>
  <c r="O197" i="28"/>
  <c r="O198" i="28"/>
  <c r="O199" i="28"/>
  <c r="O200" i="28"/>
  <c r="O201" i="28"/>
  <c r="O202" i="28"/>
  <c r="O203" i="28"/>
  <c r="O204" i="28"/>
  <c r="O205" i="28"/>
  <c r="O206" i="28"/>
  <c r="O207" i="28"/>
  <c r="O208" i="28"/>
  <c r="O209" i="28"/>
  <c r="O210" i="28"/>
  <c r="O211" i="28"/>
  <c r="O212" i="28"/>
  <c r="O213" i="28"/>
  <c r="O214" i="28"/>
  <c r="O215" i="28"/>
  <c r="O216" i="28"/>
  <c r="O217" i="28"/>
  <c r="O218" i="28"/>
  <c r="O219" i="28"/>
  <c r="O220" i="28"/>
  <c r="O221" i="28"/>
  <c r="O222" i="28"/>
  <c r="O223" i="28"/>
  <c r="O224" i="28"/>
  <c r="O225" i="28"/>
  <c r="O226" i="28"/>
  <c r="O227" i="28"/>
  <c r="O228" i="28"/>
  <c r="O229" i="28"/>
  <c r="O230" i="28"/>
  <c r="O231" i="28"/>
  <c r="O232" i="28"/>
  <c r="O233" i="28"/>
  <c r="O234" i="28"/>
  <c r="O235" i="28"/>
  <c r="O236" i="28"/>
  <c r="O237" i="28"/>
  <c r="O238" i="28"/>
  <c r="O239" i="28"/>
  <c r="O240" i="28"/>
  <c r="O241" i="28"/>
  <c r="O242" i="28"/>
  <c r="O243" i="28"/>
  <c r="O244" i="28"/>
  <c r="O245" i="28"/>
  <c r="O246" i="28"/>
  <c r="O247" i="28"/>
  <c r="O248" i="28"/>
  <c r="O249" i="28"/>
  <c r="O250" i="28"/>
  <c r="O251" i="28"/>
  <c r="O252" i="28"/>
  <c r="O253" i="28"/>
  <c r="O254" i="28"/>
  <c r="O255" i="28"/>
  <c r="O256" i="28"/>
  <c r="O257" i="28"/>
  <c r="O258" i="28"/>
  <c r="O259" i="28"/>
  <c r="O260" i="28"/>
  <c r="O261" i="28"/>
  <c r="O262" i="28"/>
  <c r="O263" i="28"/>
  <c r="O264" i="28"/>
  <c r="O265" i="28"/>
  <c r="O266" i="28"/>
  <c r="O267" i="28"/>
  <c r="O268" i="28"/>
  <c r="O269" i="28"/>
  <c r="O270" i="28"/>
  <c r="O271" i="28"/>
  <c r="O272" i="28"/>
  <c r="O273" i="28"/>
  <c r="O274" i="28"/>
  <c r="O275" i="28"/>
  <c r="O276" i="28"/>
  <c r="O277" i="28"/>
  <c r="O278" i="28"/>
  <c r="O279" i="28"/>
  <c r="O280" i="28"/>
  <c r="O281" i="28"/>
  <c r="O282" i="28"/>
  <c r="O283" i="28"/>
  <c r="O284" i="28"/>
  <c r="O285" i="28"/>
  <c r="O286" i="28"/>
  <c r="O287" i="28"/>
  <c r="O288" i="28"/>
  <c r="O289" i="28"/>
  <c r="O290" i="28"/>
  <c r="O291" i="28"/>
  <c r="O292" i="28"/>
  <c r="O293" i="28"/>
  <c r="O294" i="28"/>
  <c r="O295" i="28"/>
  <c r="O296" i="28"/>
  <c r="O297" i="28"/>
  <c r="O298" i="28"/>
  <c r="O299" i="28"/>
  <c r="O300" i="28"/>
  <c r="O301" i="28"/>
  <c r="O302" i="28"/>
  <c r="O3" i="28"/>
  <c r="B304" i="28"/>
  <c r="C304" i="28"/>
  <c r="F304" i="28"/>
  <c r="J304" i="28"/>
  <c r="K304" i="28"/>
  <c r="M304" i="28"/>
  <c r="N304" i="28"/>
  <c r="P304" i="28"/>
  <c r="B305" i="28"/>
  <c r="C305" i="28"/>
  <c r="F305" i="28"/>
  <c r="J305" i="28"/>
  <c r="K305" i="28"/>
  <c r="M305" i="28"/>
  <c r="N305" i="28"/>
  <c r="P305" i="28"/>
  <c r="B306" i="28"/>
  <c r="C306" i="28"/>
  <c r="F306" i="28"/>
  <c r="J306" i="28"/>
  <c r="K306" i="28"/>
  <c r="M306" i="28"/>
  <c r="N306" i="28"/>
  <c r="P306" i="28"/>
  <c r="B307" i="28"/>
  <c r="C307" i="28"/>
  <c r="F307" i="28"/>
  <c r="J307" i="28"/>
  <c r="K307" i="28"/>
  <c r="M307" i="28"/>
  <c r="N307" i="28"/>
  <c r="P307" i="28"/>
  <c r="B308" i="28"/>
  <c r="C308" i="28"/>
  <c r="F308" i="28"/>
  <c r="J308" i="28"/>
  <c r="K308" i="28"/>
  <c r="M308" i="28"/>
  <c r="N308" i="28"/>
  <c r="P308" i="28"/>
  <c r="B309" i="28"/>
  <c r="C309" i="28"/>
  <c r="F309" i="28"/>
  <c r="J309" i="28"/>
  <c r="K309" i="28"/>
  <c r="M309" i="28"/>
  <c r="N309" i="28"/>
  <c r="P309" i="28"/>
  <c r="B310" i="28"/>
  <c r="C310" i="28"/>
  <c r="F310" i="28"/>
  <c r="J310" i="28"/>
  <c r="K310" i="28"/>
  <c r="M310" i="28"/>
  <c r="N310" i="28"/>
  <c r="P310" i="28"/>
  <c r="B311" i="28"/>
  <c r="C311" i="28"/>
  <c r="F311" i="28"/>
  <c r="J311" i="28"/>
  <c r="K311" i="28"/>
  <c r="M311" i="28"/>
  <c r="N311" i="28"/>
  <c r="P311" i="28"/>
  <c r="B312" i="28"/>
  <c r="C312" i="28"/>
  <c r="F312" i="28"/>
  <c r="J312" i="28"/>
  <c r="K312" i="28"/>
  <c r="M312" i="28"/>
  <c r="N312" i="28"/>
  <c r="P312" i="28"/>
  <c r="B313" i="28"/>
  <c r="C313" i="28"/>
  <c r="F313" i="28"/>
  <c r="J313" i="28"/>
  <c r="K313" i="28"/>
  <c r="M313" i="28"/>
  <c r="N313" i="28"/>
  <c r="P313" i="28"/>
  <c r="B314" i="28"/>
  <c r="C314" i="28"/>
  <c r="F314" i="28"/>
  <c r="J314" i="28"/>
  <c r="K314" i="28"/>
  <c r="M314" i="28"/>
  <c r="N314" i="28"/>
  <c r="P314" i="28"/>
  <c r="B315" i="28"/>
  <c r="C315" i="28"/>
  <c r="F315" i="28"/>
  <c r="J315" i="28"/>
  <c r="K315" i="28"/>
  <c r="M315" i="28"/>
  <c r="N315" i="28"/>
  <c r="P315" i="28"/>
  <c r="B316" i="28"/>
  <c r="C316" i="28"/>
  <c r="F316" i="28"/>
  <c r="J316" i="28"/>
  <c r="K316" i="28"/>
  <c r="M316" i="28"/>
  <c r="N316" i="28"/>
  <c r="P316" i="28"/>
  <c r="B317" i="28"/>
  <c r="C317" i="28"/>
  <c r="F317" i="28"/>
  <c r="J317" i="28"/>
  <c r="K317" i="28"/>
  <c r="M317" i="28"/>
  <c r="N317" i="28"/>
  <c r="P317" i="28"/>
  <c r="B318" i="28"/>
  <c r="C318" i="28"/>
  <c r="F318" i="28"/>
  <c r="J318" i="28"/>
  <c r="K318" i="28"/>
  <c r="M318" i="28"/>
  <c r="N318" i="28"/>
  <c r="P318" i="28"/>
  <c r="B319" i="28"/>
  <c r="C319" i="28"/>
  <c r="F319" i="28"/>
  <c r="J319" i="28"/>
  <c r="K319" i="28"/>
  <c r="M319" i="28"/>
  <c r="N319" i="28"/>
  <c r="P319" i="28"/>
  <c r="B320" i="28"/>
  <c r="C320" i="28"/>
  <c r="F320" i="28"/>
  <c r="J320" i="28"/>
  <c r="K320" i="28"/>
  <c r="M320" i="28"/>
  <c r="N320" i="28"/>
  <c r="P320" i="28"/>
  <c r="B321" i="28"/>
  <c r="C321" i="28"/>
  <c r="F321" i="28"/>
  <c r="J321" i="28"/>
  <c r="K321" i="28"/>
  <c r="M321" i="28"/>
  <c r="N321" i="28"/>
  <c r="P321" i="28"/>
  <c r="B322" i="28"/>
  <c r="C322" i="28"/>
  <c r="F322" i="28"/>
  <c r="J322" i="28"/>
  <c r="K322" i="28"/>
  <c r="M322" i="28"/>
  <c r="N322" i="28"/>
  <c r="P322" i="28"/>
  <c r="B323" i="28"/>
  <c r="C323" i="28"/>
  <c r="F323" i="28"/>
  <c r="J323" i="28"/>
  <c r="K323" i="28"/>
  <c r="M323" i="28"/>
  <c r="N323" i="28"/>
  <c r="P323" i="28"/>
  <c r="B324" i="28"/>
  <c r="C324" i="28"/>
  <c r="F324" i="28"/>
  <c r="J324" i="28"/>
  <c r="K324" i="28"/>
  <c r="M324" i="28"/>
  <c r="N324" i="28"/>
  <c r="P324" i="28"/>
  <c r="B325" i="28"/>
  <c r="C325" i="28"/>
  <c r="F325" i="28"/>
  <c r="J325" i="28"/>
  <c r="K325" i="28"/>
  <c r="M325" i="28"/>
  <c r="N325" i="28"/>
  <c r="P325" i="28"/>
  <c r="B326" i="28"/>
  <c r="C326" i="28"/>
  <c r="F326" i="28"/>
  <c r="J326" i="28"/>
  <c r="K326" i="28"/>
  <c r="M326" i="28"/>
  <c r="N326" i="28"/>
  <c r="P326" i="28"/>
  <c r="B327" i="28"/>
  <c r="C327" i="28"/>
  <c r="F327" i="28"/>
  <c r="J327" i="28"/>
  <c r="K327" i="28"/>
  <c r="M327" i="28"/>
  <c r="N327" i="28"/>
  <c r="P327" i="28"/>
  <c r="B328" i="28"/>
  <c r="C328" i="28"/>
  <c r="F328" i="28"/>
  <c r="J328" i="28"/>
  <c r="K328" i="28"/>
  <c r="M328" i="28"/>
  <c r="N328" i="28"/>
  <c r="P328" i="28"/>
  <c r="B329" i="28"/>
  <c r="C329" i="28"/>
  <c r="F329" i="28"/>
  <c r="J329" i="28"/>
  <c r="K329" i="28"/>
  <c r="M329" i="28"/>
  <c r="N329" i="28"/>
  <c r="P329" i="28"/>
  <c r="B330" i="28"/>
  <c r="C330" i="28"/>
  <c r="F330" i="28"/>
  <c r="J330" i="28"/>
  <c r="K330" i="28"/>
  <c r="M330" i="28"/>
  <c r="N330" i="28"/>
  <c r="P330" i="28"/>
  <c r="B331" i="28"/>
  <c r="C331" i="28"/>
  <c r="F331" i="28"/>
  <c r="J331" i="28"/>
  <c r="K331" i="28"/>
  <c r="M331" i="28"/>
  <c r="N331" i="28"/>
  <c r="P331" i="28"/>
  <c r="B332" i="28"/>
  <c r="C332" i="28"/>
  <c r="F332" i="28"/>
  <c r="J332" i="28"/>
  <c r="K332" i="28"/>
  <c r="M332" i="28"/>
  <c r="N332" i="28"/>
  <c r="P332" i="28"/>
  <c r="B333" i="28"/>
  <c r="C333" i="28"/>
  <c r="F333" i="28"/>
  <c r="J333" i="28"/>
  <c r="K333" i="28"/>
  <c r="M333" i="28"/>
  <c r="N333" i="28"/>
  <c r="P333" i="28"/>
  <c r="B334" i="28"/>
  <c r="C334" i="28"/>
  <c r="F334" i="28"/>
  <c r="J334" i="28"/>
  <c r="K334" i="28"/>
  <c r="M334" i="28"/>
  <c r="N334" i="28"/>
  <c r="P334" i="28"/>
  <c r="B335" i="28"/>
  <c r="C335" i="28"/>
  <c r="F335" i="28"/>
  <c r="J335" i="28"/>
  <c r="K335" i="28"/>
  <c r="M335" i="28"/>
  <c r="N335" i="28"/>
  <c r="P335" i="28"/>
  <c r="B336" i="28"/>
  <c r="C336" i="28"/>
  <c r="F336" i="28"/>
  <c r="J336" i="28"/>
  <c r="K336" i="28"/>
  <c r="M336" i="28"/>
  <c r="N336" i="28"/>
  <c r="P336" i="28"/>
  <c r="B337" i="28"/>
  <c r="C337" i="28"/>
  <c r="F337" i="28"/>
  <c r="J337" i="28"/>
  <c r="K337" i="28"/>
  <c r="M337" i="28"/>
  <c r="N337" i="28"/>
  <c r="P337" i="28"/>
  <c r="B338" i="28"/>
  <c r="C338" i="28"/>
  <c r="F338" i="28"/>
  <c r="J338" i="28"/>
  <c r="K338" i="28"/>
  <c r="M338" i="28"/>
  <c r="N338" i="28"/>
  <c r="P338" i="28"/>
  <c r="B339" i="28"/>
  <c r="C339" i="28"/>
  <c r="F339" i="28"/>
  <c r="J339" i="28"/>
  <c r="K339" i="28"/>
  <c r="M339" i="28"/>
  <c r="N339" i="28"/>
  <c r="P339" i="28"/>
  <c r="B340" i="28"/>
  <c r="C340" i="28"/>
  <c r="F340" i="28"/>
  <c r="J340" i="28"/>
  <c r="K340" i="28"/>
  <c r="M340" i="28"/>
  <c r="N340" i="28"/>
  <c r="P340" i="28"/>
  <c r="B341" i="28"/>
  <c r="C341" i="28"/>
  <c r="F341" i="28"/>
  <c r="J341" i="28"/>
  <c r="K341" i="28"/>
  <c r="M341" i="28"/>
  <c r="N341" i="28"/>
  <c r="P341" i="28"/>
  <c r="B342" i="28"/>
  <c r="C342" i="28"/>
  <c r="F342" i="28"/>
  <c r="J342" i="28"/>
  <c r="K342" i="28"/>
  <c r="M342" i="28"/>
  <c r="N342" i="28"/>
  <c r="P342" i="28"/>
  <c r="B343" i="28"/>
  <c r="C343" i="28"/>
  <c r="F343" i="28"/>
  <c r="J343" i="28"/>
  <c r="K343" i="28"/>
  <c r="M343" i="28"/>
  <c r="N343" i="28"/>
  <c r="P343" i="28"/>
  <c r="B344" i="28"/>
  <c r="C344" i="28"/>
  <c r="F344" i="28"/>
  <c r="J344" i="28"/>
  <c r="K344" i="28"/>
  <c r="M344" i="28"/>
  <c r="N344" i="28"/>
  <c r="P344" i="28"/>
  <c r="B345" i="28"/>
  <c r="C345" i="28"/>
  <c r="F345" i="28"/>
  <c r="J345" i="28"/>
  <c r="K345" i="28"/>
  <c r="M345" i="28"/>
  <c r="N345" i="28"/>
  <c r="P345" i="28"/>
  <c r="B346" i="28"/>
  <c r="C346" i="28"/>
  <c r="F346" i="28"/>
  <c r="J346" i="28"/>
  <c r="K346" i="28"/>
  <c r="M346" i="28"/>
  <c r="N346" i="28"/>
  <c r="P346" i="28"/>
  <c r="B347" i="28"/>
  <c r="C347" i="28"/>
  <c r="F347" i="28"/>
  <c r="J347" i="28"/>
  <c r="K347" i="28"/>
  <c r="M347" i="28"/>
  <c r="N347" i="28"/>
  <c r="P347" i="28"/>
  <c r="B348" i="28"/>
  <c r="C348" i="28"/>
  <c r="F348" i="28"/>
  <c r="J348" i="28"/>
  <c r="K348" i="28"/>
  <c r="M348" i="28"/>
  <c r="N348" i="28"/>
  <c r="P348" i="28"/>
  <c r="B349" i="28"/>
  <c r="C349" i="28"/>
  <c r="F349" i="28"/>
  <c r="J349" i="28"/>
  <c r="K349" i="28"/>
  <c r="M349" i="28"/>
  <c r="N349" i="28"/>
  <c r="P349" i="28"/>
  <c r="B350" i="28"/>
  <c r="C350" i="28"/>
  <c r="F350" i="28"/>
  <c r="J350" i="28"/>
  <c r="K350" i="28"/>
  <c r="M350" i="28"/>
  <c r="N350" i="28"/>
  <c r="P350" i="28"/>
  <c r="B351" i="28"/>
  <c r="C351" i="28"/>
  <c r="F351" i="28"/>
  <c r="J351" i="28"/>
  <c r="K351" i="28"/>
  <c r="M351" i="28"/>
  <c r="N351" i="28"/>
  <c r="P351" i="28"/>
  <c r="B352" i="28"/>
  <c r="C352" i="28"/>
  <c r="F352" i="28"/>
  <c r="J352" i="28"/>
  <c r="K352" i="28"/>
  <c r="M352" i="28"/>
  <c r="N352" i="28"/>
  <c r="P352" i="28"/>
  <c r="B353" i="28"/>
  <c r="C353" i="28"/>
  <c r="F353" i="28"/>
  <c r="J353" i="28"/>
  <c r="K353" i="28"/>
  <c r="M353" i="28"/>
  <c r="N353" i="28"/>
  <c r="P353" i="28"/>
  <c r="B354" i="28"/>
  <c r="C354" i="28"/>
  <c r="F354" i="28"/>
  <c r="J354" i="28"/>
  <c r="K354" i="28"/>
  <c r="M354" i="28"/>
  <c r="N354" i="28"/>
  <c r="P354" i="28"/>
  <c r="B355" i="28"/>
  <c r="C355" i="28"/>
  <c r="F355" i="28"/>
  <c r="J355" i="28"/>
  <c r="K355" i="28"/>
  <c r="M355" i="28"/>
  <c r="N355" i="28"/>
  <c r="P355" i="28"/>
  <c r="B356" i="28"/>
  <c r="C356" i="28"/>
  <c r="F356" i="28"/>
  <c r="J356" i="28"/>
  <c r="K356" i="28"/>
  <c r="M356" i="28"/>
  <c r="N356" i="28"/>
  <c r="P356" i="28"/>
  <c r="B357" i="28"/>
  <c r="C357" i="28"/>
  <c r="F357" i="28"/>
  <c r="J357" i="28"/>
  <c r="K357" i="28"/>
  <c r="M357" i="28"/>
  <c r="N357" i="28"/>
  <c r="P357" i="28"/>
  <c r="B358" i="28"/>
  <c r="C358" i="28"/>
  <c r="F358" i="28"/>
  <c r="J358" i="28"/>
  <c r="K358" i="28"/>
  <c r="M358" i="28"/>
  <c r="N358" i="28"/>
  <c r="P358" i="28"/>
  <c r="B359" i="28"/>
  <c r="C359" i="28"/>
  <c r="F359" i="28"/>
  <c r="J359" i="28"/>
  <c r="K359" i="28"/>
  <c r="M359" i="28"/>
  <c r="N359" i="28"/>
  <c r="P359" i="28"/>
  <c r="B360" i="28"/>
  <c r="C360" i="28"/>
  <c r="F360" i="28"/>
  <c r="J360" i="28"/>
  <c r="K360" i="28"/>
  <c r="M360" i="28"/>
  <c r="N360" i="28"/>
  <c r="P360" i="28"/>
  <c r="B361" i="28"/>
  <c r="C361" i="28"/>
  <c r="F361" i="28"/>
  <c r="J361" i="28"/>
  <c r="K361" i="28"/>
  <c r="M361" i="28"/>
  <c r="N361" i="28"/>
  <c r="P361" i="28"/>
  <c r="B362" i="28"/>
  <c r="C362" i="28"/>
  <c r="F362" i="28"/>
  <c r="J362" i="28"/>
  <c r="K362" i="28"/>
  <c r="M362" i="28"/>
  <c r="N362" i="28"/>
  <c r="P362" i="28"/>
  <c r="B363" i="28"/>
  <c r="C363" i="28"/>
  <c r="F363" i="28"/>
  <c r="J363" i="28"/>
  <c r="K363" i="28"/>
  <c r="M363" i="28"/>
  <c r="N363" i="28"/>
  <c r="P363" i="28"/>
  <c r="B364" i="28"/>
  <c r="C364" i="28"/>
  <c r="F364" i="28"/>
  <c r="J364" i="28"/>
  <c r="K364" i="28"/>
  <c r="M364" i="28"/>
  <c r="N364" i="28"/>
  <c r="P364" i="28"/>
  <c r="B365" i="28"/>
  <c r="C365" i="28"/>
  <c r="F365" i="28"/>
  <c r="J365" i="28"/>
  <c r="K365" i="28"/>
  <c r="M365" i="28"/>
  <c r="N365" i="28"/>
  <c r="P365" i="28"/>
  <c r="B366" i="28"/>
  <c r="C366" i="28"/>
  <c r="F366" i="28"/>
  <c r="J366" i="28"/>
  <c r="K366" i="28"/>
  <c r="M366" i="28"/>
  <c r="N366" i="28"/>
  <c r="P366" i="28"/>
  <c r="B367" i="28"/>
  <c r="C367" i="28"/>
  <c r="F367" i="28"/>
  <c r="J367" i="28"/>
  <c r="K367" i="28"/>
  <c r="M367" i="28"/>
  <c r="N367" i="28"/>
  <c r="P367" i="28"/>
  <c r="B368" i="28"/>
  <c r="C368" i="28"/>
  <c r="F368" i="28"/>
  <c r="J368" i="28"/>
  <c r="K368" i="28"/>
  <c r="M368" i="28"/>
  <c r="N368" i="28"/>
  <c r="P368" i="28"/>
  <c r="B369" i="28"/>
  <c r="C369" i="28"/>
  <c r="F369" i="28"/>
  <c r="J369" i="28"/>
  <c r="K369" i="28"/>
  <c r="M369" i="28"/>
  <c r="N369" i="28"/>
  <c r="P369" i="28"/>
  <c r="B370" i="28"/>
  <c r="C370" i="28"/>
  <c r="F370" i="28"/>
  <c r="J370" i="28"/>
  <c r="K370" i="28"/>
  <c r="M370" i="28"/>
  <c r="N370" i="28"/>
  <c r="P370" i="28"/>
  <c r="B371" i="28"/>
  <c r="C371" i="28"/>
  <c r="F371" i="28"/>
  <c r="J371" i="28"/>
  <c r="K371" i="28"/>
  <c r="M371" i="28"/>
  <c r="N371" i="28"/>
  <c r="P371" i="28"/>
  <c r="B372" i="28"/>
  <c r="C372" i="28"/>
  <c r="F372" i="28"/>
  <c r="J372" i="28"/>
  <c r="K372" i="28"/>
  <c r="M372" i="28"/>
  <c r="N372" i="28"/>
  <c r="P372" i="28"/>
  <c r="B373" i="28"/>
  <c r="C373" i="28"/>
  <c r="F373" i="28"/>
  <c r="J373" i="28"/>
  <c r="K373" i="28"/>
  <c r="M373" i="28"/>
  <c r="N373" i="28"/>
  <c r="P373" i="28"/>
  <c r="B374" i="28"/>
  <c r="C374" i="28"/>
  <c r="F374" i="28"/>
  <c r="J374" i="28"/>
  <c r="K374" i="28"/>
  <c r="M374" i="28"/>
  <c r="N374" i="28"/>
  <c r="P374" i="28"/>
  <c r="B375" i="28"/>
  <c r="C375" i="28"/>
  <c r="F375" i="28"/>
  <c r="J375" i="28"/>
  <c r="K375" i="28"/>
  <c r="M375" i="28"/>
  <c r="N375" i="28"/>
  <c r="P375" i="28"/>
  <c r="B376" i="28"/>
  <c r="C376" i="28"/>
  <c r="F376" i="28"/>
  <c r="J376" i="28"/>
  <c r="K376" i="28"/>
  <c r="M376" i="28"/>
  <c r="N376" i="28"/>
  <c r="P376" i="28"/>
  <c r="B377" i="28"/>
  <c r="C377" i="28"/>
  <c r="F377" i="28"/>
  <c r="J377" i="28"/>
  <c r="K377" i="28"/>
  <c r="M377" i="28"/>
  <c r="N377" i="28"/>
  <c r="P377" i="28"/>
  <c r="B378" i="28"/>
  <c r="C378" i="28"/>
  <c r="F378" i="28"/>
  <c r="J378" i="28"/>
  <c r="K378" i="28"/>
  <c r="M378" i="28"/>
  <c r="N378" i="28"/>
  <c r="P378" i="28"/>
  <c r="B379" i="28"/>
  <c r="C379" i="28"/>
  <c r="F379" i="28"/>
  <c r="J379" i="28"/>
  <c r="K379" i="28"/>
  <c r="M379" i="28"/>
  <c r="N379" i="28"/>
  <c r="P379" i="28"/>
  <c r="B380" i="28"/>
  <c r="C380" i="28"/>
  <c r="F380" i="28"/>
  <c r="J380" i="28"/>
  <c r="K380" i="28"/>
  <c r="M380" i="28"/>
  <c r="N380" i="28"/>
  <c r="P380" i="28"/>
  <c r="B381" i="28"/>
  <c r="C381" i="28"/>
  <c r="F381" i="28"/>
  <c r="J381" i="28"/>
  <c r="K381" i="28"/>
  <c r="M381" i="28"/>
  <c r="N381" i="28"/>
  <c r="P381" i="28"/>
  <c r="B382" i="28"/>
  <c r="C382" i="28"/>
  <c r="F382" i="28"/>
  <c r="J382" i="28"/>
  <c r="K382" i="28"/>
  <c r="M382" i="28"/>
  <c r="N382" i="28"/>
  <c r="P382" i="28"/>
  <c r="B383" i="28"/>
  <c r="C383" i="28"/>
  <c r="F383" i="28"/>
  <c r="J383" i="28"/>
  <c r="K383" i="28"/>
  <c r="M383" i="28"/>
  <c r="N383" i="28"/>
  <c r="P383" i="28"/>
  <c r="B384" i="28"/>
  <c r="C384" i="28"/>
  <c r="F384" i="28"/>
  <c r="J384" i="28"/>
  <c r="K384" i="28"/>
  <c r="M384" i="28"/>
  <c r="N384" i="28"/>
  <c r="P384" i="28"/>
  <c r="B385" i="28"/>
  <c r="C385" i="28"/>
  <c r="F385" i="28"/>
  <c r="J385" i="28"/>
  <c r="K385" i="28"/>
  <c r="M385" i="28"/>
  <c r="N385" i="28"/>
  <c r="P385" i="28"/>
  <c r="B386" i="28"/>
  <c r="C386" i="28"/>
  <c r="F386" i="28"/>
  <c r="J386" i="28"/>
  <c r="K386" i="28"/>
  <c r="M386" i="28"/>
  <c r="N386" i="28"/>
  <c r="P386" i="28"/>
  <c r="B387" i="28"/>
  <c r="C387" i="28"/>
  <c r="F387" i="28"/>
  <c r="J387" i="28"/>
  <c r="K387" i="28"/>
  <c r="M387" i="28"/>
  <c r="N387" i="28"/>
  <c r="P387" i="28"/>
  <c r="B388" i="28"/>
  <c r="C388" i="28"/>
  <c r="F388" i="28"/>
  <c r="J388" i="28"/>
  <c r="K388" i="28"/>
  <c r="M388" i="28"/>
  <c r="N388" i="28"/>
  <c r="P388" i="28"/>
  <c r="B389" i="28"/>
  <c r="C389" i="28"/>
  <c r="F389" i="28"/>
  <c r="J389" i="28"/>
  <c r="K389" i="28"/>
  <c r="M389" i="28"/>
  <c r="N389" i="28"/>
  <c r="P389" i="28"/>
  <c r="B390" i="28"/>
  <c r="C390" i="28"/>
  <c r="F390" i="28"/>
  <c r="J390" i="28"/>
  <c r="K390" i="28"/>
  <c r="M390" i="28"/>
  <c r="N390" i="28"/>
  <c r="P390" i="28"/>
  <c r="B391" i="28"/>
  <c r="C391" i="28"/>
  <c r="F391" i="28"/>
  <c r="J391" i="28"/>
  <c r="K391" i="28"/>
  <c r="M391" i="28"/>
  <c r="N391" i="28"/>
  <c r="P391" i="28"/>
  <c r="B392" i="28"/>
  <c r="C392" i="28"/>
  <c r="F392" i="28"/>
  <c r="J392" i="28"/>
  <c r="K392" i="28"/>
  <c r="M392" i="28"/>
  <c r="N392" i="28"/>
  <c r="P392" i="28"/>
  <c r="B393" i="28"/>
  <c r="C393" i="28"/>
  <c r="F393" i="28"/>
  <c r="J393" i="28"/>
  <c r="K393" i="28"/>
  <c r="M393" i="28"/>
  <c r="N393" i="28"/>
  <c r="P393" i="28"/>
  <c r="B394" i="28"/>
  <c r="C394" i="28"/>
  <c r="F394" i="28"/>
  <c r="J394" i="28"/>
  <c r="K394" i="28"/>
  <c r="M394" i="28"/>
  <c r="N394" i="28"/>
  <c r="P394" i="28"/>
  <c r="B395" i="28"/>
  <c r="C395" i="28"/>
  <c r="F395" i="28"/>
  <c r="J395" i="28"/>
  <c r="K395" i="28"/>
  <c r="M395" i="28"/>
  <c r="N395" i="28"/>
  <c r="P395" i="28"/>
  <c r="B396" i="28"/>
  <c r="C396" i="28"/>
  <c r="F396" i="28"/>
  <c r="J396" i="28"/>
  <c r="K396" i="28"/>
  <c r="M396" i="28"/>
  <c r="N396" i="28"/>
  <c r="P396" i="28"/>
  <c r="B397" i="28"/>
  <c r="C397" i="28"/>
  <c r="F397" i="28"/>
  <c r="J397" i="28"/>
  <c r="K397" i="28"/>
  <c r="M397" i="28"/>
  <c r="N397" i="28"/>
  <c r="P397" i="28"/>
  <c r="B398" i="28"/>
  <c r="C398" i="28"/>
  <c r="F398" i="28"/>
  <c r="J398" i="28"/>
  <c r="K398" i="28"/>
  <c r="M398" i="28"/>
  <c r="N398" i="28"/>
  <c r="P398" i="28"/>
  <c r="B399" i="28"/>
  <c r="C399" i="28"/>
  <c r="F399" i="28"/>
  <c r="J399" i="28"/>
  <c r="K399" i="28"/>
  <c r="M399" i="28"/>
  <c r="N399" i="28"/>
  <c r="P399" i="28"/>
  <c r="B400" i="28"/>
  <c r="C400" i="28"/>
  <c r="F400" i="28"/>
  <c r="J400" i="28"/>
  <c r="K400" i="28"/>
  <c r="M400" i="28"/>
  <c r="N400" i="28"/>
  <c r="P400" i="28"/>
  <c r="B401" i="28"/>
  <c r="C401" i="28"/>
  <c r="F401" i="28"/>
  <c r="J401" i="28"/>
  <c r="K401" i="28"/>
  <c r="M401" i="28"/>
  <c r="N401" i="28"/>
  <c r="P401" i="28"/>
  <c r="B402" i="28"/>
  <c r="C402" i="28"/>
  <c r="F402" i="28"/>
  <c r="J402" i="28"/>
  <c r="K402" i="28"/>
  <c r="M402" i="28"/>
  <c r="N402" i="28"/>
  <c r="P402" i="28"/>
  <c r="B403" i="28"/>
  <c r="C403" i="28"/>
  <c r="F403" i="28"/>
  <c r="J403" i="28"/>
  <c r="K403" i="28"/>
  <c r="M403" i="28"/>
  <c r="N403" i="28"/>
  <c r="P403" i="28"/>
  <c r="B404" i="28"/>
  <c r="C404" i="28"/>
  <c r="F404" i="28"/>
  <c r="J404" i="28"/>
  <c r="K404" i="28"/>
  <c r="M404" i="28"/>
  <c r="N404" i="28"/>
  <c r="P404" i="28"/>
  <c r="B405" i="28"/>
  <c r="C405" i="28"/>
  <c r="F405" i="28"/>
  <c r="J405" i="28"/>
  <c r="K405" i="28"/>
  <c r="M405" i="28"/>
  <c r="N405" i="28"/>
  <c r="P405" i="28"/>
  <c r="B406" i="28"/>
  <c r="C406" i="28"/>
  <c r="F406" i="28"/>
  <c r="J406" i="28"/>
  <c r="K406" i="28"/>
  <c r="M406" i="28"/>
  <c r="N406" i="28"/>
  <c r="P406" i="28"/>
  <c r="B407" i="28"/>
  <c r="C407" i="28"/>
  <c r="F407" i="28"/>
  <c r="J407" i="28"/>
  <c r="K407" i="28"/>
  <c r="M407" i="28"/>
  <c r="N407" i="28"/>
  <c r="P407" i="28"/>
  <c r="B408" i="28"/>
  <c r="C408" i="28"/>
  <c r="F408" i="28"/>
  <c r="J408" i="28"/>
  <c r="K408" i="28"/>
  <c r="M408" i="28"/>
  <c r="N408" i="28"/>
  <c r="P408" i="28"/>
  <c r="B409" i="28"/>
  <c r="C409" i="28"/>
  <c r="F409" i="28"/>
  <c r="J409" i="28"/>
  <c r="K409" i="28"/>
  <c r="M409" i="28"/>
  <c r="N409" i="28"/>
  <c r="P409" i="28"/>
  <c r="B410" i="28"/>
  <c r="C410" i="28"/>
  <c r="F410" i="28"/>
  <c r="J410" i="28"/>
  <c r="K410" i="28"/>
  <c r="M410" i="28"/>
  <c r="N410" i="28"/>
  <c r="P410" i="28"/>
  <c r="B411" i="28"/>
  <c r="C411" i="28"/>
  <c r="F411" i="28"/>
  <c r="J411" i="28"/>
  <c r="K411" i="28"/>
  <c r="M411" i="28"/>
  <c r="N411" i="28"/>
  <c r="P411" i="28"/>
  <c r="B412" i="28"/>
  <c r="C412" i="28"/>
  <c r="F412" i="28"/>
  <c r="J412" i="28"/>
  <c r="K412" i="28"/>
  <c r="M412" i="28"/>
  <c r="N412" i="28"/>
  <c r="P412" i="28"/>
  <c r="B413" i="28"/>
  <c r="C413" i="28"/>
  <c r="F413" i="28"/>
  <c r="J413" i="28"/>
  <c r="K413" i="28"/>
  <c r="M413" i="28"/>
  <c r="N413" i="28"/>
  <c r="P413" i="28"/>
  <c r="B414" i="28"/>
  <c r="C414" i="28"/>
  <c r="F414" i="28"/>
  <c r="J414" i="28"/>
  <c r="K414" i="28"/>
  <c r="M414" i="28"/>
  <c r="N414" i="28"/>
  <c r="P414" i="28"/>
  <c r="B415" i="28"/>
  <c r="C415" i="28"/>
  <c r="F415" i="28"/>
  <c r="J415" i="28"/>
  <c r="K415" i="28"/>
  <c r="M415" i="28"/>
  <c r="N415" i="28"/>
  <c r="P415" i="28"/>
  <c r="B416" i="28"/>
  <c r="C416" i="28"/>
  <c r="F416" i="28"/>
  <c r="J416" i="28"/>
  <c r="K416" i="28"/>
  <c r="M416" i="28"/>
  <c r="N416" i="28"/>
  <c r="P416" i="28"/>
  <c r="B417" i="28"/>
  <c r="C417" i="28"/>
  <c r="F417" i="28"/>
  <c r="J417" i="28"/>
  <c r="K417" i="28"/>
  <c r="M417" i="28"/>
  <c r="N417" i="28"/>
  <c r="P417" i="28"/>
  <c r="B418" i="28"/>
  <c r="C418" i="28"/>
  <c r="F418" i="28"/>
  <c r="J418" i="28"/>
  <c r="K418" i="28"/>
  <c r="M418" i="28"/>
  <c r="N418" i="28"/>
  <c r="P418" i="28"/>
  <c r="B419" i="28"/>
  <c r="C419" i="28"/>
  <c r="F419" i="28"/>
  <c r="J419" i="28"/>
  <c r="K419" i="28"/>
  <c r="M419" i="28"/>
  <c r="N419" i="28"/>
  <c r="P419" i="28"/>
  <c r="B420" i="28"/>
  <c r="C420" i="28"/>
  <c r="F420" i="28"/>
  <c r="J420" i="28"/>
  <c r="K420" i="28"/>
  <c r="M420" i="28"/>
  <c r="N420" i="28"/>
  <c r="P420" i="28"/>
  <c r="B421" i="28"/>
  <c r="C421" i="28"/>
  <c r="F421" i="28"/>
  <c r="J421" i="28"/>
  <c r="K421" i="28"/>
  <c r="M421" i="28"/>
  <c r="N421" i="28"/>
  <c r="P421" i="28"/>
  <c r="B422" i="28"/>
  <c r="C422" i="28"/>
  <c r="F422" i="28"/>
  <c r="J422" i="28"/>
  <c r="K422" i="28"/>
  <c r="M422" i="28"/>
  <c r="N422" i="28"/>
  <c r="P422" i="28"/>
  <c r="B423" i="28"/>
  <c r="C423" i="28"/>
  <c r="F423" i="28"/>
  <c r="J423" i="28"/>
  <c r="K423" i="28"/>
  <c r="M423" i="28"/>
  <c r="N423" i="28"/>
  <c r="P423" i="28"/>
  <c r="B424" i="28"/>
  <c r="C424" i="28"/>
  <c r="F424" i="28"/>
  <c r="J424" i="28"/>
  <c r="K424" i="28"/>
  <c r="M424" i="28"/>
  <c r="N424" i="28"/>
  <c r="P424" i="28"/>
  <c r="B425" i="28"/>
  <c r="C425" i="28"/>
  <c r="F425" i="28"/>
  <c r="J425" i="28"/>
  <c r="K425" i="28"/>
  <c r="M425" i="28"/>
  <c r="N425" i="28"/>
  <c r="P425" i="28"/>
  <c r="B426" i="28"/>
  <c r="C426" i="28"/>
  <c r="F426" i="28"/>
  <c r="J426" i="28"/>
  <c r="K426" i="28"/>
  <c r="M426" i="28"/>
  <c r="N426" i="28"/>
  <c r="P426" i="28"/>
  <c r="B427" i="28"/>
  <c r="C427" i="28"/>
  <c r="F427" i="28"/>
  <c r="J427" i="28"/>
  <c r="K427" i="28"/>
  <c r="M427" i="28"/>
  <c r="N427" i="28"/>
  <c r="P427" i="28"/>
  <c r="B428" i="28"/>
  <c r="C428" i="28"/>
  <c r="F428" i="28"/>
  <c r="J428" i="28"/>
  <c r="K428" i="28"/>
  <c r="M428" i="28"/>
  <c r="N428" i="28"/>
  <c r="P428" i="28"/>
  <c r="B429" i="28"/>
  <c r="C429" i="28"/>
  <c r="F429" i="28"/>
  <c r="J429" i="28"/>
  <c r="K429" i="28"/>
  <c r="M429" i="28"/>
  <c r="N429" i="28"/>
  <c r="P429" i="28"/>
  <c r="B430" i="28"/>
  <c r="C430" i="28"/>
  <c r="F430" i="28"/>
  <c r="J430" i="28"/>
  <c r="K430" i="28"/>
  <c r="M430" i="28"/>
  <c r="N430" i="28"/>
  <c r="P430" i="28"/>
  <c r="B431" i="28"/>
  <c r="C431" i="28"/>
  <c r="F431" i="28"/>
  <c r="J431" i="28"/>
  <c r="K431" i="28"/>
  <c r="M431" i="28"/>
  <c r="N431" i="28"/>
  <c r="P431" i="28"/>
  <c r="B432" i="28"/>
  <c r="C432" i="28"/>
  <c r="F432" i="28"/>
  <c r="J432" i="28"/>
  <c r="K432" i="28"/>
  <c r="M432" i="28"/>
  <c r="N432" i="28"/>
  <c r="P432" i="28"/>
  <c r="B433" i="28"/>
  <c r="C433" i="28"/>
  <c r="F433" i="28"/>
  <c r="J433" i="28"/>
  <c r="K433" i="28"/>
  <c r="M433" i="28"/>
  <c r="N433" i="28"/>
  <c r="P433" i="28"/>
  <c r="B434" i="28"/>
  <c r="C434" i="28"/>
  <c r="F434" i="28"/>
  <c r="J434" i="28"/>
  <c r="K434" i="28"/>
  <c r="M434" i="28"/>
  <c r="N434" i="28"/>
  <c r="P434" i="28"/>
  <c r="B435" i="28"/>
  <c r="C435" i="28"/>
  <c r="F435" i="28"/>
  <c r="J435" i="28"/>
  <c r="K435" i="28"/>
  <c r="M435" i="28"/>
  <c r="N435" i="28"/>
  <c r="P435" i="28"/>
  <c r="B436" i="28"/>
  <c r="C436" i="28"/>
  <c r="F436" i="28"/>
  <c r="J436" i="28"/>
  <c r="K436" i="28"/>
  <c r="M436" i="28"/>
  <c r="N436" i="28"/>
  <c r="P436" i="28"/>
  <c r="B437" i="28"/>
  <c r="C437" i="28"/>
  <c r="F437" i="28"/>
  <c r="J437" i="28"/>
  <c r="K437" i="28"/>
  <c r="M437" i="28"/>
  <c r="N437" i="28"/>
  <c r="P437" i="28"/>
  <c r="B438" i="28"/>
  <c r="C438" i="28"/>
  <c r="F438" i="28"/>
  <c r="J438" i="28"/>
  <c r="K438" i="28"/>
  <c r="M438" i="28"/>
  <c r="N438" i="28"/>
  <c r="P438" i="28"/>
  <c r="B439" i="28"/>
  <c r="C439" i="28"/>
  <c r="F439" i="28"/>
  <c r="J439" i="28"/>
  <c r="K439" i="28"/>
  <c r="M439" i="28"/>
  <c r="N439" i="28"/>
  <c r="P439" i="28"/>
  <c r="B440" i="28"/>
  <c r="C440" i="28"/>
  <c r="F440" i="28"/>
  <c r="J440" i="28"/>
  <c r="K440" i="28"/>
  <c r="M440" i="28"/>
  <c r="N440" i="28"/>
  <c r="P440" i="28"/>
  <c r="B441" i="28"/>
  <c r="C441" i="28"/>
  <c r="F441" i="28"/>
  <c r="J441" i="28"/>
  <c r="K441" i="28"/>
  <c r="M441" i="28"/>
  <c r="N441" i="28"/>
  <c r="P441" i="28"/>
  <c r="B442" i="28"/>
  <c r="C442" i="28"/>
  <c r="F442" i="28"/>
  <c r="J442" i="28"/>
  <c r="K442" i="28"/>
  <c r="M442" i="28"/>
  <c r="N442" i="28"/>
  <c r="P442" i="28"/>
  <c r="B443" i="28"/>
  <c r="C443" i="28"/>
  <c r="F443" i="28"/>
  <c r="J443" i="28"/>
  <c r="K443" i="28"/>
  <c r="M443" i="28"/>
  <c r="N443" i="28"/>
  <c r="P443" i="28"/>
  <c r="B444" i="28"/>
  <c r="C444" i="28"/>
  <c r="F444" i="28"/>
  <c r="J444" i="28"/>
  <c r="K444" i="28"/>
  <c r="M444" i="28"/>
  <c r="N444" i="28"/>
  <c r="P444" i="28"/>
  <c r="B445" i="28"/>
  <c r="C445" i="28"/>
  <c r="F445" i="28"/>
  <c r="J445" i="28"/>
  <c r="K445" i="28"/>
  <c r="M445" i="28"/>
  <c r="N445" i="28"/>
  <c r="P445" i="28"/>
  <c r="B446" i="28"/>
  <c r="C446" i="28"/>
  <c r="F446" i="28"/>
  <c r="J446" i="28"/>
  <c r="K446" i="28"/>
  <c r="M446" i="28"/>
  <c r="N446" i="28"/>
  <c r="P446" i="28"/>
  <c r="B447" i="28"/>
  <c r="C447" i="28"/>
  <c r="F447" i="28"/>
  <c r="J447" i="28"/>
  <c r="K447" i="28"/>
  <c r="M447" i="28"/>
  <c r="N447" i="28"/>
  <c r="P447" i="28"/>
  <c r="B448" i="28"/>
  <c r="C448" i="28"/>
  <c r="F448" i="28"/>
  <c r="J448" i="28"/>
  <c r="K448" i="28"/>
  <c r="M448" i="28"/>
  <c r="N448" i="28"/>
  <c r="P448" i="28"/>
  <c r="B449" i="28"/>
  <c r="C449" i="28"/>
  <c r="F449" i="28"/>
  <c r="J449" i="28"/>
  <c r="K449" i="28"/>
  <c r="M449" i="28"/>
  <c r="N449" i="28"/>
  <c r="P449" i="28"/>
  <c r="B450" i="28"/>
  <c r="C450" i="28"/>
  <c r="F450" i="28"/>
  <c r="J450" i="28"/>
  <c r="K450" i="28"/>
  <c r="M450" i="28"/>
  <c r="N450" i="28"/>
  <c r="P450" i="28"/>
  <c r="B451" i="28"/>
  <c r="C451" i="28"/>
  <c r="F451" i="28"/>
  <c r="J451" i="28"/>
  <c r="K451" i="28"/>
  <c r="M451" i="28"/>
  <c r="N451" i="28"/>
  <c r="P451" i="28"/>
  <c r="B452" i="28"/>
  <c r="C452" i="28"/>
  <c r="F452" i="28"/>
  <c r="J452" i="28"/>
  <c r="K452" i="28"/>
  <c r="M452" i="28"/>
  <c r="N452" i="28"/>
  <c r="P452" i="28"/>
  <c r="B453" i="28"/>
  <c r="C453" i="28"/>
  <c r="F453" i="28"/>
  <c r="J453" i="28"/>
  <c r="K453" i="28"/>
  <c r="M453" i="28"/>
  <c r="N453" i="28"/>
  <c r="P453" i="28"/>
  <c r="B454" i="28"/>
  <c r="C454" i="28"/>
  <c r="F454" i="28"/>
  <c r="J454" i="28"/>
  <c r="K454" i="28"/>
  <c r="M454" i="28"/>
  <c r="N454" i="28"/>
  <c r="P454" i="28"/>
  <c r="B455" i="28"/>
  <c r="C455" i="28"/>
  <c r="F455" i="28"/>
  <c r="J455" i="28"/>
  <c r="K455" i="28"/>
  <c r="M455" i="28"/>
  <c r="N455" i="28"/>
  <c r="P455" i="28"/>
  <c r="B456" i="28"/>
  <c r="C456" i="28"/>
  <c r="F456" i="28"/>
  <c r="J456" i="28"/>
  <c r="K456" i="28"/>
  <c r="M456" i="28"/>
  <c r="N456" i="28"/>
  <c r="P456" i="28"/>
  <c r="B457" i="28"/>
  <c r="C457" i="28"/>
  <c r="F457" i="28"/>
  <c r="J457" i="28"/>
  <c r="K457" i="28"/>
  <c r="M457" i="28"/>
  <c r="N457" i="28"/>
  <c r="P457" i="28"/>
  <c r="B458" i="28"/>
  <c r="C458" i="28"/>
  <c r="F458" i="28"/>
  <c r="J458" i="28"/>
  <c r="K458" i="28"/>
  <c r="M458" i="28"/>
  <c r="N458" i="28"/>
  <c r="P458" i="28"/>
  <c r="B459" i="28"/>
  <c r="C459" i="28"/>
  <c r="F459" i="28"/>
  <c r="J459" i="28"/>
  <c r="K459" i="28"/>
  <c r="M459" i="28"/>
  <c r="N459" i="28"/>
  <c r="P459" i="28"/>
  <c r="B460" i="28"/>
  <c r="C460" i="28"/>
  <c r="F460" i="28"/>
  <c r="J460" i="28"/>
  <c r="K460" i="28"/>
  <c r="M460" i="28"/>
  <c r="N460" i="28"/>
  <c r="P460" i="28"/>
  <c r="B461" i="28"/>
  <c r="C461" i="28"/>
  <c r="F461" i="28"/>
  <c r="J461" i="28"/>
  <c r="K461" i="28"/>
  <c r="M461" i="28"/>
  <c r="N461" i="28"/>
  <c r="P461" i="28"/>
  <c r="B462" i="28"/>
  <c r="C462" i="28"/>
  <c r="F462" i="28"/>
  <c r="J462" i="28"/>
  <c r="K462" i="28"/>
  <c r="M462" i="28"/>
  <c r="N462" i="28"/>
  <c r="P462" i="28"/>
  <c r="B463" i="28"/>
  <c r="C463" i="28"/>
  <c r="F463" i="28"/>
  <c r="J463" i="28"/>
  <c r="K463" i="28"/>
  <c r="M463" i="28"/>
  <c r="N463" i="28"/>
  <c r="P463" i="28"/>
  <c r="B464" i="28"/>
  <c r="C464" i="28"/>
  <c r="F464" i="28"/>
  <c r="J464" i="28"/>
  <c r="K464" i="28"/>
  <c r="M464" i="28"/>
  <c r="N464" i="28"/>
  <c r="P464" i="28"/>
  <c r="B465" i="28"/>
  <c r="C465" i="28"/>
  <c r="F465" i="28"/>
  <c r="J465" i="28"/>
  <c r="K465" i="28"/>
  <c r="M465" i="28"/>
  <c r="N465" i="28"/>
  <c r="P465" i="28"/>
  <c r="B466" i="28"/>
  <c r="C466" i="28"/>
  <c r="F466" i="28"/>
  <c r="J466" i="28"/>
  <c r="K466" i="28"/>
  <c r="M466" i="28"/>
  <c r="N466" i="28"/>
  <c r="P466" i="28"/>
  <c r="B467" i="28"/>
  <c r="C467" i="28"/>
  <c r="F467" i="28"/>
  <c r="J467" i="28"/>
  <c r="K467" i="28"/>
  <c r="M467" i="28"/>
  <c r="N467" i="28"/>
  <c r="P467" i="28"/>
  <c r="B468" i="28"/>
  <c r="C468" i="28"/>
  <c r="F468" i="28"/>
  <c r="J468" i="28"/>
  <c r="K468" i="28"/>
  <c r="M468" i="28"/>
  <c r="N468" i="28"/>
  <c r="P468" i="28"/>
  <c r="B469" i="28"/>
  <c r="C469" i="28"/>
  <c r="F469" i="28"/>
  <c r="J469" i="28"/>
  <c r="K469" i="28"/>
  <c r="M469" i="28"/>
  <c r="N469" i="28"/>
  <c r="P469" i="28"/>
  <c r="B470" i="28"/>
  <c r="C470" i="28"/>
  <c r="F470" i="28"/>
  <c r="J470" i="28"/>
  <c r="K470" i="28"/>
  <c r="M470" i="28"/>
  <c r="N470" i="28"/>
  <c r="P470" i="28"/>
  <c r="B471" i="28"/>
  <c r="C471" i="28"/>
  <c r="F471" i="28"/>
  <c r="J471" i="28"/>
  <c r="K471" i="28"/>
  <c r="M471" i="28"/>
  <c r="N471" i="28"/>
  <c r="P471" i="28"/>
  <c r="B472" i="28"/>
  <c r="C472" i="28"/>
  <c r="F472" i="28"/>
  <c r="J472" i="28"/>
  <c r="K472" i="28"/>
  <c r="M472" i="28"/>
  <c r="N472" i="28"/>
  <c r="P472" i="28"/>
  <c r="B473" i="28"/>
  <c r="C473" i="28"/>
  <c r="F473" i="28"/>
  <c r="J473" i="28"/>
  <c r="K473" i="28"/>
  <c r="M473" i="28"/>
  <c r="N473" i="28"/>
  <c r="P473" i="28"/>
  <c r="B474" i="28"/>
  <c r="C474" i="28"/>
  <c r="F474" i="28"/>
  <c r="J474" i="28"/>
  <c r="K474" i="28"/>
  <c r="M474" i="28"/>
  <c r="N474" i="28"/>
  <c r="P474" i="28"/>
  <c r="B475" i="28"/>
  <c r="C475" i="28"/>
  <c r="F475" i="28"/>
  <c r="J475" i="28"/>
  <c r="K475" i="28"/>
  <c r="M475" i="28"/>
  <c r="N475" i="28"/>
  <c r="P475" i="28"/>
  <c r="B476" i="28"/>
  <c r="C476" i="28"/>
  <c r="F476" i="28"/>
  <c r="J476" i="28"/>
  <c r="K476" i="28"/>
  <c r="M476" i="28"/>
  <c r="N476" i="28"/>
  <c r="P476" i="28"/>
  <c r="B477" i="28"/>
  <c r="C477" i="28"/>
  <c r="F477" i="28"/>
  <c r="J477" i="28"/>
  <c r="K477" i="28"/>
  <c r="M477" i="28"/>
  <c r="N477" i="28"/>
  <c r="P477" i="28"/>
  <c r="B478" i="28"/>
  <c r="C478" i="28"/>
  <c r="F478" i="28"/>
  <c r="J478" i="28"/>
  <c r="K478" i="28"/>
  <c r="M478" i="28"/>
  <c r="N478" i="28"/>
  <c r="P478" i="28"/>
  <c r="B479" i="28"/>
  <c r="C479" i="28"/>
  <c r="F479" i="28"/>
  <c r="J479" i="28"/>
  <c r="K479" i="28"/>
  <c r="M479" i="28"/>
  <c r="N479" i="28"/>
  <c r="P479" i="28"/>
  <c r="B480" i="28"/>
  <c r="C480" i="28"/>
  <c r="F480" i="28"/>
  <c r="J480" i="28"/>
  <c r="K480" i="28"/>
  <c r="M480" i="28"/>
  <c r="N480" i="28"/>
  <c r="P480" i="28"/>
  <c r="B481" i="28"/>
  <c r="C481" i="28"/>
  <c r="F481" i="28"/>
  <c r="J481" i="28"/>
  <c r="K481" i="28"/>
  <c r="M481" i="28"/>
  <c r="N481" i="28"/>
  <c r="P481" i="28"/>
  <c r="B482" i="28"/>
  <c r="C482" i="28"/>
  <c r="F482" i="28"/>
  <c r="J482" i="28"/>
  <c r="K482" i="28"/>
  <c r="M482" i="28"/>
  <c r="N482" i="28"/>
  <c r="P482" i="28"/>
  <c r="B483" i="28"/>
  <c r="C483" i="28"/>
  <c r="F483" i="28"/>
  <c r="J483" i="28"/>
  <c r="K483" i="28"/>
  <c r="M483" i="28"/>
  <c r="N483" i="28"/>
  <c r="P483" i="28"/>
  <c r="B484" i="28"/>
  <c r="C484" i="28"/>
  <c r="F484" i="28"/>
  <c r="J484" i="28"/>
  <c r="K484" i="28"/>
  <c r="M484" i="28"/>
  <c r="N484" i="28"/>
  <c r="P484" i="28"/>
  <c r="B485" i="28"/>
  <c r="C485" i="28"/>
  <c r="F485" i="28"/>
  <c r="J485" i="28"/>
  <c r="K485" i="28"/>
  <c r="M485" i="28"/>
  <c r="N485" i="28"/>
  <c r="P485" i="28"/>
  <c r="B486" i="28"/>
  <c r="C486" i="28"/>
  <c r="F486" i="28"/>
  <c r="J486" i="28"/>
  <c r="K486" i="28"/>
  <c r="M486" i="28"/>
  <c r="N486" i="28"/>
  <c r="P486" i="28"/>
  <c r="B487" i="28"/>
  <c r="C487" i="28"/>
  <c r="F487" i="28"/>
  <c r="J487" i="28"/>
  <c r="K487" i="28"/>
  <c r="M487" i="28"/>
  <c r="N487" i="28"/>
  <c r="P487" i="28"/>
  <c r="B488" i="28"/>
  <c r="C488" i="28"/>
  <c r="F488" i="28"/>
  <c r="J488" i="28"/>
  <c r="K488" i="28"/>
  <c r="M488" i="28"/>
  <c r="N488" i="28"/>
  <c r="P488" i="28"/>
  <c r="B489" i="28"/>
  <c r="C489" i="28"/>
  <c r="F489" i="28"/>
  <c r="J489" i="28"/>
  <c r="K489" i="28"/>
  <c r="M489" i="28"/>
  <c r="N489" i="28"/>
  <c r="P489" i="28"/>
  <c r="B490" i="28"/>
  <c r="C490" i="28"/>
  <c r="F490" i="28"/>
  <c r="J490" i="28"/>
  <c r="K490" i="28"/>
  <c r="M490" i="28"/>
  <c r="N490" i="28"/>
  <c r="P490" i="28"/>
  <c r="B491" i="28"/>
  <c r="C491" i="28"/>
  <c r="F491" i="28"/>
  <c r="J491" i="28"/>
  <c r="K491" i="28"/>
  <c r="M491" i="28"/>
  <c r="N491" i="28"/>
  <c r="P491" i="28"/>
  <c r="B492" i="28"/>
  <c r="C492" i="28"/>
  <c r="F492" i="28"/>
  <c r="J492" i="28"/>
  <c r="K492" i="28"/>
  <c r="M492" i="28"/>
  <c r="N492" i="28"/>
  <c r="P492" i="28"/>
  <c r="B493" i="28"/>
  <c r="C493" i="28"/>
  <c r="F493" i="28"/>
  <c r="J493" i="28"/>
  <c r="K493" i="28"/>
  <c r="M493" i="28"/>
  <c r="N493" i="28"/>
  <c r="P493" i="28"/>
  <c r="B494" i="28"/>
  <c r="C494" i="28"/>
  <c r="F494" i="28"/>
  <c r="J494" i="28"/>
  <c r="K494" i="28"/>
  <c r="M494" i="28"/>
  <c r="N494" i="28"/>
  <c r="P494" i="28"/>
  <c r="B495" i="28"/>
  <c r="C495" i="28"/>
  <c r="F495" i="28"/>
  <c r="J495" i="28"/>
  <c r="K495" i="28"/>
  <c r="M495" i="28"/>
  <c r="N495" i="28"/>
  <c r="P495" i="28"/>
  <c r="B496" i="28"/>
  <c r="C496" i="28"/>
  <c r="F496" i="28"/>
  <c r="J496" i="28"/>
  <c r="K496" i="28"/>
  <c r="M496" i="28"/>
  <c r="N496" i="28"/>
  <c r="P496" i="28"/>
  <c r="B497" i="28"/>
  <c r="C497" i="28"/>
  <c r="F497" i="28"/>
  <c r="J497" i="28"/>
  <c r="K497" i="28"/>
  <c r="M497" i="28"/>
  <c r="N497" i="28"/>
  <c r="P497" i="28"/>
  <c r="B498" i="28"/>
  <c r="C498" i="28"/>
  <c r="F498" i="28"/>
  <c r="J498" i="28"/>
  <c r="K498" i="28"/>
  <c r="M498" i="28"/>
  <c r="N498" i="28"/>
  <c r="P498" i="28"/>
  <c r="B499" i="28"/>
  <c r="C499" i="28"/>
  <c r="F499" i="28"/>
  <c r="J499" i="28"/>
  <c r="K499" i="28"/>
  <c r="M499" i="28"/>
  <c r="N499" i="28"/>
  <c r="P499" i="28"/>
  <c r="B500" i="28"/>
  <c r="C500" i="28"/>
  <c r="F500" i="28"/>
  <c r="J500" i="28"/>
  <c r="K500" i="28"/>
  <c r="M500" i="28"/>
  <c r="N500" i="28"/>
  <c r="P500" i="28"/>
  <c r="B501" i="28"/>
  <c r="C501" i="28"/>
  <c r="F501" i="28"/>
  <c r="J501" i="28"/>
  <c r="K501" i="28"/>
  <c r="M501" i="28"/>
  <c r="N501" i="28"/>
  <c r="P501" i="28"/>
  <c r="B502" i="28"/>
  <c r="C502" i="28"/>
  <c r="F502" i="28"/>
  <c r="J502" i="28"/>
  <c r="K502" i="28"/>
  <c r="M502" i="28"/>
  <c r="N502" i="28"/>
  <c r="P502" i="28"/>
  <c r="P303" i="28"/>
  <c r="N303" i="28"/>
  <c r="M303" i="28"/>
  <c r="K303" i="28"/>
  <c r="J303" i="28"/>
  <c r="F303" i="28"/>
  <c r="C303" i="28"/>
  <c r="T5" i="46"/>
  <c r="T6" i="46"/>
  <c r="T7" i="46"/>
  <c r="T8" i="46"/>
  <c r="T9" i="46"/>
  <c r="T10" i="46"/>
  <c r="T11" i="46"/>
  <c r="T12" i="46"/>
  <c r="T13" i="46"/>
  <c r="T14" i="46"/>
  <c r="T15" i="46"/>
  <c r="T16" i="46"/>
  <c r="T17" i="46"/>
  <c r="T18" i="46"/>
  <c r="T19" i="46"/>
  <c r="T20" i="46"/>
  <c r="T21" i="46"/>
  <c r="T22" i="46"/>
  <c r="T23" i="46"/>
  <c r="T24" i="46"/>
  <c r="T25" i="46"/>
  <c r="T26" i="46"/>
  <c r="T27" i="46"/>
  <c r="T28" i="46"/>
  <c r="T29" i="46"/>
  <c r="T30" i="46"/>
  <c r="T31" i="46"/>
  <c r="T32" i="46"/>
  <c r="T33" i="46"/>
  <c r="T34" i="46"/>
  <c r="T35" i="46"/>
  <c r="T36" i="46"/>
  <c r="T37" i="46"/>
  <c r="T38" i="46"/>
  <c r="T39" i="46"/>
  <c r="T40" i="46"/>
  <c r="T41" i="46"/>
  <c r="T42" i="46"/>
  <c r="T43" i="46"/>
  <c r="T44" i="46"/>
  <c r="T45" i="46"/>
  <c r="T46" i="46"/>
  <c r="T47" i="46"/>
  <c r="T48" i="46"/>
  <c r="T49" i="46"/>
  <c r="T50" i="46"/>
  <c r="T51" i="46"/>
  <c r="T52" i="46"/>
  <c r="T53" i="46"/>
  <c r="T54" i="46"/>
  <c r="T55" i="46"/>
  <c r="T56" i="46"/>
  <c r="T57" i="46"/>
  <c r="T58" i="46"/>
  <c r="T59" i="46"/>
  <c r="T60" i="46"/>
  <c r="T61" i="46"/>
  <c r="T62" i="46"/>
  <c r="T63" i="46"/>
  <c r="T64" i="46"/>
  <c r="T65" i="46"/>
  <c r="T66" i="46"/>
  <c r="T67" i="46"/>
  <c r="T68" i="46"/>
  <c r="T69" i="46"/>
  <c r="T70" i="46"/>
  <c r="T71" i="46"/>
  <c r="T72" i="46"/>
  <c r="T73" i="46"/>
  <c r="T74" i="46"/>
  <c r="T75" i="46"/>
  <c r="T76" i="46"/>
  <c r="T77" i="46"/>
  <c r="T78" i="46"/>
  <c r="T79" i="46"/>
  <c r="T80" i="46"/>
  <c r="T81" i="46"/>
  <c r="T82" i="46"/>
  <c r="T83" i="46"/>
  <c r="T84" i="46"/>
  <c r="T85" i="46"/>
  <c r="T86" i="46"/>
  <c r="T87" i="46"/>
  <c r="T88" i="46"/>
  <c r="T89" i="46"/>
  <c r="T90" i="46"/>
  <c r="T91" i="46"/>
  <c r="T92" i="46"/>
  <c r="T93" i="46"/>
  <c r="T94" i="46"/>
  <c r="T95" i="46"/>
  <c r="T96" i="46"/>
  <c r="T97" i="46"/>
  <c r="T98" i="46"/>
  <c r="T99" i="46"/>
  <c r="T100" i="46"/>
  <c r="T101" i="46"/>
  <c r="T102" i="46"/>
  <c r="T103" i="46"/>
  <c r="T104" i="46"/>
  <c r="T105" i="46"/>
  <c r="T106" i="46"/>
  <c r="T107" i="46"/>
  <c r="T108" i="46"/>
  <c r="T109" i="46"/>
  <c r="T110" i="46"/>
  <c r="T111" i="46"/>
  <c r="T112" i="46"/>
  <c r="T113" i="46"/>
  <c r="T114" i="46"/>
  <c r="T115" i="46"/>
  <c r="T116" i="46"/>
  <c r="T117" i="46"/>
  <c r="T118" i="46"/>
  <c r="T119" i="46"/>
  <c r="T120" i="46"/>
  <c r="T121" i="46"/>
  <c r="T122" i="46"/>
  <c r="T123" i="46"/>
  <c r="T124" i="46"/>
  <c r="T125" i="46"/>
  <c r="T126" i="46"/>
  <c r="T127" i="46"/>
  <c r="T128" i="46"/>
  <c r="T129" i="46"/>
  <c r="T130" i="46"/>
  <c r="T131" i="46"/>
  <c r="T132" i="46"/>
  <c r="T133" i="46"/>
  <c r="T134" i="46"/>
  <c r="T135" i="46"/>
  <c r="T136" i="46"/>
  <c r="T137" i="46"/>
  <c r="T138" i="46"/>
  <c r="T139" i="46"/>
  <c r="T140" i="46"/>
  <c r="T141" i="46"/>
  <c r="T142" i="46"/>
  <c r="T143" i="46"/>
  <c r="T144" i="46"/>
  <c r="T145" i="46"/>
  <c r="T146" i="46"/>
  <c r="T147" i="46"/>
  <c r="T148" i="46"/>
  <c r="T149" i="46"/>
  <c r="T150" i="46"/>
  <c r="T151" i="46"/>
  <c r="T152" i="46"/>
  <c r="T153" i="46"/>
  <c r="T154" i="46"/>
  <c r="T155" i="46"/>
  <c r="T156" i="46"/>
  <c r="T157" i="46"/>
  <c r="T158" i="46"/>
  <c r="T159" i="46"/>
  <c r="T160" i="46"/>
  <c r="T161" i="46"/>
  <c r="T162" i="46"/>
  <c r="T163" i="46"/>
  <c r="T164" i="46"/>
  <c r="T165" i="46"/>
  <c r="T166" i="46"/>
  <c r="T167" i="46"/>
  <c r="T168" i="46"/>
  <c r="T169" i="46"/>
  <c r="T170" i="46"/>
  <c r="T171" i="46"/>
  <c r="T172" i="46"/>
  <c r="T173" i="46"/>
  <c r="T174" i="46"/>
  <c r="T175" i="46"/>
  <c r="T176" i="46"/>
  <c r="T177" i="46"/>
  <c r="T178" i="46"/>
  <c r="T179" i="46"/>
  <c r="T180" i="46"/>
  <c r="T181" i="46"/>
  <c r="T182" i="46"/>
  <c r="T183" i="46"/>
  <c r="T184" i="46"/>
  <c r="T185" i="46"/>
  <c r="T186" i="46"/>
  <c r="T187" i="46"/>
  <c r="T188" i="46"/>
  <c r="T189" i="46"/>
  <c r="T190" i="46"/>
  <c r="T191" i="46"/>
  <c r="T192" i="46"/>
  <c r="T193" i="46"/>
  <c r="T194" i="46"/>
  <c r="T195" i="46"/>
  <c r="T196" i="46"/>
  <c r="T197" i="46"/>
  <c r="T198" i="46"/>
  <c r="T199" i="46"/>
  <c r="T200" i="46"/>
  <c r="T201" i="46"/>
  <c r="T202" i="46"/>
  <c r="T203" i="46"/>
  <c r="T204" i="46"/>
  <c r="S5" i="46"/>
  <c r="S6" i="46"/>
  <c r="S7" i="46"/>
  <c r="S8" i="46"/>
  <c r="S9" i="46"/>
  <c r="S10" i="46"/>
  <c r="S11" i="46"/>
  <c r="S12" i="46"/>
  <c r="S13" i="46"/>
  <c r="S14" i="46"/>
  <c r="S15" i="46"/>
  <c r="S16" i="46"/>
  <c r="S17" i="46"/>
  <c r="S18" i="46"/>
  <c r="S19" i="46"/>
  <c r="S20" i="46"/>
  <c r="S21" i="46"/>
  <c r="S22" i="46"/>
  <c r="S23" i="46"/>
  <c r="S24" i="46"/>
  <c r="S25" i="46"/>
  <c r="S26" i="46"/>
  <c r="S27" i="46"/>
  <c r="S28" i="46"/>
  <c r="S29" i="46"/>
  <c r="S30" i="46"/>
  <c r="S31" i="46"/>
  <c r="S32" i="46"/>
  <c r="S33" i="46"/>
  <c r="S34" i="46"/>
  <c r="S35" i="46"/>
  <c r="S36" i="46"/>
  <c r="S37" i="46"/>
  <c r="S38" i="46"/>
  <c r="S39" i="46"/>
  <c r="S40" i="46"/>
  <c r="S41" i="46"/>
  <c r="S42" i="46"/>
  <c r="S43" i="46"/>
  <c r="S44" i="46"/>
  <c r="S45" i="46"/>
  <c r="S46" i="46"/>
  <c r="S47" i="46"/>
  <c r="S48" i="46"/>
  <c r="S49" i="46"/>
  <c r="S50" i="46"/>
  <c r="S51" i="46"/>
  <c r="S52" i="46"/>
  <c r="S53" i="46"/>
  <c r="S54" i="46"/>
  <c r="S55" i="46"/>
  <c r="S56" i="46"/>
  <c r="S57" i="46"/>
  <c r="S58" i="46"/>
  <c r="S59" i="46"/>
  <c r="S60" i="46"/>
  <c r="S61" i="46"/>
  <c r="S62" i="46"/>
  <c r="S63" i="46"/>
  <c r="S64" i="46"/>
  <c r="S65" i="46"/>
  <c r="S66" i="46"/>
  <c r="S67" i="46"/>
  <c r="S68" i="46"/>
  <c r="S69" i="46"/>
  <c r="S70" i="46"/>
  <c r="S71" i="46"/>
  <c r="S72" i="46"/>
  <c r="S73" i="46"/>
  <c r="S74" i="46"/>
  <c r="S75" i="46"/>
  <c r="S76" i="46"/>
  <c r="S77" i="46"/>
  <c r="S78" i="46"/>
  <c r="S79" i="46"/>
  <c r="S80" i="46"/>
  <c r="S81" i="46"/>
  <c r="S82" i="46"/>
  <c r="S83" i="46"/>
  <c r="S84" i="46"/>
  <c r="S85" i="46"/>
  <c r="S86" i="46"/>
  <c r="S87" i="46"/>
  <c r="S88" i="46"/>
  <c r="S89" i="46"/>
  <c r="S90" i="46"/>
  <c r="S91" i="46"/>
  <c r="S92" i="46"/>
  <c r="S93" i="46"/>
  <c r="S94" i="46"/>
  <c r="S95" i="46"/>
  <c r="S96" i="46"/>
  <c r="S97" i="46"/>
  <c r="S98" i="46"/>
  <c r="S99" i="46"/>
  <c r="S100" i="46"/>
  <c r="S101" i="46"/>
  <c r="S102" i="46"/>
  <c r="S103" i="46"/>
  <c r="S104" i="46"/>
  <c r="S105" i="46"/>
  <c r="S106" i="46"/>
  <c r="S107" i="46"/>
  <c r="S108" i="46"/>
  <c r="S109" i="46"/>
  <c r="S110" i="46"/>
  <c r="S111" i="46"/>
  <c r="S112" i="46"/>
  <c r="S113" i="46"/>
  <c r="S114" i="46"/>
  <c r="S115" i="46"/>
  <c r="S116" i="46"/>
  <c r="S117" i="46"/>
  <c r="S118" i="46"/>
  <c r="S119" i="46"/>
  <c r="S120" i="46"/>
  <c r="S121" i="46"/>
  <c r="S122" i="46"/>
  <c r="S123" i="46"/>
  <c r="S124" i="46"/>
  <c r="S125" i="46"/>
  <c r="S126" i="46"/>
  <c r="S127" i="46"/>
  <c r="S128" i="46"/>
  <c r="S129" i="46"/>
  <c r="S130" i="46"/>
  <c r="S131" i="46"/>
  <c r="S132" i="46"/>
  <c r="S133" i="46"/>
  <c r="S134" i="46"/>
  <c r="S135" i="46"/>
  <c r="S136" i="46"/>
  <c r="S137" i="46"/>
  <c r="S138" i="46"/>
  <c r="S139" i="46"/>
  <c r="S140" i="46"/>
  <c r="S141" i="46"/>
  <c r="S142" i="46"/>
  <c r="S143" i="46"/>
  <c r="S144" i="46"/>
  <c r="S145" i="46"/>
  <c r="S146" i="46"/>
  <c r="S147" i="46"/>
  <c r="S148" i="46"/>
  <c r="S149" i="46"/>
  <c r="S150" i="46"/>
  <c r="S151" i="46"/>
  <c r="S152" i="46"/>
  <c r="S153" i="46"/>
  <c r="S154" i="46"/>
  <c r="S155" i="46"/>
  <c r="S156" i="46"/>
  <c r="S157" i="46"/>
  <c r="S158" i="46"/>
  <c r="S159" i="46"/>
  <c r="S160" i="46"/>
  <c r="S161" i="46"/>
  <c r="S162" i="46"/>
  <c r="S163" i="46"/>
  <c r="S164" i="46"/>
  <c r="S165" i="46"/>
  <c r="S166" i="46"/>
  <c r="S167" i="46"/>
  <c r="S168" i="46"/>
  <c r="S169" i="46"/>
  <c r="S170" i="46"/>
  <c r="S171" i="46"/>
  <c r="S172" i="46"/>
  <c r="S173" i="46"/>
  <c r="S174" i="46"/>
  <c r="S175" i="46"/>
  <c r="S176" i="46"/>
  <c r="S177" i="46"/>
  <c r="S178" i="46"/>
  <c r="S179" i="46"/>
  <c r="S180" i="46"/>
  <c r="S181" i="46"/>
  <c r="S182" i="46"/>
  <c r="S183" i="46"/>
  <c r="S184" i="46"/>
  <c r="S185" i="46"/>
  <c r="S186" i="46"/>
  <c r="S187" i="46"/>
  <c r="S188" i="46"/>
  <c r="S189" i="46"/>
  <c r="S190" i="46"/>
  <c r="S191" i="46"/>
  <c r="S192" i="46"/>
  <c r="S193" i="46"/>
  <c r="S194" i="46"/>
  <c r="S195" i="46"/>
  <c r="S196" i="46"/>
  <c r="S197" i="46"/>
  <c r="S198" i="46"/>
  <c r="S199" i="46"/>
  <c r="S200" i="46"/>
  <c r="S201" i="46"/>
  <c r="S202" i="46"/>
  <c r="S203" i="46"/>
  <c r="S204" i="46"/>
  <c r="B204" i="28"/>
  <c r="C204" i="28"/>
  <c r="E204" i="28"/>
  <c r="F204" i="28"/>
  <c r="K204" i="28"/>
  <c r="B205" i="28"/>
  <c r="C205" i="28"/>
  <c r="E205" i="28"/>
  <c r="F205" i="28"/>
  <c r="K205" i="28"/>
  <c r="B206" i="28"/>
  <c r="C206" i="28"/>
  <c r="E206" i="28"/>
  <c r="F206" i="28"/>
  <c r="K206" i="28"/>
  <c r="B207" i="28"/>
  <c r="C207" i="28"/>
  <c r="E207" i="28"/>
  <c r="F207" i="28"/>
  <c r="K207" i="28"/>
  <c r="B208" i="28"/>
  <c r="C208" i="28"/>
  <c r="E208" i="28"/>
  <c r="F208" i="28"/>
  <c r="K208" i="28"/>
  <c r="B209" i="28"/>
  <c r="C209" i="28"/>
  <c r="E209" i="28"/>
  <c r="F209" i="28"/>
  <c r="K209" i="28"/>
  <c r="B210" i="28"/>
  <c r="C210" i="28"/>
  <c r="E210" i="28"/>
  <c r="F210" i="28"/>
  <c r="K210" i="28"/>
  <c r="B211" i="28"/>
  <c r="C211" i="28"/>
  <c r="E211" i="28"/>
  <c r="F211" i="28"/>
  <c r="K211" i="28"/>
  <c r="B212" i="28"/>
  <c r="C212" i="28"/>
  <c r="E212" i="28"/>
  <c r="F212" i="28"/>
  <c r="K212" i="28"/>
  <c r="B213" i="28"/>
  <c r="C213" i="28"/>
  <c r="E213" i="28"/>
  <c r="F213" i="28"/>
  <c r="K213" i="28"/>
  <c r="B214" i="28"/>
  <c r="C214" i="28"/>
  <c r="E214" i="28"/>
  <c r="F214" i="28"/>
  <c r="K214" i="28"/>
  <c r="B215" i="28"/>
  <c r="C215" i="28"/>
  <c r="E215" i="28"/>
  <c r="F215" i="28"/>
  <c r="K215" i="28"/>
  <c r="B216" i="28"/>
  <c r="C216" i="28"/>
  <c r="E216" i="28"/>
  <c r="F216" i="28"/>
  <c r="K216" i="28"/>
  <c r="B217" i="28"/>
  <c r="C217" i="28"/>
  <c r="E217" i="28"/>
  <c r="F217" i="28"/>
  <c r="K217" i="28"/>
  <c r="B218" i="28"/>
  <c r="C218" i="28"/>
  <c r="E218" i="28"/>
  <c r="F218" i="28"/>
  <c r="K218" i="28"/>
  <c r="B219" i="28"/>
  <c r="C219" i="28"/>
  <c r="E219" i="28"/>
  <c r="F219" i="28"/>
  <c r="K219" i="28"/>
  <c r="B220" i="28"/>
  <c r="C220" i="28"/>
  <c r="E220" i="28"/>
  <c r="F220" i="28"/>
  <c r="K220" i="28"/>
  <c r="B221" i="28"/>
  <c r="C221" i="28"/>
  <c r="E221" i="28"/>
  <c r="F221" i="28"/>
  <c r="K221" i="28"/>
  <c r="B222" i="28"/>
  <c r="C222" i="28"/>
  <c r="E222" i="28"/>
  <c r="F222" i="28"/>
  <c r="K222" i="28"/>
  <c r="B223" i="28"/>
  <c r="C223" i="28"/>
  <c r="E223" i="28"/>
  <c r="F223" i="28"/>
  <c r="K223" i="28"/>
  <c r="B224" i="28"/>
  <c r="C224" i="28"/>
  <c r="E224" i="28"/>
  <c r="F224" i="28"/>
  <c r="K224" i="28"/>
  <c r="B225" i="28"/>
  <c r="C225" i="28"/>
  <c r="E225" i="28"/>
  <c r="F225" i="28"/>
  <c r="K225" i="28"/>
  <c r="B226" i="28"/>
  <c r="C226" i="28"/>
  <c r="E226" i="28"/>
  <c r="F226" i="28"/>
  <c r="K226" i="28"/>
  <c r="B227" i="28"/>
  <c r="C227" i="28"/>
  <c r="E227" i="28"/>
  <c r="F227" i="28"/>
  <c r="K227" i="28"/>
  <c r="B228" i="28"/>
  <c r="C228" i="28"/>
  <c r="E228" i="28"/>
  <c r="F228" i="28"/>
  <c r="K228" i="28"/>
  <c r="B229" i="28"/>
  <c r="C229" i="28"/>
  <c r="E229" i="28"/>
  <c r="F229" i="28"/>
  <c r="K229" i="28"/>
  <c r="B230" i="28"/>
  <c r="C230" i="28"/>
  <c r="E230" i="28"/>
  <c r="F230" i="28"/>
  <c r="K230" i="28"/>
  <c r="B231" i="28"/>
  <c r="C231" i="28"/>
  <c r="E231" i="28"/>
  <c r="F231" i="28"/>
  <c r="K231" i="28"/>
  <c r="B232" i="28"/>
  <c r="C232" i="28"/>
  <c r="E232" i="28"/>
  <c r="F232" i="28"/>
  <c r="K232" i="28"/>
  <c r="B233" i="28"/>
  <c r="C233" i="28"/>
  <c r="E233" i="28"/>
  <c r="F233" i="28"/>
  <c r="K233" i="28"/>
  <c r="B234" i="28"/>
  <c r="C234" i="28"/>
  <c r="E234" i="28"/>
  <c r="F234" i="28"/>
  <c r="K234" i="28"/>
  <c r="B235" i="28"/>
  <c r="C235" i="28"/>
  <c r="E235" i="28"/>
  <c r="F235" i="28"/>
  <c r="K235" i="28"/>
  <c r="B236" i="28"/>
  <c r="C236" i="28"/>
  <c r="E236" i="28"/>
  <c r="F236" i="28"/>
  <c r="K236" i="28"/>
  <c r="B237" i="28"/>
  <c r="C237" i="28"/>
  <c r="E237" i="28"/>
  <c r="F237" i="28"/>
  <c r="K237" i="28"/>
  <c r="B238" i="28"/>
  <c r="C238" i="28"/>
  <c r="E238" i="28"/>
  <c r="F238" i="28"/>
  <c r="K238" i="28"/>
  <c r="B239" i="28"/>
  <c r="C239" i="28"/>
  <c r="E239" i="28"/>
  <c r="F239" i="28"/>
  <c r="K239" i="28"/>
  <c r="B240" i="28"/>
  <c r="C240" i="28"/>
  <c r="E240" i="28"/>
  <c r="F240" i="28"/>
  <c r="K240" i="28"/>
  <c r="B241" i="28"/>
  <c r="C241" i="28"/>
  <c r="E241" i="28"/>
  <c r="F241" i="28"/>
  <c r="K241" i="28"/>
  <c r="B242" i="28"/>
  <c r="C242" i="28"/>
  <c r="E242" i="28"/>
  <c r="F242" i="28"/>
  <c r="K242" i="28"/>
  <c r="B243" i="28"/>
  <c r="C243" i="28"/>
  <c r="E243" i="28"/>
  <c r="F243" i="28"/>
  <c r="K243" i="28"/>
  <c r="B244" i="28"/>
  <c r="C244" i="28"/>
  <c r="E244" i="28"/>
  <c r="F244" i="28"/>
  <c r="K244" i="28"/>
  <c r="B245" i="28"/>
  <c r="C245" i="28"/>
  <c r="E245" i="28"/>
  <c r="F245" i="28"/>
  <c r="K245" i="28"/>
  <c r="B246" i="28"/>
  <c r="C246" i="28"/>
  <c r="E246" i="28"/>
  <c r="F246" i="28"/>
  <c r="K246" i="28"/>
  <c r="B247" i="28"/>
  <c r="C247" i="28"/>
  <c r="E247" i="28"/>
  <c r="F247" i="28"/>
  <c r="K247" i="28"/>
  <c r="B248" i="28"/>
  <c r="C248" i="28"/>
  <c r="E248" i="28"/>
  <c r="F248" i="28"/>
  <c r="K248" i="28"/>
  <c r="B249" i="28"/>
  <c r="C249" i="28"/>
  <c r="E249" i="28"/>
  <c r="F249" i="28"/>
  <c r="K249" i="28"/>
  <c r="B250" i="28"/>
  <c r="C250" i="28"/>
  <c r="E250" i="28"/>
  <c r="F250" i="28"/>
  <c r="K250" i="28"/>
  <c r="B251" i="28"/>
  <c r="C251" i="28"/>
  <c r="E251" i="28"/>
  <c r="F251" i="28"/>
  <c r="K251" i="28"/>
  <c r="B252" i="28"/>
  <c r="C252" i="28"/>
  <c r="E252" i="28"/>
  <c r="F252" i="28"/>
  <c r="K252" i="28"/>
  <c r="B253" i="28"/>
  <c r="C253" i="28"/>
  <c r="E253" i="28"/>
  <c r="F253" i="28"/>
  <c r="K253" i="28"/>
  <c r="B254" i="28"/>
  <c r="C254" i="28"/>
  <c r="E254" i="28"/>
  <c r="F254" i="28"/>
  <c r="K254" i="28"/>
  <c r="B255" i="28"/>
  <c r="C255" i="28"/>
  <c r="E255" i="28"/>
  <c r="F255" i="28"/>
  <c r="K255" i="28"/>
  <c r="B256" i="28"/>
  <c r="C256" i="28"/>
  <c r="E256" i="28"/>
  <c r="F256" i="28"/>
  <c r="K256" i="28"/>
  <c r="B257" i="28"/>
  <c r="C257" i="28"/>
  <c r="E257" i="28"/>
  <c r="F257" i="28"/>
  <c r="K257" i="28"/>
  <c r="B258" i="28"/>
  <c r="C258" i="28"/>
  <c r="E258" i="28"/>
  <c r="F258" i="28"/>
  <c r="K258" i="28"/>
  <c r="B259" i="28"/>
  <c r="C259" i="28"/>
  <c r="E259" i="28"/>
  <c r="F259" i="28"/>
  <c r="K259" i="28"/>
  <c r="B260" i="28"/>
  <c r="C260" i="28"/>
  <c r="E260" i="28"/>
  <c r="F260" i="28"/>
  <c r="K260" i="28"/>
  <c r="B261" i="28"/>
  <c r="C261" i="28"/>
  <c r="E261" i="28"/>
  <c r="F261" i="28"/>
  <c r="K261" i="28"/>
  <c r="B262" i="28"/>
  <c r="C262" i="28"/>
  <c r="E262" i="28"/>
  <c r="F262" i="28"/>
  <c r="K262" i="28"/>
  <c r="B263" i="28"/>
  <c r="C263" i="28"/>
  <c r="E263" i="28"/>
  <c r="F263" i="28"/>
  <c r="K263" i="28"/>
  <c r="B264" i="28"/>
  <c r="C264" i="28"/>
  <c r="E264" i="28"/>
  <c r="F264" i="28"/>
  <c r="K264" i="28"/>
  <c r="B265" i="28"/>
  <c r="C265" i="28"/>
  <c r="E265" i="28"/>
  <c r="F265" i="28"/>
  <c r="K265" i="28"/>
  <c r="B266" i="28"/>
  <c r="C266" i="28"/>
  <c r="E266" i="28"/>
  <c r="F266" i="28"/>
  <c r="K266" i="28"/>
  <c r="B267" i="28"/>
  <c r="C267" i="28"/>
  <c r="E267" i="28"/>
  <c r="F267" i="28"/>
  <c r="K267" i="28"/>
  <c r="B268" i="28"/>
  <c r="C268" i="28"/>
  <c r="E268" i="28"/>
  <c r="F268" i="28"/>
  <c r="K268" i="28"/>
  <c r="B269" i="28"/>
  <c r="C269" i="28"/>
  <c r="E269" i="28"/>
  <c r="F269" i="28"/>
  <c r="K269" i="28"/>
  <c r="B270" i="28"/>
  <c r="C270" i="28"/>
  <c r="E270" i="28"/>
  <c r="F270" i="28"/>
  <c r="K270" i="28"/>
  <c r="B271" i="28"/>
  <c r="C271" i="28"/>
  <c r="E271" i="28"/>
  <c r="F271" i="28"/>
  <c r="K271" i="28"/>
  <c r="B272" i="28"/>
  <c r="C272" i="28"/>
  <c r="E272" i="28"/>
  <c r="F272" i="28"/>
  <c r="K272" i="28"/>
  <c r="B273" i="28"/>
  <c r="C273" i="28"/>
  <c r="E273" i="28"/>
  <c r="F273" i="28"/>
  <c r="K273" i="28"/>
  <c r="B274" i="28"/>
  <c r="C274" i="28"/>
  <c r="E274" i="28"/>
  <c r="F274" i="28"/>
  <c r="K274" i="28"/>
  <c r="B275" i="28"/>
  <c r="C275" i="28"/>
  <c r="E275" i="28"/>
  <c r="F275" i="28"/>
  <c r="K275" i="28"/>
  <c r="B276" i="28"/>
  <c r="C276" i="28"/>
  <c r="E276" i="28"/>
  <c r="F276" i="28"/>
  <c r="K276" i="28"/>
  <c r="B277" i="28"/>
  <c r="C277" i="28"/>
  <c r="E277" i="28"/>
  <c r="F277" i="28"/>
  <c r="K277" i="28"/>
  <c r="B278" i="28"/>
  <c r="C278" i="28"/>
  <c r="E278" i="28"/>
  <c r="F278" i="28"/>
  <c r="K278" i="28"/>
  <c r="B279" i="28"/>
  <c r="C279" i="28"/>
  <c r="E279" i="28"/>
  <c r="F279" i="28"/>
  <c r="K279" i="28"/>
  <c r="B280" i="28"/>
  <c r="C280" i="28"/>
  <c r="E280" i="28"/>
  <c r="F280" i="28"/>
  <c r="K280" i="28"/>
  <c r="B281" i="28"/>
  <c r="C281" i="28"/>
  <c r="E281" i="28"/>
  <c r="F281" i="28"/>
  <c r="K281" i="28"/>
  <c r="B282" i="28"/>
  <c r="C282" i="28"/>
  <c r="E282" i="28"/>
  <c r="F282" i="28"/>
  <c r="K282" i="28"/>
  <c r="B283" i="28"/>
  <c r="C283" i="28"/>
  <c r="E283" i="28"/>
  <c r="F283" i="28"/>
  <c r="K283" i="28"/>
  <c r="B284" i="28"/>
  <c r="C284" i="28"/>
  <c r="E284" i="28"/>
  <c r="F284" i="28"/>
  <c r="K284" i="28"/>
  <c r="B285" i="28"/>
  <c r="C285" i="28"/>
  <c r="E285" i="28"/>
  <c r="F285" i="28"/>
  <c r="K285" i="28"/>
  <c r="B286" i="28"/>
  <c r="C286" i="28"/>
  <c r="E286" i="28"/>
  <c r="F286" i="28"/>
  <c r="K286" i="28"/>
  <c r="B287" i="28"/>
  <c r="C287" i="28"/>
  <c r="E287" i="28"/>
  <c r="F287" i="28"/>
  <c r="K287" i="28"/>
  <c r="B288" i="28"/>
  <c r="C288" i="28"/>
  <c r="E288" i="28"/>
  <c r="F288" i="28"/>
  <c r="K288" i="28"/>
  <c r="B289" i="28"/>
  <c r="C289" i="28"/>
  <c r="E289" i="28"/>
  <c r="F289" i="28"/>
  <c r="K289" i="28"/>
  <c r="B290" i="28"/>
  <c r="C290" i="28"/>
  <c r="E290" i="28"/>
  <c r="F290" i="28"/>
  <c r="K290" i="28"/>
  <c r="B291" i="28"/>
  <c r="C291" i="28"/>
  <c r="E291" i="28"/>
  <c r="F291" i="28"/>
  <c r="K291" i="28"/>
  <c r="B292" i="28"/>
  <c r="C292" i="28"/>
  <c r="E292" i="28"/>
  <c r="F292" i="28"/>
  <c r="K292" i="28"/>
  <c r="B293" i="28"/>
  <c r="C293" i="28"/>
  <c r="E293" i="28"/>
  <c r="F293" i="28"/>
  <c r="K293" i="28"/>
  <c r="B294" i="28"/>
  <c r="C294" i="28"/>
  <c r="E294" i="28"/>
  <c r="F294" i="28"/>
  <c r="K294" i="28"/>
  <c r="B295" i="28"/>
  <c r="C295" i="28"/>
  <c r="E295" i="28"/>
  <c r="F295" i="28"/>
  <c r="K295" i="28"/>
  <c r="B296" i="28"/>
  <c r="C296" i="28"/>
  <c r="E296" i="28"/>
  <c r="F296" i="28"/>
  <c r="K296" i="28"/>
  <c r="B297" i="28"/>
  <c r="C297" i="28"/>
  <c r="E297" i="28"/>
  <c r="F297" i="28"/>
  <c r="K297" i="28"/>
  <c r="B298" i="28"/>
  <c r="C298" i="28"/>
  <c r="E298" i="28"/>
  <c r="F298" i="28"/>
  <c r="K298" i="28"/>
  <c r="B299" i="28"/>
  <c r="C299" i="28"/>
  <c r="E299" i="28"/>
  <c r="F299" i="28"/>
  <c r="K299" i="28"/>
  <c r="B300" i="28"/>
  <c r="C300" i="28"/>
  <c r="E300" i="28"/>
  <c r="F300" i="28"/>
  <c r="K300" i="28"/>
  <c r="B301" i="28"/>
  <c r="C301" i="28"/>
  <c r="E301" i="28"/>
  <c r="F301" i="28"/>
  <c r="K301" i="28"/>
  <c r="B302" i="28"/>
  <c r="C302" i="28"/>
  <c r="E302" i="28"/>
  <c r="F302" i="28"/>
  <c r="K302" i="28"/>
  <c r="B4" i="28"/>
  <c r="C4" i="28"/>
  <c r="B5" i="28"/>
  <c r="C5" i="28"/>
  <c r="B6" i="28"/>
  <c r="C6" i="28"/>
  <c r="B7" i="28"/>
  <c r="C7" i="28"/>
  <c r="B8" i="28"/>
  <c r="C8" i="28"/>
  <c r="B9" i="28"/>
  <c r="C9" i="28"/>
  <c r="B10" i="28"/>
  <c r="C10" i="28"/>
  <c r="B11" i="28"/>
  <c r="C11" i="28"/>
  <c r="B12" i="28"/>
  <c r="C12" i="28"/>
  <c r="B13" i="28"/>
  <c r="C13" i="28"/>
  <c r="B14" i="28"/>
  <c r="C14" i="28"/>
  <c r="B15" i="28"/>
  <c r="C15" i="28"/>
  <c r="B16" i="28"/>
  <c r="C16" i="28"/>
  <c r="B17" i="28"/>
  <c r="C17" i="28"/>
  <c r="B18" i="28"/>
  <c r="C18" i="28"/>
  <c r="B19" i="28"/>
  <c r="C19" i="28"/>
  <c r="B20" i="28"/>
  <c r="C20" i="28"/>
  <c r="B21" i="28"/>
  <c r="C21" i="28"/>
  <c r="B22" i="28"/>
  <c r="C22" i="28"/>
  <c r="B23" i="28"/>
  <c r="C23" i="28"/>
  <c r="B24" i="28"/>
  <c r="C24" i="28"/>
  <c r="B25" i="28"/>
  <c r="C25" i="28"/>
  <c r="B26" i="28"/>
  <c r="C26" i="28"/>
  <c r="B27" i="28"/>
  <c r="C27" i="28"/>
  <c r="B28" i="28"/>
  <c r="C28" i="28"/>
  <c r="B29" i="28"/>
  <c r="C29" i="28"/>
  <c r="B30" i="28"/>
  <c r="C30" i="28"/>
  <c r="B31" i="28"/>
  <c r="C31" i="28"/>
  <c r="B32" i="28"/>
  <c r="C32" i="28"/>
  <c r="B33" i="28"/>
  <c r="C33" i="28"/>
  <c r="B34" i="28"/>
  <c r="C34" i="28"/>
  <c r="B35" i="28"/>
  <c r="C35" i="28"/>
  <c r="B36" i="28"/>
  <c r="C36" i="28"/>
  <c r="B37" i="28"/>
  <c r="C37" i="28"/>
  <c r="B38" i="28"/>
  <c r="C38" i="28"/>
  <c r="B39" i="28"/>
  <c r="C39" i="28"/>
  <c r="B40" i="28"/>
  <c r="C40" i="28"/>
  <c r="B41" i="28"/>
  <c r="C41" i="28"/>
  <c r="B42" i="28"/>
  <c r="C42" i="28"/>
  <c r="B43" i="28"/>
  <c r="C43" i="28"/>
  <c r="B44" i="28"/>
  <c r="C44" i="28"/>
  <c r="B45" i="28"/>
  <c r="C45" i="28"/>
  <c r="B46" i="28"/>
  <c r="C46" i="28"/>
  <c r="B47" i="28"/>
  <c r="C47" i="28"/>
  <c r="B48" i="28"/>
  <c r="C48" i="28"/>
  <c r="B49" i="28"/>
  <c r="C49" i="28"/>
  <c r="B50" i="28"/>
  <c r="C50" i="28"/>
  <c r="B51" i="28"/>
  <c r="C51" i="28"/>
  <c r="B52" i="28"/>
  <c r="C52" i="28"/>
  <c r="B53" i="28"/>
  <c r="C53" i="28"/>
  <c r="B54" i="28"/>
  <c r="C54" i="28"/>
  <c r="B55" i="28"/>
  <c r="C55" i="28"/>
  <c r="B56" i="28"/>
  <c r="C56" i="28"/>
  <c r="B57" i="28"/>
  <c r="C57" i="28"/>
  <c r="B58" i="28"/>
  <c r="C58" i="28"/>
  <c r="B59" i="28"/>
  <c r="C59" i="28"/>
  <c r="B60" i="28"/>
  <c r="C60" i="28"/>
  <c r="B61" i="28"/>
  <c r="C61" i="28"/>
  <c r="B62" i="28"/>
  <c r="C62" i="28"/>
  <c r="B63" i="28"/>
  <c r="C63" i="28"/>
  <c r="B64" i="28"/>
  <c r="C64" i="28"/>
  <c r="B65" i="28"/>
  <c r="C65" i="28"/>
  <c r="B66" i="28"/>
  <c r="C66" i="28"/>
  <c r="B67" i="28"/>
  <c r="C67" i="28"/>
  <c r="B68" i="28"/>
  <c r="C68" i="28"/>
  <c r="B69" i="28"/>
  <c r="C69" i="28"/>
  <c r="B70" i="28"/>
  <c r="C70" i="28"/>
  <c r="B71" i="28"/>
  <c r="C71" i="28"/>
  <c r="B72" i="28"/>
  <c r="C72" i="28"/>
  <c r="B73" i="28"/>
  <c r="C73" i="28"/>
  <c r="B74" i="28"/>
  <c r="C74" i="28"/>
  <c r="B75" i="28"/>
  <c r="C75" i="28"/>
  <c r="B76" i="28"/>
  <c r="C76" i="28"/>
  <c r="B77" i="28"/>
  <c r="C77" i="28"/>
  <c r="B78" i="28"/>
  <c r="C78" i="28"/>
  <c r="B79" i="28"/>
  <c r="C79" i="28"/>
  <c r="B80" i="28"/>
  <c r="C80" i="28"/>
  <c r="B81" i="28"/>
  <c r="C81" i="28"/>
  <c r="B82" i="28"/>
  <c r="C82" i="28"/>
  <c r="B83" i="28"/>
  <c r="C83" i="28"/>
  <c r="B84" i="28"/>
  <c r="C84" i="28"/>
  <c r="B85" i="28"/>
  <c r="C85" i="28"/>
  <c r="B86" i="28"/>
  <c r="C86" i="28"/>
  <c r="B87" i="28"/>
  <c r="C87" i="28"/>
  <c r="B88" i="28"/>
  <c r="C88" i="28"/>
  <c r="B89" i="28"/>
  <c r="C89" i="28"/>
  <c r="B90" i="28"/>
  <c r="C90" i="28"/>
  <c r="B91" i="28"/>
  <c r="C91" i="28"/>
  <c r="B92" i="28"/>
  <c r="C92" i="28"/>
  <c r="B93" i="28"/>
  <c r="C93" i="28"/>
  <c r="B94" i="28"/>
  <c r="C94" i="28"/>
  <c r="B95" i="28"/>
  <c r="C95" i="28"/>
  <c r="B96" i="28"/>
  <c r="C96" i="28"/>
  <c r="B97" i="28"/>
  <c r="C97" i="28"/>
  <c r="B98" i="28"/>
  <c r="C98" i="28"/>
  <c r="B99" i="28"/>
  <c r="C99" i="28"/>
  <c r="B100" i="28"/>
  <c r="C100" i="28"/>
  <c r="B101" i="28"/>
  <c r="C101" i="28"/>
  <c r="B102" i="28"/>
  <c r="C102" i="28"/>
  <c r="B103" i="28"/>
  <c r="C103" i="28"/>
  <c r="B104" i="28"/>
  <c r="C104" i="28"/>
  <c r="B105" i="28"/>
  <c r="C105" i="28"/>
  <c r="B106" i="28"/>
  <c r="C106" i="28"/>
  <c r="B107" i="28"/>
  <c r="C107" i="28"/>
  <c r="B108" i="28"/>
  <c r="C108" i="28"/>
  <c r="B109" i="28"/>
  <c r="C109" i="28"/>
  <c r="B110" i="28"/>
  <c r="C110" i="28"/>
  <c r="B111" i="28"/>
  <c r="C111" i="28"/>
  <c r="B112" i="28"/>
  <c r="C112" i="28"/>
  <c r="B113" i="28"/>
  <c r="C113" i="28"/>
  <c r="B114" i="28"/>
  <c r="C114" i="28"/>
  <c r="B115" i="28"/>
  <c r="C115" i="28"/>
  <c r="B116" i="28"/>
  <c r="C116" i="28"/>
  <c r="B117" i="28"/>
  <c r="C117" i="28"/>
  <c r="B118" i="28"/>
  <c r="C118" i="28"/>
  <c r="B119" i="28"/>
  <c r="C119" i="28"/>
  <c r="B120" i="28"/>
  <c r="C120" i="28"/>
  <c r="B121" i="28"/>
  <c r="C121" i="28"/>
  <c r="B122" i="28"/>
  <c r="C122" i="28"/>
  <c r="B123" i="28"/>
  <c r="C123" i="28"/>
  <c r="B124" i="28"/>
  <c r="C124" i="28"/>
  <c r="B125" i="28"/>
  <c r="C125" i="28"/>
  <c r="B126" i="28"/>
  <c r="C126" i="28"/>
  <c r="B127" i="28"/>
  <c r="C127" i="28"/>
  <c r="B128" i="28"/>
  <c r="C128" i="28"/>
  <c r="B129" i="28"/>
  <c r="C129" i="28"/>
  <c r="B130" i="28"/>
  <c r="C130" i="28"/>
  <c r="B131" i="28"/>
  <c r="C131" i="28"/>
  <c r="B132" i="28"/>
  <c r="C132" i="28"/>
  <c r="B133" i="28"/>
  <c r="C133" i="28"/>
  <c r="B134" i="28"/>
  <c r="C134" i="28"/>
  <c r="B135" i="28"/>
  <c r="C135" i="28"/>
  <c r="B136" i="28"/>
  <c r="C136" i="28"/>
  <c r="B137" i="28"/>
  <c r="C137" i="28"/>
  <c r="B138" i="28"/>
  <c r="C138" i="28"/>
  <c r="B139" i="28"/>
  <c r="C139" i="28"/>
  <c r="B140" i="28"/>
  <c r="C140" i="28"/>
  <c r="B141" i="28"/>
  <c r="C141" i="28"/>
  <c r="B142" i="28"/>
  <c r="C142" i="28"/>
  <c r="B143" i="28"/>
  <c r="C143" i="28"/>
  <c r="B144" i="28"/>
  <c r="C144" i="28"/>
  <c r="B145" i="28"/>
  <c r="C145" i="28"/>
  <c r="B146" i="28"/>
  <c r="C146" i="28"/>
  <c r="B147" i="28"/>
  <c r="C147" i="28"/>
  <c r="B148" i="28"/>
  <c r="C148" i="28"/>
  <c r="B149" i="28"/>
  <c r="C149" i="28"/>
  <c r="B150" i="28"/>
  <c r="C150" i="28"/>
  <c r="B151" i="28"/>
  <c r="C151" i="28"/>
  <c r="B152" i="28"/>
  <c r="C152" i="28"/>
  <c r="B153" i="28"/>
  <c r="C153" i="28"/>
  <c r="B154" i="28"/>
  <c r="C154" i="28"/>
  <c r="B155" i="28"/>
  <c r="C155" i="28"/>
  <c r="B156" i="28"/>
  <c r="C156" i="28"/>
  <c r="B157" i="28"/>
  <c r="C157" i="28"/>
  <c r="B158" i="28"/>
  <c r="C158" i="28"/>
  <c r="B159" i="28"/>
  <c r="C159" i="28"/>
  <c r="B160" i="28"/>
  <c r="C160" i="28"/>
  <c r="B161" i="28"/>
  <c r="C161" i="28"/>
  <c r="B162" i="28"/>
  <c r="C162" i="28"/>
  <c r="B163" i="28"/>
  <c r="C163" i="28"/>
  <c r="B164" i="28"/>
  <c r="C164" i="28"/>
  <c r="B165" i="28"/>
  <c r="C165" i="28"/>
  <c r="B166" i="28"/>
  <c r="C166" i="28"/>
  <c r="B167" i="28"/>
  <c r="C167" i="28"/>
  <c r="B168" i="28"/>
  <c r="C168" i="28"/>
  <c r="B169" i="28"/>
  <c r="C169" i="28"/>
  <c r="B170" i="28"/>
  <c r="C170" i="28"/>
  <c r="B171" i="28"/>
  <c r="C171" i="28"/>
  <c r="B172" i="28"/>
  <c r="C172" i="28"/>
  <c r="B173" i="28"/>
  <c r="C173" i="28"/>
  <c r="B174" i="28"/>
  <c r="C174" i="28"/>
  <c r="B175" i="28"/>
  <c r="C175" i="28"/>
  <c r="B176" i="28"/>
  <c r="C176" i="28"/>
  <c r="B177" i="28"/>
  <c r="C177" i="28"/>
  <c r="B178" i="28"/>
  <c r="C178" i="28"/>
  <c r="B179" i="28"/>
  <c r="C179" i="28"/>
  <c r="B180" i="28"/>
  <c r="C180" i="28"/>
  <c r="B181" i="28"/>
  <c r="C181" i="28"/>
  <c r="B182" i="28"/>
  <c r="C182" i="28"/>
  <c r="B183" i="28"/>
  <c r="C183" i="28"/>
  <c r="B184" i="28"/>
  <c r="C184" i="28"/>
  <c r="B185" i="28"/>
  <c r="C185" i="28"/>
  <c r="B186" i="28"/>
  <c r="C186" i="28"/>
  <c r="B187" i="28"/>
  <c r="C187" i="28"/>
  <c r="B188" i="28"/>
  <c r="C188" i="28"/>
  <c r="B189" i="28"/>
  <c r="C189" i="28"/>
  <c r="B190" i="28"/>
  <c r="C190" i="28"/>
  <c r="B191" i="28"/>
  <c r="C191" i="28"/>
  <c r="B192" i="28"/>
  <c r="C192" i="28"/>
  <c r="B193" i="28"/>
  <c r="C193" i="28"/>
  <c r="B194" i="28"/>
  <c r="C194" i="28"/>
  <c r="B195" i="28"/>
  <c r="C195" i="28"/>
  <c r="B196" i="28"/>
  <c r="C196" i="28"/>
  <c r="B197" i="28"/>
  <c r="C197" i="28"/>
  <c r="B198" i="28"/>
  <c r="C198" i="28"/>
  <c r="B199" i="28"/>
  <c r="C199" i="28"/>
  <c r="B200" i="28"/>
  <c r="C200" i="28"/>
  <c r="B201" i="28"/>
  <c r="C201" i="28"/>
  <c r="B202" i="28"/>
  <c r="C202" i="28"/>
  <c r="K203" i="28"/>
  <c r="F203" i="28"/>
  <c r="E203" i="28"/>
  <c r="C5" i="27"/>
  <c r="D203" i="28" s="1"/>
  <c r="P203" i="28" s="1"/>
  <c r="C6" i="27"/>
  <c r="D204" i="28" s="1"/>
  <c r="P204" i="28" s="1"/>
  <c r="C7" i="27"/>
  <c r="D205" i="28" s="1"/>
  <c r="P205" i="28" s="1"/>
  <c r="C8" i="27"/>
  <c r="D206" i="28" s="1"/>
  <c r="P206" i="28" s="1"/>
  <c r="C9" i="27"/>
  <c r="D207" i="28" s="1"/>
  <c r="C10" i="27"/>
  <c r="D208" i="28" s="1"/>
  <c r="C11" i="27"/>
  <c r="D209" i="28" s="1"/>
  <c r="C12" i="27"/>
  <c r="D210" i="28" s="1"/>
  <c r="P210" i="28" s="1"/>
  <c r="C13" i="27"/>
  <c r="D211" i="28" s="1"/>
  <c r="P211" i="28" s="1"/>
  <c r="C14" i="27"/>
  <c r="D212" i="28" s="1"/>
  <c r="P212" i="28" s="1"/>
  <c r="C15" i="27"/>
  <c r="D213" i="28" s="1"/>
  <c r="C16" i="27"/>
  <c r="D214" i="28" s="1"/>
  <c r="P214" i="28" s="1"/>
  <c r="C17" i="27"/>
  <c r="D215" i="28" s="1"/>
  <c r="C18" i="27"/>
  <c r="D216" i="28" s="1"/>
  <c r="C19" i="27"/>
  <c r="D217" i="28" s="1"/>
  <c r="C20" i="27"/>
  <c r="D218" i="28" s="1"/>
  <c r="P218" i="28" s="1"/>
  <c r="C21" i="27"/>
  <c r="D219" i="28" s="1"/>
  <c r="P219" i="28" s="1"/>
  <c r="C22" i="27"/>
  <c r="D220" i="28" s="1"/>
  <c r="P220" i="28" s="1"/>
  <c r="C23" i="27"/>
  <c r="D221" i="28" s="1"/>
  <c r="P221" i="28" s="1"/>
  <c r="C24" i="27"/>
  <c r="D222" i="28" s="1"/>
  <c r="C25" i="27"/>
  <c r="D223" i="28" s="1"/>
  <c r="C26" i="27"/>
  <c r="D224" i="28" s="1"/>
  <c r="C27" i="27"/>
  <c r="D225" i="28" s="1"/>
  <c r="C28" i="27"/>
  <c r="D226" i="28" s="1"/>
  <c r="P226" i="28" s="1"/>
  <c r="C29" i="27"/>
  <c r="D227" i="28" s="1"/>
  <c r="P227" i="28" s="1"/>
  <c r="C30" i="27"/>
  <c r="D228" i="28" s="1"/>
  <c r="P228" i="28" s="1"/>
  <c r="C31" i="27"/>
  <c r="D229" i="28" s="1"/>
  <c r="P229" i="28" s="1"/>
  <c r="C32" i="27"/>
  <c r="D230" i="28" s="1"/>
  <c r="P230" i="28" s="1"/>
  <c r="C33" i="27"/>
  <c r="D231" i="28" s="1"/>
  <c r="C34" i="27"/>
  <c r="D232" i="28" s="1"/>
  <c r="C35" i="27"/>
  <c r="D233" i="28" s="1"/>
  <c r="C36" i="27"/>
  <c r="D234" i="28" s="1"/>
  <c r="P234" i="28" s="1"/>
  <c r="C37" i="27"/>
  <c r="D235" i="28" s="1"/>
  <c r="P235" i="28" s="1"/>
  <c r="C38" i="27"/>
  <c r="D236" i="28" s="1"/>
  <c r="P236" i="28" s="1"/>
  <c r="C39" i="27"/>
  <c r="D237" i="28" s="1"/>
  <c r="P237" i="28" s="1"/>
  <c r="C40" i="27"/>
  <c r="D238" i="28" s="1"/>
  <c r="P238" i="28" s="1"/>
  <c r="C41" i="27"/>
  <c r="D239" i="28" s="1"/>
  <c r="P239" i="28" s="1"/>
  <c r="C42" i="27"/>
  <c r="D240" i="28" s="1"/>
  <c r="P240" i="28" s="1"/>
  <c r="C43" i="27"/>
  <c r="D241" i="28" s="1"/>
  <c r="C44" i="27"/>
  <c r="D242" i="28" s="1"/>
  <c r="P242" i="28" s="1"/>
  <c r="C45" i="27"/>
  <c r="D243" i="28" s="1"/>
  <c r="C46" i="27"/>
  <c r="D244" i="28" s="1"/>
  <c r="P244" i="28" s="1"/>
  <c r="C47" i="27"/>
  <c r="D245" i="28" s="1"/>
  <c r="P245" i="28" s="1"/>
  <c r="C48" i="27"/>
  <c r="D246" i="28" s="1"/>
  <c r="P246" i="28" s="1"/>
  <c r="C49" i="27"/>
  <c r="D247" i="28" s="1"/>
  <c r="P247" i="28" s="1"/>
  <c r="C50" i="27"/>
  <c r="D248" i="28" s="1"/>
  <c r="P248" i="28" s="1"/>
  <c r="C51" i="27"/>
  <c r="D249" i="28" s="1"/>
  <c r="C52" i="27"/>
  <c r="D250" i="28" s="1"/>
  <c r="P250" i="28" s="1"/>
  <c r="C53" i="27"/>
  <c r="D251" i="28" s="1"/>
  <c r="P251" i="28" s="1"/>
  <c r="C54" i="27"/>
  <c r="D252" i="28" s="1"/>
  <c r="P252" i="28" s="1"/>
  <c r="C55" i="27"/>
  <c r="D253" i="28" s="1"/>
  <c r="C56" i="27"/>
  <c r="D254" i="28" s="1"/>
  <c r="C57" i="27"/>
  <c r="D255" i="28" s="1"/>
  <c r="P255" i="28" s="1"/>
  <c r="C58" i="27"/>
  <c r="D256" i="28" s="1"/>
  <c r="P256" i="28" s="1"/>
  <c r="C59" i="27"/>
  <c r="D257" i="28" s="1"/>
  <c r="C60" i="27"/>
  <c r="D258" i="28" s="1"/>
  <c r="P258" i="28" s="1"/>
  <c r="C61" i="27"/>
  <c r="D259" i="28" s="1"/>
  <c r="P259" i="28" s="1"/>
  <c r="C62" i="27"/>
  <c r="D260" i="28" s="1"/>
  <c r="P260" i="28" s="1"/>
  <c r="C63" i="27"/>
  <c r="D261" i="28" s="1"/>
  <c r="P261" i="28" s="1"/>
  <c r="C64" i="27"/>
  <c r="D262" i="28" s="1"/>
  <c r="C65" i="27"/>
  <c r="D263" i="28" s="1"/>
  <c r="P263" i="28" s="1"/>
  <c r="C66" i="27"/>
  <c r="D264" i="28" s="1"/>
  <c r="P264" i="28" s="1"/>
  <c r="C67" i="27"/>
  <c r="D265" i="28" s="1"/>
  <c r="C68" i="27"/>
  <c r="D266" i="28" s="1"/>
  <c r="P266" i="28" s="1"/>
  <c r="C69" i="27"/>
  <c r="D267" i="28" s="1"/>
  <c r="C70" i="27"/>
  <c r="D268" i="28" s="1"/>
  <c r="P268" i="28" s="1"/>
  <c r="C71" i="27"/>
  <c r="D269" i="28" s="1"/>
  <c r="P269" i="28" s="1"/>
  <c r="C72" i="27"/>
  <c r="D270" i="28" s="1"/>
  <c r="P270" i="28" s="1"/>
  <c r="C73" i="27"/>
  <c r="D271" i="28" s="1"/>
  <c r="P271" i="28" s="1"/>
  <c r="C74" i="27"/>
  <c r="D272" i="28" s="1"/>
  <c r="P272" i="28" s="1"/>
  <c r="C75" i="27"/>
  <c r="D273" i="28" s="1"/>
  <c r="C76" i="27"/>
  <c r="D274" i="28" s="1"/>
  <c r="P274" i="28" s="1"/>
  <c r="C77" i="27"/>
  <c r="D275" i="28" s="1"/>
  <c r="C78" i="27"/>
  <c r="D276" i="28" s="1"/>
  <c r="P276" i="28" s="1"/>
  <c r="C79" i="27"/>
  <c r="D277" i="28" s="1"/>
  <c r="P277" i="28" s="1"/>
  <c r="C80" i="27"/>
  <c r="D278" i="28" s="1"/>
  <c r="P278" i="28" s="1"/>
  <c r="C81" i="27"/>
  <c r="D279" i="28" s="1"/>
  <c r="P279" i="28" s="1"/>
  <c r="C82" i="27"/>
  <c r="D280" i="28" s="1"/>
  <c r="P280" i="28" s="1"/>
  <c r="C83" i="27"/>
  <c r="D281" i="28" s="1"/>
  <c r="C84" i="27"/>
  <c r="D282" i="28" s="1"/>
  <c r="P282" i="28" s="1"/>
  <c r="C85" i="27"/>
  <c r="D283" i="28" s="1"/>
  <c r="P283" i="28" s="1"/>
  <c r="C86" i="27"/>
  <c r="D284" i="28" s="1"/>
  <c r="P284" i="28" s="1"/>
  <c r="C87" i="27"/>
  <c r="D285" i="28" s="1"/>
  <c r="P285" i="28" s="1"/>
  <c r="C88" i="27"/>
  <c r="D286" i="28" s="1"/>
  <c r="C89" i="27"/>
  <c r="D287" i="28" s="1"/>
  <c r="P287" i="28" s="1"/>
  <c r="C90" i="27"/>
  <c r="D288" i="28" s="1"/>
  <c r="P288" i="28" s="1"/>
  <c r="C91" i="27"/>
  <c r="D289" i="28" s="1"/>
  <c r="C92" i="27"/>
  <c r="D290" i="28" s="1"/>
  <c r="P290" i="28" s="1"/>
  <c r="C93" i="27"/>
  <c r="D291" i="28" s="1"/>
  <c r="P291" i="28" s="1"/>
  <c r="C94" i="27"/>
  <c r="D292" i="28" s="1"/>
  <c r="P292" i="28" s="1"/>
  <c r="C95" i="27"/>
  <c r="D293" i="28" s="1"/>
  <c r="P293" i="28" s="1"/>
  <c r="C96" i="27"/>
  <c r="D294" i="28" s="1"/>
  <c r="C97" i="27"/>
  <c r="D295" i="28" s="1"/>
  <c r="P295" i="28" s="1"/>
  <c r="C98" i="27"/>
  <c r="D296" i="28" s="1"/>
  <c r="P296" i="28" s="1"/>
  <c r="C99" i="27"/>
  <c r="D297" i="28" s="1"/>
  <c r="C100" i="27"/>
  <c r="D298" i="28" s="1"/>
  <c r="P298" i="28" s="1"/>
  <c r="C101" i="27"/>
  <c r="D299" i="28" s="1"/>
  <c r="C102" i="27"/>
  <c r="D300" i="28" s="1"/>
  <c r="P300" i="28" s="1"/>
  <c r="C103" i="27"/>
  <c r="D301" i="28" s="1"/>
  <c r="P301" i="28" s="1"/>
  <c r="C104" i="27"/>
  <c r="D302" i="28" s="1"/>
  <c r="C203" i="28"/>
  <c r="C3" i="28"/>
  <c r="P8" i="53"/>
  <c r="Q8" i="53"/>
  <c r="R8" i="53"/>
  <c r="O8" i="53"/>
  <c r="N7" i="53"/>
  <c r="N5" i="53"/>
  <c r="N4" i="53"/>
  <c r="I7" i="53"/>
  <c r="H7" i="53"/>
  <c r="G7" i="53"/>
  <c r="F7" i="53"/>
  <c r="E7" i="53"/>
  <c r="D7" i="53"/>
  <c r="C7" i="53"/>
  <c r="B7" i="53"/>
  <c r="N6" i="53"/>
  <c r="I6" i="53"/>
  <c r="H6" i="53"/>
  <c r="G6" i="53"/>
  <c r="F6" i="53"/>
  <c r="E6" i="53"/>
  <c r="D6" i="53"/>
  <c r="C6" i="53"/>
  <c r="B6" i="53"/>
  <c r="M5" i="53"/>
  <c r="I5" i="53"/>
  <c r="H5" i="53"/>
  <c r="G5" i="53"/>
  <c r="F5" i="53"/>
  <c r="E5" i="53"/>
  <c r="D5" i="53"/>
  <c r="C5" i="53"/>
  <c r="B5" i="53"/>
  <c r="L4" i="53"/>
  <c r="K4" i="53"/>
  <c r="J4" i="53"/>
  <c r="J8" i="53" s="1"/>
  <c r="I4" i="53"/>
  <c r="I8" i="53" s="1"/>
  <c r="H4" i="53"/>
  <c r="H8" i="53" s="1"/>
  <c r="G4" i="53"/>
  <c r="G8" i="53" s="1"/>
  <c r="F4" i="53"/>
  <c r="F8" i="53" s="1"/>
  <c r="E4" i="53"/>
  <c r="E8" i="53" s="1"/>
  <c r="D4" i="53"/>
  <c r="D8" i="53" s="1"/>
  <c r="C4" i="53"/>
  <c r="C8" i="53" s="1"/>
  <c r="B4" i="53"/>
  <c r="B8" i="53" s="1"/>
  <c r="AF5" i="27"/>
  <c r="H6" i="27"/>
  <c r="AF6" i="27" s="1"/>
  <c r="H7" i="27"/>
  <c r="AF7" i="27" s="1"/>
  <c r="H8" i="27"/>
  <c r="AF8" i="27" s="1"/>
  <c r="H9" i="27"/>
  <c r="AF9" i="27" s="1"/>
  <c r="H10" i="27"/>
  <c r="AF10" i="27" s="1"/>
  <c r="H11" i="27"/>
  <c r="AF11" i="27" s="1"/>
  <c r="H12" i="27"/>
  <c r="AF12" i="27" s="1"/>
  <c r="H13" i="27"/>
  <c r="AF13" i="27" s="1"/>
  <c r="H14" i="27"/>
  <c r="AF14" i="27" s="1"/>
  <c r="H15" i="27"/>
  <c r="AF15" i="27" s="1"/>
  <c r="H16" i="27"/>
  <c r="AF16" i="27" s="1"/>
  <c r="H17" i="27"/>
  <c r="AF17" i="27" s="1"/>
  <c r="H18" i="27"/>
  <c r="AF18" i="27" s="1"/>
  <c r="H19" i="27"/>
  <c r="AF19" i="27" s="1"/>
  <c r="H20" i="27"/>
  <c r="AF20" i="27" s="1"/>
  <c r="H21" i="27"/>
  <c r="AF21" i="27" s="1"/>
  <c r="H22" i="27"/>
  <c r="AF22" i="27" s="1"/>
  <c r="H23" i="27"/>
  <c r="AF23" i="27" s="1"/>
  <c r="H24" i="27"/>
  <c r="AF24" i="27" s="1"/>
  <c r="H25" i="27"/>
  <c r="AF25" i="27" s="1"/>
  <c r="H26" i="27"/>
  <c r="H27" i="27"/>
  <c r="H28" i="27"/>
  <c r="H29" i="27"/>
  <c r="H30" i="27"/>
  <c r="H31" i="27"/>
  <c r="H32" i="27"/>
  <c r="H33" i="27"/>
  <c r="H34" i="27"/>
  <c r="H35" i="27"/>
  <c r="H36" i="27"/>
  <c r="H37" i="27"/>
  <c r="H38" i="27"/>
  <c r="H39" i="27"/>
  <c r="H40" i="27"/>
  <c r="H41" i="27"/>
  <c r="H42" i="27"/>
  <c r="H43" i="27"/>
  <c r="H44" i="27"/>
  <c r="H45" i="27"/>
  <c r="H46" i="27"/>
  <c r="H47" i="27"/>
  <c r="H48" i="27"/>
  <c r="H49" i="27"/>
  <c r="H50" i="27"/>
  <c r="H51" i="27"/>
  <c r="H52" i="27"/>
  <c r="H53" i="27"/>
  <c r="H54" i="27"/>
  <c r="H55" i="27"/>
  <c r="H56" i="27"/>
  <c r="H57" i="27"/>
  <c r="H58" i="27"/>
  <c r="H59" i="27"/>
  <c r="H60" i="27"/>
  <c r="H61" i="27"/>
  <c r="H62" i="27"/>
  <c r="H63" i="27"/>
  <c r="H64" i="27"/>
  <c r="H65" i="27"/>
  <c r="H66" i="27"/>
  <c r="H67" i="27"/>
  <c r="H68" i="27"/>
  <c r="H69" i="27"/>
  <c r="H70" i="27"/>
  <c r="H71" i="27"/>
  <c r="H72" i="27"/>
  <c r="H73" i="27"/>
  <c r="H74" i="27"/>
  <c r="H75" i="27"/>
  <c r="H76" i="27"/>
  <c r="H77" i="27"/>
  <c r="H78" i="27"/>
  <c r="H79" i="27"/>
  <c r="H80" i="27"/>
  <c r="H81" i="27"/>
  <c r="H82" i="27"/>
  <c r="H83" i="27"/>
  <c r="H84" i="27"/>
  <c r="H85" i="27"/>
  <c r="H86" i="27"/>
  <c r="H87" i="27"/>
  <c r="H88" i="27"/>
  <c r="H89" i="27"/>
  <c r="H90" i="27"/>
  <c r="H91" i="27"/>
  <c r="H92" i="27"/>
  <c r="H93" i="27"/>
  <c r="H94" i="27"/>
  <c r="H95" i="27"/>
  <c r="H96" i="27"/>
  <c r="H97" i="27"/>
  <c r="H98" i="27"/>
  <c r="H99" i="27"/>
  <c r="H100" i="27"/>
  <c r="H101" i="27"/>
  <c r="H102" i="27"/>
  <c r="H103" i="27"/>
  <c r="H104" i="27"/>
  <c r="D24" i="52"/>
  <c r="D18" i="52"/>
  <c r="Z8" i="27" l="1"/>
  <c r="Z17" i="27"/>
  <c r="Z9" i="27"/>
  <c r="Z24" i="27"/>
  <c r="Z19" i="27"/>
  <c r="Z7" i="27"/>
  <c r="Z10" i="27"/>
  <c r="Z6" i="27"/>
  <c r="N203" i="28"/>
  <c r="M203" i="28"/>
  <c r="P232" i="28"/>
  <c r="P224" i="28"/>
  <c r="P216" i="28"/>
  <c r="P208" i="28"/>
  <c r="P231" i="28"/>
  <c r="P223" i="28"/>
  <c r="P215" i="28"/>
  <c r="P207" i="28"/>
  <c r="P294" i="28"/>
  <c r="P254" i="28"/>
  <c r="P253" i="28"/>
  <c r="P213" i="28"/>
  <c r="P262" i="28"/>
  <c r="P286" i="28"/>
  <c r="P299" i="28"/>
  <c r="P275" i="28"/>
  <c r="P267" i="28"/>
  <c r="P243" i="28"/>
  <c r="P302" i="28"/>
  <c r="P222" i="28"/>
  <c r="P297" i="28"/>
  <c r="P289" i="28"/>
  <c r="P281" i="28"/>
  <c r="P273" i="28"/>
  <c r="P265" i="28"/>
  <c r="P257" i="28"/>
  <c r="P249" i="28"/>
  <c r="P241" i="28"/>
  <c r="P233" i="28"/>
  <c r="P225" i="28"/>
  <c r="P217" i="28"/>
  <c r="P209" i="28"/>
  <c r="D33" i="52"/>
  <c r="D32" i="52"/>
  <c r="D31" i="52"/>
  <c r="D23" i="52"/>
  <c r="D25" i="52"/>
  <c r="D22" i="52"/>
  <c r="B15" i="52"/>
  <c r="D17" i="52"/>
  <c r="D19" i="52"/>
  <c r="D16" i="52"/>
  <c r="B3" i="51" l="1"/>
  <c r="B4" i="51"/>
  <c r="B5" i="51"/>
  <c r="L3" i="42"/>
  <c r="L4" i="42"/>
  <c r="L5" i="42"/>
  <c r="L6" i="42"/>
  <c r="L7" i="42"/>
  <c r="L8" i="42"/>
  <c r="L9" i="42"/>
  <c r="L10" i="42"/>
  <c r="L11" i="42"/>
  <c r="L12" i="42"/>
  <c r="L13" i="42"/>
  <c r="L14" i="42"/>
  <c r="L15" i="42"/>
  <c r="L16" i="42"/>
  <c r="L17" i="42"/>
  <c r="L18" i="42"/>
  <c r="L19" i="42"/>
  <c r="L20" i="42"/>
  <c r="L21" i="42"/>
  <c r="L22" i="42"/>
  <c r="L23" i="42"/>
  <c r="L24" i="42"/>
  <c r="L25" i="42"/>
  <c r="L26" i="42"/>
  <c r="L27" i="42"/>
  <c r="L28" i="42"/>
  <c r="L29" i="42"/>
  <c r="L30" i="42"/>
  <c r="L31" i="42"/>
  <c r="L32" i="42"/>
  <c r="L33" i="42"/>
  <c r="L34" i="42"/>
  <c r="L35" i="42"/>
  <c r="L36" i="42"/>
  <c r="L37" i="42"/>
  <c r="L38" i="42"/>
  <c r="L39" i="42"/>
  <c r="L40" i="42"/>
  <c r="L41" i="42"/>
  <c r="L42" i="42"/>
  <c r="L43" i="42"/>
  <c r="L44" i="42"/>
  <c r="L45" i="42"/>
  <c r="L46" i="42"/>
  <c r="L47" i="42"/>
  <c r="L48" i="42"/>
  <c r="L49" i="42"/>
  <c r="L50" i="42"/>
  <c r="L51" i="42"/>
  <c r="L52" i="42"/>
  <c r="L53" i="42"/>
  <c r="L54" i="42"/>
  <c r="L55" i="42"/>
  <c r="L56" i="42"/>
  <c r="L57" i="42"/>
  <c r="L58" i="42"/>
  <c r="L59" i="42"/>
  <c r="L60" i="42"/>
  <c r="L61" i="42"/>
  <c r="L62" i="42"/>
  <c r="L63" i="42"/>
  <c r="L64" i="42"/>
  <c r="L65" i="42"/>
  <c r="L66" i="42"/>
  <c r="L67" i="42"/>
  <c r="L68" i="42"/>
  <c r="L69" i="42"/>
  <c r="L70" i="42"/>
  <c r="L71" i="42"/>
  <c r="L72" i="42"/>
  <c r="L73" i="42"/>
  <c r="L74" i="42"/>
  <c r="L75" i="42"/>
  <c r="L76" i="42"/>
  <c r="L77" i="42"/>
  <c r="L78" i="42"/>
  <c r="L79" i="42"/>
  <c r="L80" i="42"/>
  <c r="L81" i="42"/>
  <c r="L82" i="42"/>
  <c r="L83" i="42"/>
  <c r="L84" i="42"/>
  <c r="L85" i="42"/>
  <c r="L86" i="42"/>
  <c r="L87" i="42"/>
  <c r="L88" i="42"/>
  <c r="L89" i="42"/>
  <c r="L90" i="42"/>
  <c r="L91" i="42"/>
  <c r="L92" i="42"/>
  <c r="L93" i="42"/>
  <c r="L94" i="42"/>
  <c r="L95" i="42"/>
  <c r="L96" i="42"/>
  <c r="L97" i="42"/>
  <c r="L98" i="42"/>
  <c r="L99" i="42"/>
  <c r="L100" i="42"/>
  <c r="L101" i="42"/>
  <c r="L102" i="42"/>
  <c r="L103" i="42"/>
  <c r="L104" i="42"/>
  <c r="L105" i="42"/>
  <c r="L106" i="42"/>
  <c r="L107" i="42"/>
  <c r="L108" i="42"/>
  <c r="L109" i="42"/>
  <c r="L110" i="42"/>
  <c r="L111" i="42"/>
  <c r="L112" i="42"/>
  <c r="L113" i="42"/>
  <c r="L114" i="42"/>
  <c r="L115" i="42"/>
  <c r="L116" i="42"/>
  <c r="L117" i="42"/>
  <c r="L118" i="42"/>
  <c r="L119" i="42"/>
  <c r="L120" i="42"/>
  <c r="L121" i="42"/>
  <c r="L122" i="42"/>
  <c r="L123" i="42"/>
  <c r="L124" i="42"/>
  <c r="L125" i="42"/>
  <c r="L126" i="42"/>
  <c r="L127" i="42"/>
  <c r="L128" i="42"/>
  <c r="L129" i="42"/>
  <c r="L130" i="42"/>
  <c r="L131" i="42"/>
  <c r="L132" i="42"/>
  <c r="L133" i="42"/>
  <c r="L134" i="42"/>
  <c r="L135" i="42"/>
  <c r="L136" i="42"/>
  <c r="L137" i="42"/>
  <c r="L138" i="42"/>
  <c r="L139" i="42"/>
  <c r="L140" i="42"/>
  <c r="L141" i="42"/>
  <c r="L142" i="42"/>
  <c r="L143" i="42"/>
  <c r="L144" i="42"/>
  <c r="L145" i="42"/>
  <c r="L146" i="42"/>
  <c r="L147" i="42"/>
  <c r="L148" i="42"/>
  <c r="L149" i="42"/>
  <c r="L150" i="42"/>
  <c r="L151" i="42"/>
  <c r="L152" i="42"/>
  <c r="L153" i="42"/>
  <c r="L154" i="42"/>
  <c r="L155" i="42"/>
  <c r="L156" i="42"/>
  <c r="L157" i="42"/>
  <c r="L158" i="42"/>
  <c r="L159" i="42"/>
  <c r="L160" i="42"/>
  <c r="L161" i="42"/>
  <c r="L162" i="42"/>
  <c r="L163" i="42"/>
  <c r="L164" i="42"/>
  <c r="L165" i="42"/>
  <c r="L166" i="42"/>
  <c r="L167" i="42"/>
  <c r="L168" i="42"/>
  <c r="L169" i="42"/>
  <c r="L170" i="42"/>
  <c r="L171" i="42"/>
  <c r="L172" i="42"/>
  <c r="L173" i="42"/>
  <c r="L174" i="42"/>
  <c r="L175" i="42"/>
  <c r="L176" i="42"/>
  <c r="L177" i="42"/>
  <c r="L178" i="42"/>
  <c r="L179" i="42"/>
  <c r="L180" i="42"/>
  <c r="L181" i="42"/>
  <c r="L182" i="42"/>
  <c r="L183" i="42"/>
  <c r="L184" i="42"/>
  <c r="L185" i="42"/>
  <c r="L186" i="42"/>
  <c r="L187" i="42"/>
  <c r="L188" i="42"/>
  <c r="L189" i="42"/>
  <c r="L190" i="42"/>
  <c r="L191" i="42"/>
  <c r="L192" i="42"/>
  <c r="L193" i="42"/>
  <c r="L194" i="42"/>
  <c r="L195" i="42"/>
  <c r="L196" i="42"/>
  <c r="L197" i="42"/>
  <c r="L198" i="42"/>
  <c r="L199" i="42"/>
  <c r="L200" i="42"/>
  <c r="L201" i="42"/>
  <c r="L202" i="42"/>
  <c r="L203" i="42"/>
  <c r="L204" i="42"/>
  <c r="L205" i="42"/>
  <c r="L206" i="42"/>
  <c r="L207" i="42"/>
  <c r="L208" i="42"/>
  <c r="L209" i="42"/>
  <c r="L210" i="42"/>
  <c r="L211" i="42"/>
  <c r="L212" i="42"/>
  <c r="L213" i="42"/>
  <c r="L214" i="42"/>
  <c r="L215" i="42"/>
  <c r="L216" i="42"/>
  <c r="L217" i="42"/>
  <c r="L218" i="42"/>
  <c r="L219" i="42"/>
  <c r="L220" i="42"/>
  <c r="L221" i="42"/>
  <c r="L222" i="42"/>
  <c r="L223" i="42"/>
  <c r="L224" i="42"/>
  <c r="L225" i="42"/>
  <c r="L226" i="42"/>
  <c r="L227" i="42"/>
  <c r="L228" i="42"/>
  <c r="L229" i="42"/>
  <c r="L230" i="42"/>
  <c r="L231" i="42"/>
  <c r="L232" i="42"/>
  <c r="L233" i="42"/>
  <c r="L234" i="42"/>
  <c r="L235" i="42"/>
  <c r="L236" i="42"/>
  <c r="L237" i="42"/>
  <c r="L238" i="42"/>
  <c r="L239" i="42"/>
  <c r="L240" i="42"/>
  <c r="L241" i="42"/>
  <c r="L242" i="42"/>
  <c r="L243" i="42"/>
  <c r="L244" i="42"/>
  <c r="L245" i="42"/>
  <c r="L246" i="42"/>
  <c r="L247" i="42"/>
  <c r="L248" i="42"/>
  <c r="L249" i="42"/>
  <c r="L250" i="42"/>
  <c r="L251" i="42"/>
  <c r="L252" i="42"/>
  <c r="L253" i="42"/>
  <c r="L254" i="42"/>
  <c r="L255" i="42"/>
  <c r="L256" i="42"/>
  <c r="L257" i="42"/>
  <c r="L258" i="42"/>
  <c r="L259" i="42"/>
  <c r="L260" i="42"/>
  <c r="L261" i="42"/>
  <c r="L262" i="42"/>
  <c r="L263" i="42"/>
  <c r="L264" i="42"/>
  <c r="L265" i="42"/>
  <c r="L266" i="42"/>
  <c r="L267" i="42"/>
  <c r="L268" i="42"/>
  <c r="L269" i="42"/>
  <c r="L270" i="42"/>
  <c r="L271" i="42"/>
  <c r="L272" i="42"/>
  <c r="L273" i="42"/>
  <c r="L274" i="42"/>
  <c r="L275" i="42"/>
  <c r="L276" i="42"/>
  <c r="L277" i="42"/>
  <c r="L278" i="42"/>
  <c r="L279" i="42"/>
  <c r="L280" i="42"/>
  <c r="L281" i="42"/>
  <c r="L282" i="42"/>
  <c r="L283" i="42"/>
  <c r="L284" i="42"/>
  <c r="L285" i="42"/>
  <c r="L286" i="42"/>
  <c r="L287" i="42"/>
  <c r="L288" i="42"/>
  <c r="L289" i="42"/>
  <c r="L290" i="42"/>
  <c r="L291" i="42"/>
  <c r="L292" i="42"/>
  <c r="L293" i="42"/>
  <c r="L294" i="42"/>
  <c r="L295" i="42"/>
  <c r="L296" i="42"/>
  <c r="L297" i="42"/>
  <c r="L298" i="42"/>
  <c r="L299" i="42"/>
  <c r="L300" i="42"/>
  <c r="L301" i="42"/>
  <c r="L302" i="42"/>
  <c r="L303" i="42"/>
  <c r="L304" i="42"/>
  <c r="L305" i="42"/>
  <c r="L306" i="42"/>
  <c r="L307" i="42"/>
  <c r="L308" i="42"/>
  <c r="L309" i="42"/>
  <c r="L310" i="42"/>
  <c r="L311" i="42"/>
  <c r="L312" i="42"/>
  <c r="L313" i="42"/>
  <c r="L314" i="42"/>
  <c r="L315" i="42"/>
  <c r="L316" i="42"/>
  <c r="L317" i="42"/>
  <c r="L318" i="42"/>
  <c r="L319" i="42"/>
  <c r="L320" i="42"/>
  <c r="L321" i="42"/>
  <c r="L322" i="42"/>
  <c r="L323" i="42"/>
  <c r="L324" i="42"/>
  <c r="L325" i="42"/>
  <c r="L326" i="42"/>
  <c r="L327" i="42"/>
  <c r="L328" i="42"/>
  <c r="L329" i="42"/>
  <c r="L330" i="42"/>
  <c r="L331" i="42"/>
  <c r="L332" i="42"/>
  <c r="L333" i="42"/>
  <c r="L334" i="42"/>
  <c r="L335" i="42"/>
  <c r="L336" i="42"/>
  <c r="L337" i="42"/>
  <c r="L338" i="42"/>
  <c r="L339" i="42"/>
  <c r="L340" i="42"/>
  <c r="L341" i="42"/>
  <c r="L342" i="42"/>
  <c r="L343" i="42"/>
  <c r="L344" i="42"/>
  <c r="L345" i="42"/>
  <c r="L346" i="42"/>
  <c r="L347" i="42"/>
  <c r="L348" i="42"/>
  <c r="L349" i="42"/>
  <c r="L350" i="42"/>
  <c r="L351" i="42"/>
  <c r="L352" i="42"/>
  <c r="L353" i="42"/>
  <c r="L354" i="42"/>
  <c r="L355" i="42"/>
  <c r="L356" i="42"/>
  <c r="L357" i="42"/>
  <c r="L358" i="42"/>
  <c r="L359" i="42"/>
  <c r="L360" i="42"/>
  <c r="L361" i="42"/>
  <c r="L362" i="42"/>
  <c r="L363" i="42"/>
  <c r="L364" i="42"/>
  <c r="L365" i="42"/>
  <c r="L366" i="42"/>
  <c r="L367" i="42"/>
  <c r="L368" i="42"/>
  <c r="L369" i="42"/>
  <c r="L370" i="42"/>
  <c r="L371" i="42"/>
  <c r="L372" i="42"/>
  <c r="L373" i="42"/>
  <c r="L374" i="42"/>
  <c r="L375" i="42"/>
  <c r="L376" i="42"/>
  <c r="L377" i="42"/>
  <c r="L378" i="42"/>
  <c r="L379" i="42"/>
  <c r="L380" i="42"/>
  <c r="L381" i="42"/>
  <c r="L382" i="42"/>
  <c r="L383" i="42"/>
  <c r="L384" i="42"/>
  <c r="L385" i="42"/>
  <c r="L386" i="42"/>
  <c r="L387" i="42"/>
  <c r="L388" i="42"/>
  <c r="L389" i="42"/>
  <c r="L390" i="42"/>
  <c r="L391" i="42"/>
  <c r="L392" i="42"/>
  <c r="L393" i="42"/>
  <c r="L394" i="42"/>
  <c r="L395" i="42"/>
  <c r="L396" i="42"/>
  <c r="L397" i="42"/>
  <c r="L398" i="42"/>
  <c r="L399" i="42"/>
  <c r="L400" i="42"/>
  <c r="L401" i="42"/>
  <c r="L402" i="42"/>
  <c r="L403" i="42"/>
  <c r="L404" i="42"/>
  <c r="L405" i="42"/>
  <c r="L406" i="42"/>
  <c r="L407" i="42"/>
  <c r="L408" i="42"/>
  <c r="L409" i="42"/>
  <c r="L410" i="42"/>
  <c r="L411" i="42"/>
  <c r="L412" i="42"/>
  <c r="L413" i="42"/>
  <c r="L414" i="42"/>
  <c r="L415" i="42"/>
  <c r="L416" i="42"/>
  <c r="L417" i="42"/>
  <c r="L418" i="42"/>
  <c r="L419" i="42"/>
  <c r="L420" i="42"/>
  <c r="L421" i="42"/>
  <c r="L422" i="42"/>
  <c r="L423" i="42"/>
  <c r="L424" i="42"/>
  <c r="L425" i="42"/>
  <c r="L426" i="42"/>
  <c r="L427" i="42"/>
  <c r="L428" i="42"/>
  <c r="L429" i="42"/>
  <c r="L430" i="42"/>
  <c r="L431" i="42"/>
  <c r="L432" i="42"/>
  <c r="L433" i="42"/>
  <c r="L434" i="42"/>
  <c r="L435" i="42"/>
  <c r="L436" i="42"/>
  <c r="L437" i="42"/>
  <c r="L438" i="42"/>
  <c r="L439" i="42"/>
  <c r="L440" i="42"/>
  <c r="L441" i="42"/>
  <c r="L442" i="42"/>
  <c r="L443" i="42"/>
  <c r="L444" i="42"/>
  <c r="L445" i="42"/>
  <c r="L446" i="42"/>
  <c r="L447" i="42"/>
  <c r="L448" i="42"/>
  <c r="L449" i="42"/>
  <c r="L450" i="42"/>
  <c r="L451" i="42"/>
  <c r="L452" i="42"/>
  <c r="L453" i="42"/>
  <c r="L454" i="42"/>
  <c r="L455" i="42"/>
  <c r="L456" i="42"/>
  <c r="L457" i="42"/>
  <c r="L458" i="42"/>
  <c r="L459" i="42"/>
  <c r="L460" i="42"/>
  <c r="L461" i="42"/>
  <c r="L462" i="42"/>
  <c r="L463" i="42"/>
  <c r="L464" i="42"/>
  <c r="L465" i="42"/>
  <c r="L466" i="42"/>
  <c r="L467" i="42"/>
  <c r="L468" i="42"/>
  <c r="L469" i="42"/>
  <c r="L470" i="42"/>
  <c r="L471" i="42"/>
  <c r="L472" i="42"/>
  <c r="L473" i="42"/>
  <c r="L474" i="42"/>
  <c r="L475" i="42"/>
  <c r="L476" i="42"/>
  <c r="L477" i="42"/>
  <c r="L478" i="42"/>
  <c r="L479" i="42"/>
  <c r="L480" i="42"/>
  <c r="L481" i="42"/>
  <c r="L482" i="42"/>
  <c r="L483" i="42"/>
  <c r="L484" i="42"/>
  <c r="L485" i="42"/>
  <c r="L486" i="42"/>
  <c r="L487" i="42"/>
  <c r="L488" i="42"/>
  <c r="L489" i="42"/>
  <c r="L490" i="42"/>
  <c r="L491" i="42"/>
  <c r="L492" i="42"/>
  <c r="L493" i="42"/>
  <c r="L494" i="42"/>
  <c r="L495" i="42"/>
  <c r="L496" i="42"/>
  <c r="L497" i="42"/>
  <c r="L498" i="42"/>
  <c r="L499" i="42"/>
  <c r="L500" i="42"/>
  <c r="L501" i="42"/>
  <c r="L502" i="42"/>
  <c r="L503" i="42"/>
  <c r="L504" i="42"/>
  <c r="L505" i="42"/>
  <c r="L506" i="42"/>
  <c r="L507" i="42"/>
  <c r="L508" i="42"/>
  <c r="L509" i="42"/>
  <c r="L510" i="42"/>
  <c r="L511" i="42"/>
  <c r="L512" i="42"/>
  <c r="L513" i="42"/>
  <c r="L514" i="42"/>
  <c r="L515" i="42"/>
  <c r="L516" i="42"/>
  <c r="L517" i="42"/>
  <c r="L518" i="42"/>
  <c r="L519" i="42"/>
  <c r="L520" i="42"/>
  <c r="L521" i="42"/>
  <c r="L522" i="42"/>
  <c r="L523" i="42"/>
  <c r="L524" i="42"/>
  <c r="L525" i="42"/>
  <c r="L526" i="42"/>
  <c r="L527" i="42"/>
  <c r="L528" i="42"/>
  <c r="L529" i="42"/>
  <c r="L530" i="42"/>
  <c r="L531" i="42"/>
  <c r="L532" i="42"/>
  <c r="L533" i="42"/>
  <c r="L534" i="42"/>
  <c r="L535" i="42"/>
  <c r="L536" i="42"/>
  <c r="L537" i="42"/>
  <c r="L538" i="42"/>
  <c r="L539" i="42"/>
  <c r="L540" i="42"/>
  <c r="L541" i="42"/>
  <c r="L542" i="42"/>
  <c r="L543" i="42"/>
  <c r="L544" i="42"/>
  <c r="L545" i="42"/>
  <c r="L546" i="42"/>
  <c r="L547" i="42"/>
  <c r="L548" i="42"/>
  <c r="L549" i="42"/>
  <c r="L550" i="42"/>
  <c r="L551" i="42"/>
  <c r="L552" i="42"/>
  <c r="L553" i="42"/>
  <c r="L554" i="42"/>
  <c r="L555" i="42"/>
  <c r="L556" i="42"/>
  <c r="L557" i="42"/>
  <c r="L558" i="42"/>
  <c r="L559" i="42"/>
  <c r="L560" i="42"/>
  <c r="L561" i="42"/>
  <c r="L562" i="42"/>
  <c r="L563" i="42"/>
  <c r="L564" i="42"/>
  <c r="L565" i="42"/>
  <c r="L566" i="42"/>
  <c r="L567" i="42"/>
  <c r="L568" i="42"/>
  <c r="L569" i="42"/>
  <c r="L570" i="42"/>
  <c r="L571" i="42"/>
  <c r="L572" i="42"/>
  <c r="L573" i="42"/>
  <c r="L574" i="42"/>
  <c r="L575" i="42"/>
  <c r="L576" i="42"/>
  <c r="L577" i="42"/>
  <c r="L578" i="42"/>
  <c r="L579" i="42"/>
  <c r="L580" i="42"/>
  <c r="L581" i="42"/>
  <c r="L582" i="42"/>
  <c r="L583" i="42"/>
  <c r="L584" i="42"/>
  <c r="L585" i="42"/>
  <c r="L586" i="42"/>
  <c r="L587" i="42"/>
  <c r="L588" i="42"/>
  <c r="L589" i="42"/>
  <c r="L590" i="42"/>
  <c r="L591" i="42"/>
  <c r="L592" i="42"/>
  <c r="L593" i="42"/>
  <c r="L594" i="42"/>
  <c r="L595" i="42"/>
  <c r="L596" i="42"/>
  <c r="L597" i="42"/>
  <c r="L598" i="42"/>
  <c r="L599" i="42"/>
  <c r="L600" i="42"/>
  <c r="L601" i="42"/>
  <c r="L602" i="42"/>
  <c r="L603" i="42"/>
  <c r="L604" i="42"/>
  <c r="L605" i="42"/>
  <c r="L606" i="42"/>
  <c r="L607" i="42"/>
  <c r="L608" i="42"/>
  <c r="L609" i="42"/>
  <c r="L610" i="42"/>
  <c r="L611" i="42"/>
  <c r="L612" i="42"/>
  <c r="L613" i="42"/>
  <c r="L614" i="42"/>
  <c r="L615" i="42"/>
  <c r="L616" i="42"/>
  <c r="L617" i="42"/>
  <c r="L618" i="42"/>
  <c r="L619" i="42"/>
  <c r="L620" i="42"/>
  <c r="L621" i="42"/>
  <c r="L622" i="42"/>
  <c r="L623" i="42"/>
  <c r="L624" i="42"/>
  <c r="L625" i="42"/>
  <c r="L626" i="42"/>
  <c r="L627" i="42"/>
  <c r="L628" i="42"/>
  <c r="L629" i="42"/>
  <c r="L630" i="42"/>
  <c r="L631" i="42"/>
  <c r="L632" i="42"/>
  <c r="L633" i="42"/>
  <c r="L634" i="42"/>
  <c r="L635" i="42"/>
  <c r="L636" i="42"/>
  <c r="L637" i="42"/>
  <c r="L638" i="42"/>
  <c r="L639" i="42"/>
  <c r="L640" i="42"/>
  <c r="L641" i="42"/>
  <c r="L642" i="42"/>
  <c r="L643" i="42"/>
  <c r="L644" i="42"/>
  <c r="L645" i="42"/>
  <c r="L646" i="42"/>
  <c r="L647" i="42"/>
  <c r="L648" i="42"/>
  <c r="L649" i="42"/>
  <c r="L650" i="42"/>
  <c r="L651" i="42"/>
  <c r="L652" i="42"/>
  <c r="L653" i="42"/>
  <c r="L654" i="42"/>
  <c r="L655" i="42"/>
  <c r="L656" i="42"/>
  <c r="L657" i="42"/>
  <c r="L658" i="42"/>
  <c r="L659" i="42"/>
  <c r="L660" i="42"/>
  <c r="L661" i="42"/>
  <c r="L662" i="42"/>
  <c r="L663" i="42"/>
  <c r="L664" i="42"/>
  <c r="L665" i="42"/>
  <c r="L666" i="42"/>
  <c r="L667" i="42"/>
  <c r="L668" i="42"/>
  <c r="L669" i="42"/>
  <c r="L670" i="42"/>
  <c r="L671" i="42"/>
  <c r="L672" i="42"/>
  <c r="L673" i="42"/>
  <c r="L674" i="42"/>
  <c r="L675" i="42"/>
  <c r="L676" i="42"/>
  <c r="L677" i="42"/>
  <c r="L678" i="42"/>
  <c r="L679" i="42"/>
  <c r="L680" i="42"/>
  <c r="L681" i="42"/>
  <c r="L682" i="42"/>
  <c r="L683" i="42"/>
  <c r="L684" i="42"/>
  <c r="L685" i="42"/>
  <c r="L686" i="42"/>
  <c r="L687" i="42"/>
  <c r="L688" i="42"/>
  <c r="L689" i="42"/>
  <c r="L690" i="42"/>
  <c r="L691" i="42"/>
  <c r="L692" i="42"/>
  <c r="L693" i="42"/>
  <c r="L694" i="42"/>
  <c r="L695" i="42"/>
  <c r="L696" i="42"/>
  <c r="L697" i="42"/>
  <c r="L698" i="42"/>
  <c r="L699" i="42"/>
  <c r="L700" i="42"/>
  <c r="L701" i="42"/>
  <c r="L702" i="42"/>
  <c r="L703" i="42"/>
  <c r="L704" i="42"/>
  <c r="L705" i="42"/>
  <c r="L706" i="42"/>
  <c r="L707" i="42"/>
  <c r="L708" i="42"/>
  <c r="L709" i="42"/>
  <c r="L710" i="42"/>
  <c r="L711" i="42"/>
  <c r="L712" i="42"/>
  <c r="L713" i="42"/>
  <c r="L714" i="42"/>
  <c r="L715" i="42"/>
  <c r="L716" i="42"/>
  <c r="L717" i="42"/>
  <c r="L718" i="42"/>
  <c r="L719" i="42"/>
  <c r="L720" i="42"/>
  <c r="L721" i="42"/>
  <c r="L722" i="42"/>
  <c r="L723" i="42"/>
  <c r="L724" i="42"/>
  <c r="L725" i="42"/>
  <c r="L726" i="42"/>
  <c r="L727" i="42"/>
  <c r="L728" i="42"/>
  <c r="L729" i="42"/>
  <c r="L730" i="42"/>
  <c r="L731" i="42"/>
  <c r="L732" i="42"/>
  <c r="L733" i="42"/>
  <c r="L734" i="42"/>
  <c r="L735" i="42"/>
  <c r="L736" i="42"/>
  <c r="L737" i="42"/>
  <c r="L738" i="42"/>
  <c r="L739" i="42"/>
  <c r="L740" i="42"/>
  <c r="L741" i="42"/>
  <c r="L742" i="42"/>
  <c r="L743" i="42"/>
  <c r="L744" i="42"/>
  <c r="L745" i="42"/>
  <c r="L746" i="42"/>
  <c r="L747" i="42"/>
  <c r="L748" i="42"/>
  <c r="L749" i="42"/>
  <c r="L750" i="42"/>
  <c r="L751" i="42"/>
  <c r="L752" i="42"/>
  <c r="L753" i="42"/>
  <c r="L754" i="42"/>
  <c r="L755" i="42"/>
  <c r="L756" i="42"/>
  <c r="L757" i="42"/>
  <c r="L758" i="42"/>
  <c r="L759" i="42"/>
  <c r="L760" i="42"/>
  <c r="L761" i="42"/>
  <c r="L762" i="42"/>
  <c r="L763" i="42"/>
  <c r="L764" i="42"/>
  <c r="L765" i="42"/>
  <c r="L766" i="42"/>
  <c r="L767" i="42"/>
  <c r="L768" i="42"/>
  <c r="L769" i="42"/>
  <c r="L770" i="42"/>
  <c r="L771" i="42"/>
  <c r="L772" i="42"/>
  <c r="L773" i="42"/>
  <c r="L774" i="42"/>
  <c r="L775" i="42"/>
  <c r="L776" i="42"/>
  <c r="L777" i="42"/>
  <c r="L778" i="42"/>
  <c r="L779" i="42"/>
  <c r="L780" i="42"/>
  <c r="L781" i="42"/>
  <c r="L782" i="42"/>
  <c r="L783" i="42"/>
  <c r="L784" i="42"/>
  <c r="L785" i="42"/>
  <c r="L786" i="42"/>
  <c r="L787" i="42"/>
  <c r="L788" i="42"/>
  <c r="L789" i="42"/>
  <c r="L790" i="42"/>
  <c r="L791" i="42"/>
  <c r="L792" i="42"/>
  <c r="L793" i="42"/>
  <c r="L794" i="42"/>
  <c r="L795" i="42"/>
  <c r="L796" i="42"/>
  <c r="L797" i="42"/>
  <c r="L798" i="42"/>
  <c r="L799" i="42"/>
  <c r="L800" i="42"/>
  <c r="L801" i="42"/>
  <c r="L802" i="42"/>
  <c r="L803" i="42"/>
  <c r="L804" i="42"/>
  <c r="L805" i="42"/>
  <c r="L806" i="42"/>
  <c r="L807" i="42"/>
  <c r="L808" i="42"/>
  <c r="L809" i="42"/>
  <c r="L810" i="42"/>
  <c r="L811" i="42"/>
  <c r="L812" i="42"/>
  <c r="L813" i="42"/>
  <c r="L814" i="42"/>
  <c r="L815" i="42"/>
  <c r="L816" i="42"/>
  <c r="L817" i="42"/>
  <c r="L818" i="42"/>
  <c r="L819" i="42"/>
  <c r="L820" i="42"/>
  <c r="L821" i="42"/>
  <c r="L822" i="42"/>
  <c r="L823" i="42"/>
  <c r="L824" i="42"/>
  <c r="L825" i="42"/>
  <c r="L826" i="42"/>
  <c r="L827" i="42"/>
  <c r="L828" i="42"/>
  <c r="L829" i="42"/>
  <c r="L830" i="42"/>
  <c r="L831" i="42"/>
  <c r="L832" i="42"/>
  <c r="L833" i="42"/>
  <c r="L834" i="42"/>
  <c r="L835" i="42"/>
  <c r="L836" i="42"/>
  <c r="L837" i="42"/>
  <c r="L838" i="42"/>
  <c r="L839" i="42"/>
  <c r="L840" i="42"/>
  <c r="L841" i="42"/>
  <c r="L842" i="42"/>
  <c r="L843" i="42"/>
  <c r="L844" i="42"/>
  <c r="L845" i="42"/>
  <c r="L846" i="42"/>
  <c r="L847" i="42"/>
  <c r="L848" i="42"/>
  <c r="L849" i="42"/>
  <c r="L850" i="42"/>
  <c r="L851" i="42"/>
  <c r="L852" i="42"/>
  <c r="L853" i="42"/>
  <c r="L854" i="42"/>
  <c r="L855" i="42"/>
  <c r="L856" i="42"/>
  <c r="L857" i="42"/>
  <c r="L858" i="42"/>
  <c r="L859" i="42"/>
  <c r="L860" i="42"/>
  <c r="L861" i="42"/>
  <c r="L862" i="42"/>
  <c r="L863" i="42"/>
  <c r="L864" i="42"/>
  <c r="L865" i="42"/>
  <c r="L866" i="42"/>
  <c r="L867" i="42"/>
  <c r="L868" i="42"/>
  <c r="L869" i="42"/>
  <c r="L870" i="42"/>
  <c r="L871" i="42"/>
  <c r="L872" i="42"/>
  <c r="L873" i="42"/>
  <c r="L874" i="42"/>
  <c r="L875" i="42"/>
  <c r="L876" i="42"/>
  <c r="L877" i="42"/>
  <c r="L878" i="42"/>
  <c r="L879" i="42"/>
  <c r="L880" i="42"/>
  <c r="L881" i="42"/>
  <c r="L882" i="42"/>
  <c r="L883" i="42"/>
  <c r="L884" i="42"/>
  <c r="L885" i="42"/>
  <c r="L886" i="42"/>
  <c r="L887" i="42"/>
  <c r="L888" i="42"/>
  <c r="L889" i="42"/>
  <c r="L890" i="42"/>
  <c r="L891" i="42"/>
  <c r="L892" i="42"/>
  <c r="L893" i="42"/>
  <c r="L894" i="42"/>
  <c r="L895" i="42"/>
  <c r="L896" i="42"/>
  <c r="L897" i="42"/>
  <c r="L898" i="42"/>
  <c r="L899" i="42"/>
  <c r="L900" i="42"/>
  <c r="L901" i="42"/>
  <c r="L902" i="42"/>
  <c r="L903" i="42"/>
  <c r="L904" i="42"/>
  <c r="L905" i="42"/>
  <c r="L906" i="42"/>
  <c r="L907" i="42"/>
  <c r="L908" i="42"/>
  <c r="L909" i="42"/>
  <c r="L910" i="42"/>
  <c r="L911" i="42"/>
  <c r="L912" i="42"/>
  <c r="L913" i="42"/>
  <c r="L914" i="42"/>
  <c r="L915" i="42"/>
  <c r="L916" i="42"/>
  <c r="L917" i="42"/>
  <c r="L918" i="42"/>
  <c r="L919" i="42"/>
  <c r="L920" i="42"/>
  <c r="L921" i="42"/>
  <c r="L922" i="42"/>
  <c r="L923" i="42"/>
  <c r="L924" i="42"/>
  <c r="L925" i="42"/>
  <c r="L926" i="42"/>
  <c r="L927" i="42"/>
  <c r="L928" i="42"/>
  <c r="L929" i="42"/>
  <c r="L930" i="42"/>
  <c r="L931" i="42"/>
  <c r="L932" i="42"/>
  <c r="L933" i="42"/>
  <c r="L934" i="42"/>
  <c r="L935" i="42"/>
  <c r="L936" i="42"/>
  <c r="L937" i="42"/>
  <c r="L938" i="42"/>
  <c r="L939" i="42"/>
  <c r="L940" i="42"/>
  <c r="L941" i="42"/>
  <c r="L942" i="42"/>
  <c r="L943" i="42"/>
  <c r="L944" i="42"/>
  <c r="L945" i="42"/>
  <c r="L946" i="42"/>
  <c r="L947" i="42"/>
  <c r="L948" i="42"/>
  <c r="L949" i="42"/>
  <c r="L950" i="42"/>
  <c r="L951" i="42"/>
  <c r="L952" i="42"/>
  <c r="L953" i="42"/>
  <c r="L954" i="42"/>
  <c r="L955" i="42"/>
  <c r="L956" i="42"/>
  <c r="L957" i="42"/>
  <c r="L1084" i="42"/>
  <c r="L959" i="42"/>
  <c r="L960" i="42"/>
  <c r="L961" i="42"/>
  <c r="L962" i="42"/>
  <c r="L963" i="42"/>
  <c r="L964" i="42"/>
  <c r="L965" i="42"/>
  <c r="L966" i="42"/>
  <c r="L967" i="42"/>
  <c r="L968" i="42"/>
  <c r="L969" i="42"/>
  <c r="L970" i="42"/>
  <c r="L971" i="42"/>
  <c r="L972" i="42"/>
  <c r="L973" i="42"/>
  <c r="L974" i="42"/>
  <c r="L975" i="42"/>
  <c r="L976" i="42"/>
  <c r="L977" i="42"/>
  <c r="L978" i="42"/>
  <c r="L979" i="42"/>
  <c r="L980" i="42"/>
  <c r="L981" i="42"/>
  <c r="L982" i="42"/>
  <c r="L983" i="42"/>
  <c r="L984" i="42"/>
  <c r="L985" i="42"/>
  <c r="L986" i="42"/>
  <c r="L987" i="42"/>
  <c r="L988" i="42"/>
  <c r="L989" i="42"/>
  <c r="L990" i="42"/>
  <c r="L991" i="42"/>
  <c r="L992" i="42"/>
  <c r="L993" i="42"/>
  <c r="L1085" i="42"/>
  <c r="L1086" i="42"/>
  <c r="L1087" i="42"/>
  <c r="L1088" i="42"/>
  <c r="L1089" i="42"/>
  <c r="L1090" i="42"/>
  <c r="L1091" i="42"/>
  <c r="L958" i="42"/>
  <c r="L1116" i="42"/>
  <c r="L1117" i="42"/>
  <c r="L1118" i="42"/>
  <c r="L1119" i="42"/>
  <c r="L1120" i="42"/>
  <c r="L1121" i="42"/>
  <c r="L1122" i="42"/>
  <c r="L1123" i="42"/>
  <c r="L1159" i="42"/>
  <c r="L1160" i="42"/>
  <c r="L1161" i="42"/>
  <c r="L1162" i="42"/>
  <c r="L1163" i="42"/>
  <c r="L1164" i="42"/>
  <c r="L1165" i="42"/>
  <c r="L1166" i="42"/>
  <c r="L1167" i="42"/>
  <c r="L1019" i="42"/>
  <c r="L1020" i="42"/>
  <c r="L1021" i="42"/>
  <c r="L1022" i="42"/>
  <c r="L1023" i="42"/>
  <c r="L1024" i="42"/>
  <c r="L1025" i="42"/>
  <c r="L1026" i="42"/>
  <c r="L1027" i="42"/>
  <c r="L1028" i="42"/>
  <c r="L1029" i="42"/>
  <c r="L1030" i="42"/>
  <c r="L1031" i="42"/>
  <c r="L1032" i="42"/>
  <c r="L1033" i="42"/>
  <c r="L1034" i="42"/>
  <c r="L1035" i="42"/>
  <c r="L1036" i="42"/>
  <c r="L1037" i="42"/>
  <c r="L1038" i="42"/>
  <c r="L1039" i="42"/>
  <c r="L1040" i="42"/>
  <c r="L1041" i="42"/>
  <c r="L1042" i="42"/>
  <c r="L1043" i="42"/>
  <c r="L1044" i="42"/>
  <c r="L1045" i="42"/>
  <c r="L1046" i="42"/>
  <c r="L1047" i="42"/>
  <c r="L1048" i="42"/>
  <c r="L1049" i="42"/>
  <c r="L1050" i="42"/>
  <c r="L1051" i="42"/>
  <c r="L1052" i="42"/>
  <c r="L1053" i="42"/>
  <c r="L1054" i="42"/>
  <c r="L1055" i="42"/>
  <c r="L1056" i="42"/>
  <c r="L1057" i="42"/>
  <c r="L1058" i="42"/>
  <c r="L1059" i="42"/>
  <c r="L1060" i="42"/>
  <c r="L1061" i="42"/>
  <c r="L1062" i="42"/>
  <c r="L1063" i="42"/>
  <c r="L1064" i="42"/>
  <c r="L1065" i="42"/>
  <c r="L1066" i="42"/>
  <c r="L1067" i="42"/>
  <c r="L1068" i="42"/>
  <c r="L1069" i="42"/>
  <c r="L1070" i="42"/>
  <c r="L1071" i="42"/>
  <c r="L1072" i="42"/>
  <c r="L1073" i="42"/>
  <c r="L1074" i="42"/>
  <c r="L1075" i="42"/>
  <c r="L1076" i="42"/>
  <c r="L1077" i="42"/>
  <c r="L1078" i="42"/>
  <c r="L1079" i="42"/>
  <c r="L1080" i="42"/>
  <c r="L1081" i="42"/>
  <c r="L1082" i="42"/>
  <c r="L1083" i="42"/>
  <c r="L1168" i="42"/>
  <c r="L1169" i="42"/>
  <c r="L1170" i="42"/>
  <c r="L994" i="42"/>
  <c r="L995" i="42"/>
  <c r="L996" i="42"/>
  <c r="L997" i="42"/>
  <c r="L998" i="42"/>
  <c r="L1092" i="42"/>
  <c r="L1093" i="42"/>
  <c r="L1094" i="42"/>
  <c r="L1095" i="42"/>
  <c r="L1096" i="42"/>
  <c r="L1097" i="42"/>
  <c r="L1098" i="42"/>
  <c r="L1099" i="42"/>
  <c r="L1100" i="42"/>
  <c r="L1101" i="42"/>
  <c r="L1102" i="42"/>
  <c r="L1103" i="42"/>
  <c r="L1104" i="42"/>
  <c r="L1105" i="42"/>
  <c r="L1106" i="42"/>
  <c r="L1107" i="42"/>
  <c r="L1108" i="42"/>
  <c r="L1109" i="42"/>
  <c r="L1110" i="42"/>
  <c r="L1111" i="42"/>
  <c r="L1112" i="42"/>
  <c r="L1113" i="42"/>
  <c r="L1114" i="42"/>
  <c r="L1115" i="42"/>
  <c r="L999" i="42"/>
  <c r="L1000" i="42"/>
  <c r="L1001" i="42"/>
  <c r="L1002" i="42"/>
  <c r="L1003" i="42"/>
  <c r="L1004" i="42"/>
  <c r="L1005" i="42"/>
  <c r="L1006" i="42"/>
  <c r="L1124" i="42"/>
  <c r="L1125" i="42"/>
  <c r="L1126" i="42"/>
  <c r="L1127" i="42"/>
  <c r="L1128" i="42"/>
  <c r="L1129" i="42"/>
  <c r="L1130" i="42"/>
  <c r="L1131" i="42"/>
  <c r="L1132" i="42"/>
  <c r="L1133" i="42"/>
  <c r="L1134" i="42"/>
  <c r="L1135" i="42"/>
  <c r="L1136" i="42"/>
  <c r="L1137" i="42"/>
  <c r="L1138" i="42"/>
  <c r="L1139" i="42"/>
  <c r="L1140" i="42"/>
  <c r="L1141" i="42"/>
  <c r="L1142" i="42"/>
  <c r="L1143" i="42"/>
  <c r="L1144" i="42"/>
  <c r="L1145" i="42"/>
  <c r="L1146" i="42"/>
  <c r="L1147" i="42"/>
  <c r="L1148" i="42"/>
  <c r="L1149" i="42"/>
  <c r="L1150" i="42"/>
  <c r="L1151" i="42"/>
  <c r="L1152" i="42"/>
  <c r="L1153" i="42"/>
  <c r="L1154" i="42"/>
  <c r="L1155" i="42"/>
  <c r="L1156" i="42"/>
  <c r="L1157" i="42"/>
  <c r="L1158" i="42"/>
  <c r="L1007" i="42"/>
  <c r="L1008" i="42"/>
  <c r="L1009" i="42"/>
  <c r="L1010" i="42"/>
  <c r="L1011" i="42"/>
  <c r="L1012" i="42"/>
  <c r="L1013" i="42"/>
  <c r="L1014" i="42"/>
  <c r="L1015" i="42"/>
  <c r="L1016" i="42"/>
  <c r="L1017" i="42"/>
  <c r="L1018" i="42"/>
  <c r="L1171" i="42"/>
  <c r="L1172" i="42"/>
  <c r="L1173" i="42"/>
  <c r="L1174" i="42"/>
  <c r="L1175" i="42"/>
  <c r="L1176" i="42"/>
  <c r="L1177" i="42"/>
  <c r="L1178" i="42"/>
  <c r="L1179" i="42"/>
  <c r="L1180" i="42"/>
  <c r="L1181" i="42"/>
  <c r="L1182" i="42"/>
  <c r="L1183" i="42"/>
  <c r="L1184" i="42"/>
  <c r="L1185" i="42"/>
  <c r="L1186" i="42"/>
  <c r="L1187" i="42"/>
  <c r="L1188" i="42"/>
  <c r="L1189" i="42"/>
  <c r="L1190" i="42"/>
  <c r="L1191" i="42"/>
  <c r="L1192" i="42"/>
  <c r="L1193" i="42"/>
  <c r="L1194" i="42"/>
  <c r="L1195" i="42"/>
  <c r="L1196" i="42"/>
  <c r="L1197" i="42"/>
  <c r="L1198" i="42"/>
  <c r="L1199" i="42"/>
  <c r="L1200" i="42"/>
  <c r="L1201" i="42"/>
  <c r="L1202" i="42"/>
  <c r="L1203" i="42"/>
  <c r="L1204" i="42"/>
  <c r="L1205" i="42"/>
  <c r="L1206" i="42"/>
  <c r="L1207" i="42"/>
  <c r="L1208" i="42"/>
  <c r="L1209" i="42"/>
  <c r="L1210" i="42"/>
  <c r="L1211" i="42"/>
  <c r="L1212" i="42"/>
  <c r="L1213" i="42"/>
  <c r="L1214" i="42"/>
  <c r="L1215" i="42"/>
  <c r="L1216" i="42"/>
  <c r="L1229" i="42"/>
  <c r="L1217" i="42"/>
  <c r="L1218" i="42"/>
  <c r="L1219" i="42"/>
  <c r="L1221" i="42"/>
  <c r="L1222" i="42"/>
  <c r="L1223" i="42"/>
  <c r="L1224" i="42"/>
  <c r="L1225" i="42"/>
  <c r="L1220" i="42"/>
  <c r="L1227" i="42"/>
  <c r="L1228" i="42"/>
  <c r="L1226" i="42"/>
  <c r="L1230" i="42"/>
  <c r="L1231" i="42"/>
  <c r="L1232" i="42"/>
  <c r="L1233" i="42"/>
  <c r="L1234" i="42"/>
  <c r="L1235" i="42"/>
  <c r="L1236" i="42"/>
  <c r="L1237" i="42"/>
  <c r="L1238" i="42"/>
  <c r="L1239" i="42"/>
  <c r="L1240" i="42"/>
  <c r="L1241" i="42"/>
  <c r="L1242" i="42"/>
  <c r="L1243" i="42"/>
  <c r="L1244" i="42"/>
  <c r="L1245" i="42"/>
  <c r="L1246" i="42"/>
  <c r="L1247" i="42"/>
  <c r="L1248" i="42"/>
  <c r="L1249" i="42"/>
  <c r="L1250" i="42"/>
  <c r="L1251" i="42"/>
  <c r="L1252" i="42"/>
  <c r="L1253" i="42"/>
  <c r="L1254" i="42"/>
  <c r="L1255" i="42"/>
  <c r="L1256" i="42"/>
  <c r="L1257" i="42"/>
  <c r="L1258" i="42"/>
  <c r="L1259" i="42"/>
  <c r="L1260" i="42"/>
  <c r="L1261" i="42"/>
  <c r="L1262" i="42"/>
  <c r="L1263" i="42"/>
  <c r="L1264" i="42"/>
  <c r="L1265" i="42"/>
  <c r="L1266" i="42"/>
  <c r="L1267" i="42"/>
  <c r="L1268" i="42"/>
  <c r="L1269" i="42"/>
  <c r="L1270" i="42"/>
  <c r="L1271" i="42"/>
  <c r="L1272" i="42"/>
  <c r="L1273" i="42"/>
  <c r="L1274" i="42"/>
  <c r="L1275" i="42"/>
  <c r="L1276" i="42"/>
  <c r="L1277" i="42"/>
  <c r="L1278" i="42"/>
  <c r="L1279" i="42"/>
  <c r="L1280" i="42"/>
  <c r="L1281" i="42"/>
  <c r="L1282" i="42"/>
  <c r="L1283" i="42"/>
  <c r="L1284" i="42"/>
  <c r="L1285" i="42"/>
  <c r="L1286" i="42"/>
  <c r="L1287" i="42"/>
  <c r="L1288" i="42"/>
  <c r="L1289" i="42"/>
  <c r="L1290" i="42"/>
  <c r="L1291" i="42"/>
  <c r="L1292" i="42"/>
  <c r="L1293" i="42"/>
  <c r="L1294" i="42"/>
  <c r="L1295" i="42"/>
  <c r="L1296" i="42"/>
  <c r="L1297" i="42"/>
  <c r="L1298" i="42"/>
  <c r="L1299" i="42"/>
  <c r="L1300" i="42"/>
  <c r="L1301" i="42"/>
  <c r="L1302" i="42"/>
  <c r="L1303" i="42"/>
  <c r="L1304" i="42"/>
  <c r="L1305" i="42"/>
  <c r="L1306" i="42"/>
  <c r="L1307" i="42"/>
  <c r="L1308" i="42"/>
  <c r="L1309" i="42"/>
  <c r="L1310" i="42"/>
  <c r="L1311" i="42"/>
  <c r="L1312" i="42"/>
  <c r="L1313" i="42"/>
  <c r="L1314" i="42"/>
  <c r="L1315" i="42"/>
  <c r="L1316" i="42"/>
  <c r="L1317" i="42"/>
  <c r="L1318" i="42"/>
  <c r="L1319" i="42"/>
  <c r="L1320" i="42"/>
  <c r="L1321" i="42"/>
  <c r="L1322" i="42"/>
  <c r="L1323" i="42"/>
  <c r="L1324" i="42"/>
  <c r="L1325" i="42"/>
  <c r="L1326" i="42"/>
  <c r="L1327" i="42"/>
  <c r="L1328" i="42"/>
  <c r="L1329" i="42"/>
  <c r="L1330" i="42"/>
  <c r="L1331" i="42"/>
  <c r="L1332" i="42"/>
  <c r="L1333" i="42"/>
  <c r="L1334" i="42"/>
  <c r="L1335" i="42"/>
  <c r="L1336" i="42"/>
  <c r="L1337" i="42"/>
  <c r="L1338" i="42"/>
  <c r="L1339" i="42"/>
  <c r="L1340" i="42"/>
  <c r="L1341" i="42"/>
  <c r="L1342" i="42"/>
  <c r="L1343" i="42"/>
  <c r="L1344" i="42"/>
  <c r="L1345" i="42"/>
  <c r="L1346" i="42"/>
  <c r="L1347" i="42"/>
  <c r="L1348" i="42"/>
  <c r="L1349" i="42"/>
  <c r="L1350" i="42"/>
  <c r="L1351" i="42"/>
  <c r="L1352" i="42"/>
  <c r="L1353" i="42"/>
  <c r="L1354" i="42"/>
  <c r="L1355" i="42"/>
  <c r="L1356" i="42"/>
  <c r="L1357" i="42"/>
  <c r="L1358" i="42"/>
  <c r="L1359" i="42"/>
  <c r="L1360" i="42"/>
  <c r="L1361" i="42"/>
  <c r="L1362" i="42"/>
  <c r="L1363" i="42"/>
  <c r="L1364" i="42"/>
  <c r="L1365" i="42"/>
  <c r="L1366" i="42"/>
  <c r="L1367" i="42"/>
  <c r="L1368" i="42"/>
  <c r="L1369" i="42"/>
  <c r="L1370" i="42"/>
  <c r="L1371" i="42"/>
  <c r="L1372" i="42"/>
  <c r="L1373" i="42"/>
  <c r="L1374" i="42"/>
  <c r="L1375" i="42"/>
  <c r="L1376" i="42"/>
  <c r="L1377" i="42"/>
  <c r="L1378" i="42"/>
  <c r="L1379" i="42"/>
  <c r="L1380" i="42"/>
  <c r="L1381" i="42"/>
  <c r="L1382" i="42"/>
  <c r="L1383" i="42"/>
  <c r="L1384" i="42"/>
  <c r="L1385" i="42"/>
  <c r="L1386" i="42"/>
  <c r="L1387" i="42"/>
  <c r="L1388" i="42"/>
  <c r="L1389" i="42"/>
  <c r="L1390" i="42"/>
  <c r="L1391" i="42"/>
  <c r="L1392" i="42"/>
  <c r="L1393" i="42"/>
  <c r="L1394" i="42"/>
  <c r="L1395" i="42"/>
  <c r="L1396" i="42"/>
  <c r="L1397" i="42"/>
  <c r="L1398" i="42"/>
  <c r="L1399" i="42"/>
  <c r="L1400" i="42"/>
  <c r="L1401" i="42"/>
  <c r="L1402" i="42"/>
  <c r="L1403" i="42"/>
  <c r="L1404" i="42"/>
  <c r="L1405" i="42"/>
  <c r="L1406" i="42"/>
  <c r="L1407" i="42"/>
  <c r="L1408" i="42"/>
  <c r="L1409" i="42"/>
  <c r="L1410" i="42"/>
  <c r="L1411" i="42"/>
  <c r="L1412" i="42"/>
  <c r="L1413" i="42"/>
  <c r="L1414" i="42"/>
  <c r="L1415" i="42"/>
  <c r="L1416" i="42"/>
  <c r="L1417" i="42"/>
  <c r="L1418" i="42"/>
  <c r="L1419" i="42"/>
  <c r="L1420" i="42"/>
  <c r="L1421" i="42"/>
  <c r="L1422" i="42"/>
  <c r="L1423" i="42"/>
  <c r="L1424" i="42"/>
  <c r="L1425" i="42"/>
  <c r="L1426" i="42"/>
  <c r="L1427" i="42"/>
  <c r="L1428" i="42"/>
  <c r="L1429" i="42"/>
  <c r="L1430" i="42"/>
  <c r="L1431" i="42"/>
  <c r="L1432" i="42"/>
  <c r="L1433" i="42"/>
  <c r="L1434" i="42"/>
  <c r="L1435" i="42"/>
  <c r="L1436" i="42"/>
  <c r="L1437" i="42"/>
  <c r="L1438" i="42"/>
  <c r="L1439" i="42"/>
  <c r="L1440" i="42"/>
  <c r="L1441" i="42"/>
  <c r="L1442" i="42"/>
  <c r="L1443" i="42"/>
  <c r="L1444" i="42"/>
  <c r="L1445" i="42"/>
  <c r="L1446" i="42"/>
  <c r="L1447" i="42"/>
  <c r="L1448" i="42"/>
  <c r="L1449" i="42"/>
  <c r="L1450" i="42"/>
  <c r="L1451" i="42"/>
  <c r="L1452" i="42"/>
  <c r="L1453" i="42"/>
  <c r="L1454" i="42"/>
  <c r="L1455" i="42"/>
  <c r="L1456" i="42"/>
  <c r="L1457" i="42"/>
  <c r="L1458" i="42"/>
  <c r="L1459" i="42"/>
  <c r="L1460" i="42"/>
  <c r="L1461" i="42"/>
  <c r="L1462" i="42"/>
  <c r="L1463" i="42"/>
  <c r="L1464" i="42"/>
  <c r="L1465" i="42"/>
  <c r="L1466" i="42"/>
  <c r="L1467" i="42"/>
  <c r="L1468" i="42"/>
  <c r="L1469" i="42"/>
  <c r="L1470" i="42"/>
  <c r="L1471" i="42"/>
  <c r="L1472" i="42"/>
  <c r="L1473" i="42"/>
  <c r="L1474" i="42"/>
  <c r="L1475" i="42"/>
  <c r="L1476" i="42"/>
  <c r="L1477" i="42"/>
  <c r="L1478" i="42"/>
  <c r="L1479" i="42"/>
  <c r="L1480" i="42"/>
  <c r="L1481" i="42"/>
  <c r="L1482" i="42"/>
  <c r="L1483" i="42"/>
  <c r="L1484" i="42"/>
  <c r="L1485" i="42"/>
  <c r="L1486" i="42"/>
  <c r="L1487" i="42"/>
  <c r="L1488" i="42"/>
  <c r="L1489" i="42"/>
  <c r="L1490" i="42"/>
  <c r="L1491" i="42"/>
  <c r="L1492" i="42"/>
  <c r="L1493" i="42"/>
  <c r="L1494" i="42"/>
  <c r="L1495" i="42"/>
  <c r="L1496" i="42"/>
  <c r="L1497" i="42"/>
  <c r="L1498" i="42"/>
  <c r="L1499" i="42"/>
  <c r="L1500" i="42"/>
  <c r="L1501" i="42"/>
  <c r="L1502" i="42"/>
  <c r="L1503" i="42"/>
  <c r="L1504" i="42"/>
  <c r="L1505" i="42"/>
  <c r="L1506" i="42"/>
  <c r="L1507" i="42"/>
  <c r="L1508" i="42"/>
  <c r="L1509" i="42"/>
  <c r="L1510" i="42"/>
  <c r="L1511" i="42"/>
  <c r="L1512" i="42"/>
  <c r="L1513" i="42"/>
  <c r="L1514" i="42"/>
  <c r="L1515" i="42"/>
  <c r="L1516" i="42"/>
  <c r="L1517" i="42"/>
  <c r="L1518" i="42"/>
  <c r="L1519" i="42"/>
  <c r="L1520" i="42"/>
  <c r="L1521" i="42"/>
  <c r="L1522" i="42"/>
  <c r="L1523" i="42"/>
  <c r="L1524" i="42"/>
  <c r="L1525" i="42"/>
  <c r="L1526" i="42"/>
  <c r="L1527" i="42"/>
  <c r="L1528" i="42"/>
  <c r="L1529" i="42"/>
  <c r="L1530" i="42"/>
  <c r="L1531" i="42"/>
  <c r="L1532" i="42"/>
  <c r="L1533" i="42"/>
  <c r="L1534" i="42"/>
  <c r="L1535" i="42"/>
  <c r="L1536" i="42"/>
  <c r="L1537" i="42"/>
  <c r="L1538" i="42"/>
  <c r="L1539" i="42"/>
  <c r="L1540" i="42"/>
  <c r="L1541" i="42"/>
  <c r="L1542" i="42"/>
  <c r="L1543" i="42"/>
  <c r="L1544" i="42"/>
  <c r="L1545" i="42"/>
  <c r="L1546" i="42"/>
  <c r="L1547" i="42"/>
  <c r="L1548" i="42"/>
  <c r="L1549" i="42"/>
  <c r="L1550" i="42"/>
  <c r="L1551" i="42"/>
  <c r="L1552" i="42"/>
  <c r="L1553" i="42"/>
  <c r="L1554" i="42"/>
  <c r="L1555" i="42"/>
  <c r="L1556" i="42"/>
  <c r="L1557" i="42"/>
  <c r="L1558" i="42"/>
  <c r="L1559" i="42"/>
  <c r="L1560" i="42"/>
  <c r="L1561" i="42"/>
  <c r="L1562" i="42"/>
  <c r="L1563" i="42"/>
  <c r="L1564" i="42"/>
  <c r="L1565" i="42"/>
  <c r="L1566" i="42"/>
  <c r="L1567" i="42"/>
  <c r="L1568" i="42"/>
  <c r="L1569" i="42"/>
  <c r="L1570" i="42"/>
  <c r="L1571" i="42"/>
  <c r="L1572" i="42"/>
  <c r="L1573" i="42"/>
  <c r="L1574" i="42"/>
  <c r="L1575" i="42"/>
  <c r="M3" i="42"/>
  <c r="M4" i="42"/>
  <c r="M5" i="42"/>
  <c r="M6" i="42"/>
  <c r="M7" i="42"/>
  <c r="M8" i="42"/>
  <c r="M9" i="42"/>
  <c r="M10" i="42"/>
  <c r="M11" i="42"/>
  <c r="M12" i="42"/>
  <c r="M13" i="42"/>
  <c r="M14" i="42"/>
  <c r="M15" i="42"/>
  <c r="M16" i="42"/>
  <c r="M17" i="42"/>
  <c r="M18" i="42"/>
  <c r="M19" i="42"/>
  <c r="M20" i="42"/>
  <c r="M21" i="42"/>
  <c r="M22" i="42"/>
  <c r="M23" i="42"/>
  <c r="M24" i="42"/>
  <c r="M25" i="42"/>
  <c r="M26" i="42"/>
  <c r="M27" i="42"/>
  <c r="M28" i="42"/>
  <c r="M29" i="42"/>
  <c r="M30" i="42"/>
  <c r="M31" i="42"/>
  <c r="M32" i="42"/>
  <c r="M33" i="42"/>
  <c r="M34" i="42"/>
  <c r="M35" i="42"/>
  <c r="M36" i="42"/>
  <c r="M37" i="42"/>
  <c r="M38" i="42"/>
  <c r="M39" i="42"/>
  <c r="M40" i="42"/>
  <c r="M41" i="42"/>
  <c r="M42" i="42"/>
  <c r="M43" i="42"/>
  <c r="M44" i="42"/>
  <c r="M45" i="42"/>
  <c r="M46" i="42"/>
  <c r="M47" i="42"/>
  <c r="M48" i="42"/>
  <c r="M49" i="42"/>
  <c r="M50" i="42"/>
  <c r="M51" i="42"/>
  <c r="M52" i="42"/>
  <c r="M53" i="42"/>
  <c r="M54" i="42"/>
  <c r="M55" i="42"/>
  <c r="M56" i="42"/>
  <c r="M57" i="42"/>
  <c r="M58" i="42"/>
  <c r="M59" i="42"/>
  <c r="M60" i="42"/>
  <c r="M61" i="42"/>
  <c r="M62" i="42"/>
  <c r="M63" i="42"/>
  <c r="M64" i="42"/>
  <c r="M65" i="42"/>
  <c r="M66" i="42"/>
  <c r="M67" i="42"/>
  <c r="M68" i="42"/>
  <c r="M69" i="42"/>
  <c r="M70" i="42"/>
  <c r="M71" i="42"/>
  <c r="M72" i="42"/>
  <c r="M73" i="42"/>
  <c r="M74" i="42"/>
  <c r="M75" i="42"/>
  <c r="M76" i="42"/>
  <c r="M77" i="42"/>
  <c r="M78" i="42"/>
  <c r="M79" i="42"/>
  <c r="M80" i="42"/>
  <c r="M81" i="42"/>
  <c r="M82" i="42"/>
  <c r="M83" i="42"/>
  <c r="M84" i="42"/>
  <c r="M85" i="42"/>
  <c r="M86" i="42"/>
  <c r="M87" i="42"/>
  <c r="M88" i="42"/>
  <c r="M89" i="42"/>
  <c r="M90" i="42"/>
  <c r="M91" i="42"/>
  <c r="M92" i="42"/>
  <c r="M93" i="42"/>
  <c r="M94" i="42"/>
  <c r="M95" i="42"/>
  <c r="M96" i="42"/>
  <c r="M97" i="42"/>
  <c r="M98" i="42"/>
  <c r="M99" i="42"/>
  <c r="M100" i="42"/>
  <c r="M101" i="42"/>
  <c r="M102" i="42"/>
  <c r="M103" i="42"/>
  <c r="M104" i="42"/>
  <c r="M105" i="42"/>
  <c r="M106" i="42"/>
  <c r="M107" i="42"/>
  <c r="M108" i="42"/>
  <c r="M109" i="42"/>
  <c r="M110" i="42"/>
  <c r="M111" i="42"/>
  <c r="M112" i="42"/>
  <c r="M113" i="42"/>
  <c r="M114" i="42"/>
  <c r="M115" i="42"/>
  <c r="M116" i="42"/>
  <c r="M117" i="42"/>
  <c r="M118" i="42"/>
  <c r="M119" i="42"/>
  <c r="M120" i="42"/>
  <c r="M121" i="42"/>
  <c r="M122" i="42"/>
  <c r="M123" i="42"/>
  <c r="M124" i="42"/>
  <c r="M125" i="42"/>
  <c r="M126" i="42"/>
  <c r="M127" i="42"/>
  <c r="M128" i="42"/>
  <c r="M129" i="42"/>
  <c r="M130" i="42"/>
  <c r="M131" i="42"/>
  <c r="M132" i="42"/>
  <c r="M133" i="42"/>
  <c r="M134" i="42"/>
  <c r="M135" i="42"/>
  <c r="M136" i="42"/>
  <c r="M137" i="42"/>
  <c r="M138" i="42"/>
  <c r="M139" i="42"/>
  <c r="M140" i="42"/>
  <c r="M141" i="42"/>
  <c r="M142" i="42"/>
  <c r="M143" i="42"/>
  <c r="M144" i="42"/>
  <c r="M145" i="42"/>
  <c r="M146" i="42"/>
  <c r="M147" i="42"/>
  <c r="M148" i="42"/>
  <c r="M149" i="42"/>
  <c r="M150" i="42"/>
  <c r="M151" i="42"/>
  <c r="M152" i="42"/>
  <c r="M153" i="42"/>
  <c r="M154" i="42"/>
  <c r="M155" i="42"/>
  <c r="M156" i="42"/>
  <c r="M157" i="42"/>
  <c r="M158" i="42"/>
  <c r="M159" i="42"/>
  <c r="M160" i="42"/>
  <c r="M161" i="42"/>
  <c r="M162" i="42"/>
  <c r="M163" i="42"/>
  <c r="M164" i="42"/>
  <c r="M165" i="42"/>
  <c r="M166" i="42"/>
  <c r="M167" i="42"/>
  <c r="M168" i="42"/>
  <c r="M169" i="42"/>
  <c r="M170" i="42"/>
  <c r="M171" i="42"/>
  <c r="M172" i="42"/>
  <c r="M173" i="42"/>
  <c r="M174" i="42"/>
  <c r="M175" i="42"/>
  <c r="M176" i="42"/>
  <c r="M177" i="42"/>
  <c r="M178" i="42"/>
  <c r="M179" i="42"/>
  <c r="M180" i="42"/>
  <c r="M181" i="42"/>
  <c r="M182" i="42"/>
  <c r="M183" i="42"/>
  <c r="M184" i="42"/>
  <c r="M185" i="42"/>
  <c r="M186" i="42"/>
  <c r="M187" i="42"/>
  <c r="M188" i="42"/>
  <c r="M189" i="42"/>
  <c r="M190" i="42"/>
  <c r="M191" i="42"/>
  <c r="M192" i="42"/>
  <c r="M193" i="42"/>
  <c r="M194" i="42"/>
  <c r="M195" i="42"/>
  <c r="M196" i="42"/>
  <c r="M197" i="42"/>
  <c r="M198" i="42"/>
  <c r="M199" i="42"/>
  <c r="M200" i="42"/>
  <c r="M201" i="42"/>
  <c r="M202" i="42"/>
  <c r="M203" i="42"/>
  <c r="M204" i="42"/>
  <c r="M205" i="42"/>
  <c r="M206" i="42"/>
  <c r="M207" i="42"/>
  <c r="M208" i="42"/>
  <c r="M209" i="42"/>
  <c r="M210" i="42"/>
  <c r="M211" i="42"/>
  <c r="M212" i="42"/>
  <c r="M213" i="42"/>
  <c r="M214" i="42"/>
  <c r="M215" i="42"/>
  <c r="M216" i="42"/>
  <c r="M217" i="42"/>
  <c r="M218" i="42"/>
  <c r="M219" i="42"/>
  <c r="M220" i="42"/>
  <c r="M221" i="42"/>
  <c r="M222" i="42"/>
  <c r="M223" i="42"/>
  <c r="M224" i="42"/>
  <c r="M225" i="42"/>
  <c r="M226" i="42"/>
  <c r="M227" i="42"/>
  <c r="M228" i="42"/>
  <c r="M229" i="42"/>
  <c r="M230" i="42"/>
  <c r="M231" i="42"/>
  <c r="M232" i="42"/>
  <c r="M233" i="42"/>
  <c r="M234" i="42"/>
  <c r="M235" i="42"/>
  <c r="M236" i="42"/>
  <c r="M237" i="42"/>
  <c r="M238" i="42"/>
  <c r="M239" i="42"/>
  <c r="M240" i="42"/>
  <c r="M241" i="42"/>
  <c r="M242" i="42"/>
  <c r="M243" i="42"/>
  <c r="M244" i="42"/>
  <c r="M245" i="42"/>
  <c r="M246" i="42"/>
  <c r="M247" i="42"/>
  <c r="M248" i="42"/>
  <c r="M249" i="42"/>
  <c r="M250" i="42"/>
  <c r="M251" i="42"/>
  <c r="M252" i="42"/>
  <c r="M253" i="42"/>
  <c r="M254" i="42"/>
  <c r="M255" i="42"/>
  <c r="M256" i="42"/>
  <c r="M257" i="42"/>
  <c r="M258" i="42"/>
  <c r="M259" i="42"/>
  <c r="M260" i="42"/>
  <c r="M261" i="42"/>
  <c r="M262" i="42"/>
  <c r="M263" i="42"/>
  <c r="M264" i="42"/>
  <c r="M265" i="42"/>
  <c r="M266" i="42"/>
  <c r="M267" i="42"/>
  <c r="M268" i="42"/>
  <c r="M269" i="42"/>
  <c r="M270" i="42"/>
  <c r="M271" i="42"/>
  <c r="M272" i="42"/>
  <c r="M273" i="42"/>
  <c r="M274" i="42"/>
  <c r="M275" i="42"/>
  <c r="M276" i="42"/>
  <c r="M277" i="42"/>
  <c r="M278" i="42"/>
  <c r="M279" i="42"/>
  <c r="M280" i="42"/>
  <c r="M281" i="42"/>
  <c r="M282" i="42"/>
  <c r="M283" i="42"/>
  <c r="M284" i="42"/>
  <c r="M285" i="42"/>
  <c r="M286" i="42"/>
  <c r="M287" i="42"/>
  <c r="M288" i="42"/>
  <c r="M289" i="42"/>
  <c r="M290" i="42"/>
  <c r="M291" i="42"/>
  <c r="M292" i="42"/>
  <c r="M293" i="42"/>
  <c r="M294" i="42"/>
  <c r="M295" i="42"/>
  <c r="M296" i="42"/>
  <c r="M297" i="42"/>
  <c r="M298" i="42"/>
  <c r="M299" i="42"/>
  <c r="M300" i="42"/>
  <c r="M301" i="42"/>
  <c r="M302" i="42"/>
  <c r="M303" i="42"/>
  <c r="M304" i="42"/>
  <c r="M305" i="42"/>
  <c r="M306" i="42"/>
  <c r="M307" i="42"/>
  <c r="M308" i="42"/>
  <c r="M309" i="42"/>
  <c r="M310" i="42"/>
  <c r="M311" i="42"/>
  <c r="M312" i="42"/>
  <c r="M313" i="42"/>
  <c r="M314" i="42"/>
  <c r="M315" i="42"/>
  <c r="M316" i="42"/>
  <c r="M317" i="42"/>
  <c r="M318" i="42"/>
  <c r="M319" i="42"/>
  <c r="M320" i="42"/>
  <c r="M321" i="42"/>
  <c r="M322" i="42"/>
  <c r="M323" i="42"/>
  <c r="M324" i="42"/>
  <c r="M325" i="42"/>
  <c r="M326" i="42"/>
  <c r="M327" i="42"/>
  <c r="M328" i="42"/>
  <c r="M329" i="42"/>
  <c r="M330" i="42"/>
  <c r="M331" i="42"/>
  <c r="M332" i="42"/>
  <c r="M333" i="42"/>
  <c r="M334" i="42"/>
  <c r="M335" i="42"/>
  <c r="M336" i="42"/>
  <c r="M337" i="42"/>
  <c r="M338" i="42"/>
  <c r="M339" i="42"/>
  <c r="M340" i="42"/>
  <c r="M341" i="42"/>
  <c r="M342" i="42"/>
  <c r="M343" i="42"/>
  <c r="M344" i="42"/>
  <c r="M345" i="42"/>
  <c r="M346" i="42"/>
  <c r="M347" i="42"/>
  <c r="M348" i="42"/>
  <c r="M349" i="42"/>
  <c r="M350" i="42"/>
  <c r="M351" i="42"/>
  <c r="M352" i="42"/>
  <c r="M353" i="42"/>
  <c r="M354" i="42"/>
  <c r="M355" i="42"/>
  <c r="M356" i="42"/>
  <c r="M357" i="42"/>
  <c r="M358" i="42"/>
  <c r="M359" i="42"/>
  <c r="M360" i="42"/>
  <c r="M361" i="42"/>
  <c r="M362" i="42"/>
  <c r="M363" i="42"/>
  <c r="M364" i="42"/>
  <c r="M365" i="42"/>
  <c r="M366" i="42"/>
  <c r="M367" i="42"/>
  <c r="M368" i="42"/>
  <c r="M369" i="42"/>
  <c r="M370" i="42"/>
  <c r="M371" i="42"/>
  <c r="M372" i="42"/>
  <c r="M373" i="42"/>
  <c r="M374" i="42"/>
  <c r="M375" i="42"/>
  <c r="M376" i="42"/>
  <c r="M377" i="42"/>
  <c r="M378" i="42"/>
  <c r="M379" i="42"/>
  <c r="M380" i="42"/>
  <c r="M381" i="42"/>
  <c r="M382" i="42"/>
  <c r="M383" i="42"/>
  <c r="M384" i="42"/>
  <c r="M385" i="42"/>
  <c r="M386" i="42"/>
  <c r="M387" i="42"/>
  <c r="M388" i="42"/>
  <c r="M389" i="42"/>
  <c r="M390" i="42"/>
  <c r="M391" i="42"/>
  <c r="M392" i="42"/>
  <c r="M393" i="42"/>
  <c r="M394" i="42"/>
  <c r="M395" i="42"/>
  <c r="M396" i="42"/>
  <c r="M397" i="42"/>
  <c r="M398" i="42"/>
  <c r="M399" i="42"/>
  <c r="M400" i="42"/>
  <c r="M401" i="42"/>
  <c r="M402" i="42"/>
  <c r="M403" i="42"/>
  <c r="M404" i="42"/>
  <c r="M405" i="42"/>
  <c r="M406" i="42"/>
  <c r="M407" i="42"/>
  <c r="M408" i="42"/>
  <c r="M409" i="42"/>
  <c r="M410" i="42"/>
  <c r="M411" i="42"/>
  <c r="M412" i="42"/>
  <c r="M413" i="42"/>
  <c r="M414" i="42"/>
  <c r="M415" i="42"/>
  <c r="M416" i="42"/>
  <c r="M417" i="42"/>
  <c r="M418" i="42"/>
  <c r="M419" i="42"/>
  <c r="M420" i="42"/>
  <c r="M421" i="42"/>
  <c r="M422" i="42"/>
  <c r="M423" i="42"/>
  <c r="M424" i="42"/>
  <c r="M425" i="42"/>
  <c r="M426" i="42"/>
  <c r="M427" i="42"/>
  <c r="M428" i="42"/>
  <c r="M429" i="42"/>
  <c r="M430" i="42"/>
  <c r="M431" i="42"/>
  <c r="M432" i="42"/>
  <c r="M433" i="42"/>
  <c r="M434" i="42"/>
  <c r="M435" i="42"/>
  <c r="M436" i="42"/>
  <c r="M437" i="42"/>
  <c r="M438" i="42"/>
  <c r="M439" i="42"/>
  <c r="M440" i="42"/>
  <c r="M441" i="42"/>
  <c r="M442" i="42"/>
  <c r="M443" i="42"/>
  <c r="M444" i="42"/>
  <c r="M445" i="42"/>
  <c r="M446" i="42"/>
  <c r="M447" i="42"/>
  <c r="M448" i="42"/>
  <c r="M449" i="42"/>
  <c r="M450" i="42"/>
  <c r="M451" i="42"/>
  <c r="M452" i="42"/>
  <c r="M453" i="42"/>
  <c r="M454" i="42"/>
  <c r="M455" i="42"/>
  <c r="M456" i="42"/>
  <c r="M457" i="42"/>
  <c r="M458" i="42"/>
  <c r="M459" i="42"/>
  <c r="M460" i="42"/>
  <c r="M461" i="42"/>
  <c r="M462" i="42"/>
  <c r="M463" i="42"/>
  <c r="M464" i="42"/>
  <c r="M465" i="42"/>
  <c r="M466" i="42"/>
  <c r="M467" i="42"/>
  <c r="M468" i="42"/>
  <c r="M469" i="42"/>
  <c r="M470" i="42"/>
  <c r="M471" i="42"/>
  <c r="M472" i="42"/>
  <c r="M473" i="42"/>
  <c r="M474" i="42"/>
  <c r="M475" i="42"/>
  <c r="M476" i="42"/>
  <c r="M477" i="42"/>
  <c r="M478" i="42"/>
  <c r="M479" i="42"/>
  <c r="M480" i="42"/>
  <c r="M481" i="42"/>
  <c r="M482" i="42"/>
  <c r="M483" i="42"/>
  <c r="M484" i="42"/>
  <c r="M485" i="42"/>
  <c r="M486" i="42"/>
  <c r="M487" i="42"/>
  <c r="M488" i="42"/>
  <c r="M489" i="42"/>
  <c r="M490" i="42"/>
  <c r="M491" i="42"/>
  <c r="M492" i="42"/>
  <c r="M493" i="42"/>
  <c r="M494" i="42"/>
  <c r="M495" i="42"/>
  <c r="M496" i="42"/>
  <c r="M497" i="42"/>
  <c r="M498" i="42"/>
  <c r="M499" i="42"/>
  <c r="M500" i="42"/>
  <c r="M501" i="42"/>
  <c r="M502" i="42"/>
  <c r="M503" i="42"/>
  <c r="M504" i="42"/>
  <c r="M505" i="42"/>
  <c r="M506" i="42"/>
  <c r="M507" i="42"/>
  <c r="M508" i="42"/>
  <c r="M509" i="42"/>
  <c r="M510" i="42"/>
  <c r="M511" i="42"/>
  <c r="M512" i="42"/>
  <c r="M513" i="42"/>
  <c r="M514" i="42"/>
  <c r="M515" i="42"/>
  <c r="M516" i="42"/>
  <c r="M517" i="42"/>
  <c r="M518" i="42"/>
  <c r="M519" i="42"/>
  <c r="M520" i="42"/>
  <c r="M521" i="42"/>
  <c r="M522" i="42"/>
  <c r="M523" i="42"/>
  <c r="M524" i="42"/>
  <c r="M525" i="42"/>
  <c r="M526" i="42"/>
  <c r="M527" i="42"/>
  <c r="M528" i="42"/>
  <c r="M529" i="42"/>
  <c r="M530" i="42"/>
  <c r="M531" i="42"/>
  <c r="M532" i="42"/>
  <c r="M533" i="42"/>
  <c r="M534" i="42"/>
  <c r="M535" i="42"/>
  <c r="M536" i="42"/>
  <c r="M537" i="42"/>
  <c r="M538" i="42"/>
  <c r="M539" i="42"/>
  <c r="M540" i="42"/>
  <c r="M541" i="42"/>
  <c r="M542" i="42"/>
  <c r="M543" i="42"/>
  <c r="M544" i="42"/>
  <c r="M545" i="42"/>
  <c r="M546" i="42"/>
  <c r="M547" i="42"/>
  <c r="M548" i="42"/>
  <c r="M549" i="42"/>
  <c r="M550" i="42"/>
  <c r="M551" i="42"/>
  <c r="M552" i="42"/>
  <c r="M553" i="42"/>
  <c r="M554" i="42"/>
  <c r="M555" i="42"/>
  <c r="M556" i="42"/>
  <c r="M557" i="42"/>
  <c r="M558" i="42"/>
  <c r="M559" i="42"/>
  <c r="M560" i="42"/>
  <c r="M561" i="42"/>
  <c r="M562" i="42"/>
  <c r="M563" i="42"/>
  <c r="Z563" i="42" s="1"/>
  <c r="M564" i="42"/>
  <c r="Z564" i="42" s="1"/>
  <c r="M565" i="42"/>
  <c r="Z565" i="42" s="1"/>
  <c r="M566" i="42"/>
  <c r="M567" i="42"/>
  <c r="Z567" i="42" s="1"/>
  <c r="M568" i="42"/>
  <c r="M569" i="42"/>
  <c r="Z569" i="42" s="1"/>
  <c r="M570" i="42"/>
  <c r="M571" i="42"/>
  <c r="M572" i="42"/>
  <c r="Z572" i="42" s="1"/>
  <c r="M573" i="42"/>
  <c r="Z573" i="42" s="1"/>
  <c r="M574" i="42"/>
  <c r="M575" i="42"/>
  <c r="Z575" i="42" s="1"/>
  <c r="M576" i="42"/>
  <c r="M577" i="42"/>
  <c r="M578" i="42"/>
  <c r="Z578" i="42" s="1"/>
  <c r="M579" i="42"/>
  <c r="M580" i="42"/>
  <c r="Z580" i="42" s="1"/>
  <c r="M581" i="42"/>
  <c r="M582" i="42"/>
  <c r="M583" i="42"/>
  <c r="M584" i="42"/>
  <c r="M585" i="42"/>
  <c r="M586" i="42"/>
  <c r="M587" i="42"/>
  <c r="M588" i="42"/>
  <c r="Z588" i="42" s="1"/>
  <c r="M589" i="42"/>
  <c r="M590" i="42"/>
  <c r="Z590" i="42" s="1"/>
  <c r="M591" i="42"/>
  <c r="Z591" i="42" s="1"/>
  <c r="M592" i="42"/>
  <c r="Z592" i="42" s="1"/>
  <c r="M593" i="42"/>
  <c r="M594" i="42"/>
  <c r="Z594" i="42" s="1"/>
  <c r="M595" i="42"/>
  <c r="Z595" i="42" s="1"/>
  <c r="M596" i="42"/>
  <c r="Z596" i="42" s="1"/>
  <c r="M597" i="42"/>
  <c r="M598" i="42"/>
  <c r="Z598" i="42" s="1"/>
  <c r="M599" i="42"/>
  <c r="M600" i="42"/>
  <c r="Z600" i="42" s="1"/>
  <c r="M601" i="42"/>
  <c r="M602" i="42"/>
  <c r="Z602" i="42" s="1"/>
  <c r="M603" i="42"/>
  <c r="Z603" i="42" s="1"/>
  <c r="M604" i="42"/>
  <c r="Z604" i="42" s="1"/>
  <c r="M605" i="42"/>
  <c r="Z605" i="42" s="1"/>
  <c r="M606" i="42"/>
  <c r="Z606" i="42" s="1"/>
  <c r="M607" i="42"/>
  <c r="Z607" i="42" s="1"/>
  <c r="M608" i="42"/>
  <c r="Z608" i="42" s="1"/>
  <c r="M609" i="42"/>
  <c r="Z609" i="42" s="1"/>
  <c r="M610" i="42"/>
  <c r="Z610" i="42" s="1"/>
  <c r="M611" i="42"/>
  <c r="M612" i="42"/>
  <c r="Z612" i="42" s="1"/>
  <c r="M613" i="42"/>
  <c r="Z613" i="42" s="1"/>
  <c r="M614" i="42"/>
  <c r="Z614" i="42" s="1"/>
  <c r="M615" i="42"/>
  <c r="Z615" i="42" s="1"/>
  <c r="M616" i="42"/>
  <c r="M617" i="42"/>
  <c r="Z617" i="42" s="1"/>
  <c r="M618" i="42"/>
  <c r="Z618" i="42" s="1"/>
  <c r="M619" i="42"/>
  <c r="Z619" i="42" s="1"/>
  <c r="M620" i="42"/>
  <c r="Z620" i="42" s="1"/>
  <c r="M621" i="42"/>
  <c r="Z621" i="42" s="1"/>
  <c r="M622" i="42"/>
  <c r="Z622" i="42" s="1"/>
  <c r="M623" i="42"/>
  <c r="Z623" i="42" s="1"/>
  <c r="M624" i="42"/>
  <c r="Z624" i="42" s="1"/>
  <c r="M625" i="42"/>
  <c r="Z625" i="42" s="1"/>
  <c r="M626" i="42"/>
  <c r="Z626" i="42" s="1"/>
  <c r="M627" i="42"/>
  <c r="Z627" i="42" s="1"/>
  <c r="M628" i="42"/>
  <c r="Z628" i="42" s="1"/>
  <c r="M629" i="42"/>
  <c r="Z629" i="42" s="1"/>
  <c r="M630" i="42"/>
  <c r="Z630" i="42" s="1"/>
  <c r="M631" i="42"/>
  <c r="Z631" i="42" s="1"/>
  <c r="M632" i="42"/>
  <c r="Z632" i="42" s="1"/>
  <c r="M633" i="42"/>
  <c r="Z633" i="42" s="1"/>
  <c r="M634" i="42"/>
  <c r="Z634" i="42" s="1"/>
  <c r="M635" i="42"/>
  <c r="Z635" i="42" s="1"/>
  <c r="M636" i="42"/>
  <c r="Z636" i="42" s="1"/>
  <c r="M637" i="42"/>
  <c r="M638" i="42"/>
  <c r="Z638" i="42" s="1"/>
  <c r="M639" i="42"/>
  <c r="Z639" i="42" s="1"/>
  <c r="M640" i="42"/>
  <c r="Z640" i="42" s="1"/>
  <c r="M641" i="42"/>
  <c r="Z641" i="42" s="1"/>
  <c r="M642" i="42"/>
  <c r="Z642" i="42" s="1"/>
  <c r="M643" i="42"/>
  <c r="M644" i="42"/>
  <c r="M645" i="42"/>
  <c r="M646" i="42"/>
  <c r="M647" i="42"/>
  <c r="M648" i="42"/>
  <c r="M649" i="42"/>
  <c r="M650" i="42"/>
  <c r="M651" i="42"/>
  <c r="M652" i="42"/>
  <c r="M653" i="42"/>
  <c r="M654" i="42"/>
  <c r="M655" i="42"/>
  <c r="M656" i="42"/>
  <c r="Z656" i="42" s="1"/>
  <c r="M657" i="42"/>
  <c r="M658" i="42"/>
  <c r="Z658" i="42" s="1"/>
  <c r="M659" i="42"/>
  <c r="M660" i="42"/>
  <c r="Z660" i="42" s="1"/>
  <c r="M661" i="42"/>
  <c r="M662" i="42"/>
  <c r="M663" i="42"/>
  <c r="M664" i="42"/>
  <c r="Z664" i="42" s="1"/>
  <c r="M665" i="42"/>
  <c r="M666" i="42"/>
  <c r="M667" i="42"/>
  <c r="M668" i="42"/>
  <c r="M669" i="42"/>
  <c r="M670" i="42"/>
  <c r="M671" i="42"/>
  <c r="M672" i="42"/>
  <c r="M673" i="42"/>
  <c r="M674" i="42"/>
  <c r="M675" i="42"/>
  <c r="M676" i="42"/>
  <c r="M677" i="42"/>
  <c r="M678" i="42"/>
  <c r="M679" i="42"/>
  <c r="M680" i="42"/>
  <c r="M681" i="42"/>
  <c r="M682" i="42"/>
  <c r="Z682" i="42" s="1"/>
  <c r="M683" i="42"/>
  <c r="Z683" i="42" s="1"/>
  <c r="M684" i="42"/>
  <c r="M685" i="42"/>
  <c r="M686" i="42"/>
  <c r="M687" i="42"/>
  <c r="M688" i="42"/>
  <c r="Z688" i="42" s="1"/>
  <c r="M689" i="42"/>
  <c r="M690" i="42"/>
  <c r="M691" i="42"/>
  <c r="M692" i="42"/>
  <c r="M693" i="42"/>
  <c r="M694" i="42"/>
  <c r="M695" i="42"/>
  <c r="Z695" i="42" s="1"/>
  <c r="M696" i="42"/>
  <c r="M697" i="42"/>
  <c r="Z697" i="42" s="1"/>
  <c r="M698" i="42"/>
  <c r="M699" i="42"/>
  <c r="Z699" i="42" s="1"/>
  <c r="M700" i="42"/>
  <c r="M701" i="42"/>
  <c r="Z701" i="42" s="1"/>
  <c r="M702" i="42"/>
  <c r="M703" i="42"/>
  <c r="Z703" i="42" s="1"/>
  <c r="M704" i="42"/>
  <c r="M705" i="42"/>
  <c r="Z705" i="42" s="1"/>
  <c r="M706" i="42"/>
  <c r="Z706" i="42" s="1"/>
  <c r="M707" i="42"/>
  <c r="Z707" i="42" s="1"/>
  <c r="M708" i="42"/>
  <c r="M709" i="42"/>
  <c r="Z709" i="42" s="1"/>
  <c r="M710" i="42"/>
  <c r="Z710" i="42" s="1"/>
  <c r="M711" i="42"/>
  <c r="Z711" i="42" s="1"/>
  <c r="M712" i="42"/>
  <c r="Z712" i="42" s="1"/>
  <c r="M713" i="42"/>
  <c r="M714" i="42"/>
  <c r="Z714" i="42" s="1"/>
  <c r="M715" i="42"/>
  <c r="M716" i="42"/>
  <c r="Z716" i="42" s="1"/>
  <c r="M717" i="42"/>
  <c r="Z717" i="42" s="1"/>
  <c r="M718" i="42"/>
  <c r="Z718" i="42" s="1"/>
  <c r="M719" i="42"/>
  <c r="M720" i="42"/>
  <c r="Z720" i="42" s="1"/>
  <c r="M721" i="42"/>
  <c r="Z721" i="42" s="1"/>
  <c r="M722" i="42"/>
  <c r="Z722" i="42" s="1"/>
  <c r="M723" i="42"/>
  <c r="Z723" i="42" s="1"/>
  <c r="M724" i="42"/>
  <c r="Z724" i="42" s="1"/>
  <c r="M725" i="42"/>
  <c r="Z725" i="42" s="1"/>
  <c r="M726" i="42"/>
  <c r="Z726" i="42" s="1"/>
  <c r="M727" i="42"/>
  <c r="Z727" i="42" s="1"/>
  <c r="M728" i="42"/>
  <c r="Z728" i="42" s="1"/>
  <c r="M729" i="42"/>
  <c r="M730" i="42"/>
  <c r="Z730" i="42" s="1"/>
  <c r="M731" i="42"/>
  <c r="M732" i="42"/>
  <c r="M733" i="42"/>
  <c r="Z733" i="42" s="1"/>
  <c r="M734" i="42"/>
  <c r="M735" i="42"/>
  <c r="M736" i="42"/>
  <c r="M737" i="42"/>
  <c r="M738" i="42"/>
  <c r="Z738" i="42" s="1"/>
  <c r="M739" i="42"/>
  <c r="Z739" i="42" s="1"/>
  <c r="M740" i="42"/>
  <c r="Z740" i="42" s="1"/>
  <c r="M741" i="42"/>
  <c r="M742" i="42"/>
  <c r="M743" i="42"/>
  <c r="M744" i="42"/>
  <c r="M745" i="42"/>
  <c r="M746" i="42"/>
  <c r="Z746" i="42" s="1"/>
  <c r="M747" i="42"/>
  <c r="Z747" i="42" s="1"/>
  <c r="M748" i="42"/>
  <c r="Z748" i="42" s="1"/>
  <c r="M749" i="42"/>
  <c r="Z749" i="42" s="1"/>
  <c r="M750" i="42"/>
  <c r="Z750" i="42" s="1"/>
  <c r="M751" i="42"/>
  <c r="M752" i="42"/>
  <c r="M753" i="42"/>
  <c r="Z753" i="42" s="1"/>
  <c r="M754" i="42"/>
  <c r="M755" i="42"/>
  <c r="Z755" i="42" s="1"/>
  <c r="M756" i="42"/>
  <c r="Z756" i="42" s="1"/>
  <c r="M757" i="42"/>
  <c r="Z757" i="42" s="1"/>
  <c r="M758" i="42"/>
  <c r="M759" i="42"/>
  <c r="Z759" i="42" s="1"/>
  <c r="M760" i="42"/>
  <c r="Z760" i="42" s="1"/>
  <c r="M761" i="42"/>
  <c r="Z761" i="42" s="1"/>
  <c r="M762" i="42"/>
  <c r="Z762" i="42" s="1"/>
  <c r="M763" i="42"/>
  <c r="Z763" i="42" s="1"/>
  <c r="M764" i="42"/>
  <c r="M765" i="42"/>
  <c r="M766" i="42"/>
  <c r="M767" i="42"/>
  <c r="Z767" i="42" s="1"/>
  <c r="M768" i="42"/>
  <c r="M769" i="42"/>
  <c r="M770" i="42"/>
  <c r="M771" i="42"/>
  <c r="M772" i="42"/>
  <c r="Z772" i="42" s="1"/>
  <c r="M773" i="42"/>
  <c r="Z773" i="42" s="1"/>
  <c r="M774" i="42"/>
  <c r="Z774" i="42" s="1"/>
  <c r="M775" i="42"/>
  <c r="Z775" i="42" s="1"/>
  <c r="M776" i="42"/>
  <c r="Z776" i="42" s="1"/>
  <c r="M777" i="42"/>
  <c r="Z777" i="42" s="1"/>
  <c r="M778" i="42"/>
  <c r="Z778" i="42" s="1"/>
  <c r="M779" i="42"/>
  <c r="Z779" i="42" s="1"/>
  <c r="M780" i="42"/>
  <c r="Z780" i="42" s="1"/>
  <c r="M781" i="42"/>
  <c r="Z781" i="42" s="1"/>
  <c r="M782" i="42"/>
  <c r="Z782" i="42" s="1"/>
  <c r="M783" i="42"/>
  <c r="Z783" i="42" s="1"/>
  <c r="M784" i="42"/>
  <c r="M785" i="42"/>
  <c r="Z785" i="42" s="1"/>
  <c r="M786" i="42"/>
  <c r="M787" i="42"/>
  <c r="Z787" i="42" s="1"/>
  <c r="M788" i="42"/>
  <c r="M789" i="42"/>
  <c r="Z789" i="42" s="1"/>
  <c r="M790" i="42"/>
  <c r="M791" i="42"/>
  <c r="Z791" i="42" s="1"/>
  <c r="M792" i="42"/>
  <c r="Z792" i="42" s="1"/>
  <c r="M793" i="42"/>
  <c r="Z793" i="42" s="1"/>
  <c r="M794" i="42"/>
  <c r="Z794" i="42" s="1"/>
  <c r="M795" i="42"/>
  <c r="M796" i="42"/>
  <c r="M797" i="42"/>
  <c r="M798" i="42"/>
  <c r="M799" i="42"/>
  <c r="M800" i="42"/>
  <c r="M801" i="42"/>
  <c r="M802" i="42"/>
  <c r="M803" i="42"/>
  <c r="M804" i="42"/>
  <c r="M805" i="42"/>
  <c r="M806" i="42"/>
  <c r="M807" i="42"/>
  <c r="M808" i="42"/>
  <c r="M809" i="42"/>
  <c r="M810" i="42"/>
  <c r="Z810" i="42" s="1"/>
  <c r="M811" i="42"/>
  <c r="Z811" i="42" s="1"/>
  <c r="M812" i="42"/>
  <c r="Z812" i="42" s="1"/>
  <c r="M813" i="42"/>
  <c r="Z813" i="42" s="1"/>
  <c r="M814" i="42"/>
  <c r="Z814" i="42" s="1"/>
  <c r="M815" i="42"/>
  <c r="Z815" i="42" s="1"/>
  <c r="M816" i="42"/>
  <c r="M817" i="42"/>
  <c r="Z817" i="42" s="1"/>
  <c r="M818" i="42"/>
  <c r="Z818" i="42" s="1"/>
  <c r="M819" i="42"/>
  <c r="Z819" i="42" s="1"/>
  <c r="M820" i="42"/>
  <c r="M821" i="42"/>
  <c r="M822" i="42"/>
  <c r="M823" i="42"/>
  <c r="M824" i="42"/>
  <c r="M825" i="42"/>
  <c r="M826" i="42"/>
  <c r="M827" i="42"/>
  <c r="M828" i="42"/>
  <c r="M829" i="42"/>
  <c r="M830" i="42"/>
  <c r="Z830" i="42" s="1"/>
  <c r="M831" i="42"/>
  <c r="M832" i="42"/>
  <c r="Z832" i="42" s="1"/>
  <c r="M833" i="42"/>
  <c r="Z833" i="42" s="1"/>
  <c r="M834" i="42"/>
  <c r="M835" i="42"/>
  <c r="Z835" i="42" s="1"/>
  <c r="M836" i="42"/>
  <c r="M837" i="42"/>
  <c r="Z837" i="42" s="1"/>
  <c r="M838" i="42"/>
  <c r="Z838" i="42" s="1"/>
  <c r="M839" i="42"/>
  <c r="Z839" i="42" s="1"/>
  <c r="M840" i="42"/>
  <c r="M841" i="42"/>
  <c r="Z841" i="42" s="1"/>
  <c r="M842" i="42"/>
  <c r="M843" i="42"/>
  <c r="M844" i="42"/>
  <c r="Z844" i="42" s="1"/>
  <c r="M845" i="42"/>
  <c r="M846" i="42"/>
  <c r="Z846" i="42" s="1"/>
  <c r="M847" i="42"/>
  <c r="Z847" i="42" s="1"/>
  <c r="M848" i="42"/>
  <c r="Z848" i="42" s="1"/>
  <c r="M849" i="42"/>
  <c r="Z849" i="42" s="1"/>
  <c r="M850" i="42"/>
  <c r="Z850" i="42" s="1"/>
  <c r="M851" i="42"/>
  <c r="Z851" i="42" s="1"/>
  <c r="M852" i="42"/>
  <c r="M853" i="42"/>
  <c r="M854" i="42"/>
  <c r="Z854" i="42" s="1"/>
  <c r="M855" i="42"/>
  <c r="M856" i="42"/>
  <c r="Z856" i="42" s="1"/>
  <c r="M857" i="42"/>
  <c r="M858" i="42"/>
  <c r="M859" i="42"/>
  <c r="M860" i="42"/>
  <c r="M861" i="42"/>
  <c r="M862" i="42"/>
  <c r="Z862" i="42" s="1"/>
  <c r="M863" i="42"/>
  <c r="M864" i="42"/>
  <c r="M865" i="42"/>
  <c r="M866" i="42"/>
  <c r="M867" i="42"/>
  <c r="M868" i="42"/>
  <c r="M869" i="42"/>
  <c r="M870" i="42"/>
  <c r="M871" i="42"/>
  <c r="M872" i="42"/>
  <c r="M873" i="42"/>
  <c r="M874" i="42"/>
  <c r="M875" i="42"/>
  <c r="M876" i="42"/>
  <c r="M877" i="42"/>
  <c r="M878" i="42"/>
  <c r="M879" i="42"/>
  <c r="M880" i="42"/>
  <c r="Z880" i="42" s="1"/>
  <c r="M881" i="42"/>
  <c r="M882" i="42"/>
  <c r="M883" i="42"/>
  <c r="M884" i="42"/>
  <c r="M885" i="42"/>
  <c r="M886" i="42"/>
  <c r="M887" i="42"/>
  <c r="M888" i="42"/>
  <c r="M889" i="42"/>
  <c r="M890" i="42"/>
  <c r="M891" i="42"/>
  <c r="M892" i="42"/>
  <c r="Z892" i="42" s="1"/>
  <c r="M893" i="42"/>
  <c r="M894" i="42"/>
  <c r="M895" i="42"/>
  <c r="M896" i="42"/>
  <c r="M897" i="42"/>
  <c r="M898" i="42"/>
  <c r="M899" i="42"/>
  <c r="M900" i="42"/>
  <c r="M901" i="42"/>
  <c r="Z901" i="42" s="1"/>
  <c r="M902" i="42"/>
  <c r="M903" i="42"/>
  <c r="M904" i="42"/>
  <c r="M905" i="42"/>
  <c r="M906" i="42"/>
  <c r="M907" i="42"/>
  <c r="M908" i="42"/>
  <c r="M909" i="42"/>
  <c r="M910" i="42"/>
  <c r="M911" i="42"/>
  <c r="M912" i="42"/>
  <c r="M913" i="42"/>
  <c r="M914" i="42"/>
  <c r="M915" i="42"/>
  <c r="M916" i="42"/>
  <c r="M917" i="42"/>
  <c r="M918" i="42"/>
  <c r="M919" i="42"/>
  <c r="M920" i="42"/>
  <c r="M921" i="42"/>
  <c r="M922" i="42"/>
  <c r="M923" i="42"/>
  <c r="M924" i="42"/>
  <c r="M925" i="42"/>
  <c r="M926" i="42"/>
  <c r="M927" i="42"/>
  <c r="M928" i="42"/>
  <c r="M929" i="42"/>
  <c r="M930" i="42"/>
  <c r="M931" i="42"/>
  <c r="M932" i="42"/>
  <c r="M933" i="42"/>
  <c r="M934" i="42"/>
  <c r="M935" i="42"/>
  <c r="M936" i="42"/>
  <c r="M937" i="42"/>
  <c r="M938" i="42"/>
  <c r="M939" i="42"/>
  <c r="M940" i="42"/>
  <c r="M941" i="42"/>
  <c r="M942" i="42"/>
  <c r="M943" i="42"/>
  <c r="M944" i="42"/>
  <c r="M945" i="42"/>
  <c r="M946" i="42"/>
  <c r="M947" i="42"/>
  <c r="M948" i="42"/>
  <c r="M949" i="42"/>
  <c r="M950" i="42"/>
  <c r="M951" i="42"/>
  <c r="M952" i="42"/>
  <c r="M953" i="42"/>
  <c r="M954" i="42"/>
  <c r="M955" i="42"/>
  <c r="M956" i="42"/>
  <c r="M957" i="42"/>
  <c r="M1084" i="42"/>
  <c r="M959" i="42"/>
  <c r="M960" i="42"/>
  <c r="M961" i="42"/>
  <c r="M962" i="42"/>
  <c r="Z962" i="42" s="1"/>
  <c r="M963" i="42"/>
  <c r="M964" i="42"/>
  <c r="M965" i="42"/>
  <c r="M966" i="42"/>
  <c r="M967" i="42"/>
  <c r="M968" i="42"/>
  <c r="M969" i="42"/>
  <c r="M970" i="42"/>
  <c r="M971" i="42"/>
  <c r="M972" i="42"/>
  <c r="M973" i="42"/>
  <c r="M974" i="42"/>
  <c r="M975" i="42"/>
  <c r="M976" i="42"/>
  <c r="M977" i="42"/>
  <c r="M978" i="42"/>
  <c r="M979" i="42"/>
  <c r="M980" i="42"/>
  <c r="M981" i="42"/>
  <c r="M982" i="42"/>
  <c r="M983" i="42"/>
  <c r="M984" i="42"/>
  <c r="M985" i="42"/>
  <c r="M986" i="42"/>
  <c r="M987" i="42"/>
  <c r="M988" i="42"/>
  <c r="M989" i="42"/>
  <c r="M990" i="42"/>
  <c r="M991" i="42"/>
  <c r="M992" i="42"/>
  <c r="M993" i="42"/>
  <c r="M1085" i="42"/>
  <c r="M1086" i="42"/>
  <c r="Z1086" i="42" s="1"/>
  <c r="M1087" i="42"/>
  <c r="M1088" i="42"/>
  <c r="M1089" i="42"/>
  <c r="M1090" i="42"/>
  <c r="M1091" i="42"/>
  <c r="M958" i="42"/>
  <c r="M1116" i="42"/>
  <c r="M1117" i="42"/>
  <c r="M1118" i="42"/>
  <c r="Z1118" i="42" s="1"/>
  <c r="M1119" i="42"/>
  <c r="M1120" i="42"/>
  <c r="M1121" i="42"/>
  <c r="M1122" i="42"/>
  <c r="M1123" i="42"/>
  <c r="M1159" i="42"/>
  <c r="M1160" i="42"/>
  <c r="M1161" i="42"/>
  <c r="Z1161" i="42" s="1"/>
  <c r="M1162" i="42"/>
  <c r="M1163" i="42"/>
  <c r="M1164" i="42"/>
  <c r="M1165" i="42"/>
  <c r="M1166" i="42"/>
  <c r="M1167" i="42"/>
  <c r="M1019" i="42"/>
  <c r="M1020" i="42"/>
  <c r="M1021" i="42"/>
  <c r="M1022" i="42"/>
  <c r="Z1022" i="42" s="1"/>
  <c r="M1023" i="42"/>
  <c r="M1024" i="42"/>
  <c r="M1025" i="42"/>
  <c r="M1026" i="42"/>
  <c r="M1027" i="42"/>
  <c r="M1028" i="42"/>
  <c r="M1029" i="42"/>
  <c r="M1030" i="42"/>
  <c r="M1031" i="42"/>
  <c r="M1032" i="42"/>
  <c r="M1033" i="42"/>
  <c r="M1034" i="42"/>
  <c r="M1035" i="42"/>
  <c r="M1036" i="42"/>
  <c r="M1037" i="42"/>
  <c r="M1038" i="42"/>
  <c r="M1039" i="42"/>
  <c r="M1040" i="42"/>
  <c r="M1041" i="42"/>
  <c r="Z1041" i="42" s="1"/>
  <c r="M1042" i="42"/>
  <c r="M1043" i="42"/>
  <c r="M1044" i="42"/>
  <c r="M1045" i="42"/>
  <c r="M1046" i="42"/>
  <c r="M1047" i="42"/>
  <c r="M1048" i="42"/>
  <c r="M1049" i="42"/>
  <c r="M1050" i="42"/>
  <c r="M1051" i="42"/>
  <c r="M1052" i="42"/>
  <c r="M1053" i="42"/>
  <c r="M1054" i="42"/>
  <c r="M1055" i="42"/>
  <c r="M1056" i="42"/>
  <c r="Z1056" i="42" s="1"/>
  <c r="M1057" i="42"/>
  <c r="M1058" i="42"/>
  <c r="M1059" i="42"/>
  <c r="M1060" i="42"/>
  <c r="M1061" i="42"/>
  <c r="Z1061" i="42" s="1"/>
  <c r="M1062" i="42"/>
  <c r="M1063" i="42"/>
  <c r="M1064" i="42"/>
  <c r="M1065" i="42"/>
  <c r="M1066" i="42"/>
  <c r="M1067" i="42"/>
  <c r="M1068" i="42"/>
  <c r="Z1068" i="42" s="1"/>
  <c r="M1069" i="42"/>
  <c r="M1070" i="42"/>
  <c r="M1071" i="42"/>
  <c r="M1072" i="42"/>
  <c r="M1073" i="42"/>
  <c r="M1074" i="42"/>
  <c r="M1075" i="42"/>
  <c r="M1076" i="42"/>
  <c r="M1077" i="42"/>
  <c r="M1078" i="42"/>
  <c r="Z1078" i="42" s="1"/>
  <c r="M1079" i="42"/>
  <c r="M1080" i="42"/>
  <c r="M1081" i="42"/>
  <c r="M1082" i="42"/>
  <c r="M1083" i="42"/>
  <c r="M1168" i="42"/>
  <c r="M1169" i="42"/>
  <c r="M1170" i="42"/>
  <c r="M994" i="42"/>
  <c r="M995" i="42"/>
  <c r="M996" i="42"/>
  <c r="M997" i="42"/>
  <c r="Z997" i="42" s="1"/>
  <c r="M998" i="42"/>
  <c r="M1092" i="42"/>
  <c r="M1093" i="42"/>
  <c r="M1094" i="42"/>
  <c r="Z1094" i="42" s="1"/>
  <c r="M1095" i="42"/>
  <c r="M1096" i="42"/>
  <c r="M1097" i="42"/>
  <c r="M1098" i="42"/>
  <c r="M1099" i="42"/>
  <c r="M1100" i="42"/>
  <c r="M1101" i="42"/>
  <c r="Z1101" i="42" s="1"/>
  <c r="M1102" i="42"/>
  <c r="M1103" i="42"/>
  <c r="M1104" i="42"/>
  <c r="M1105" i="42"/>
  <c r="Z1105" i="42" s="1"/>
  <c r="M1106" i="42"/>
  <c r="M1107" i="42"/>
  <c r="M1108" i="42"/>
  <c r="M1109" i="42"/>
  <c r="Z1109" i="42" s="1"/>
  <c r="M1110" i="42"/>
  <c r="M1111" i="42"/>
  <c r="M1112" i="42"/>
  <c r="M1113" i="42"/>
  <c r="M1114" i="42"/>
  <c r="M1115" i="42"/>
  <c r="M999" i="42"/>
  <c r="M1000" i="42"/>
  <c r="M1001" i="42"/>
  <c r="M1002" i="42"/>
  <c r="M1003" i="42"/>
  <c r="M1004" i="42"/>
  <c r="M1005" i="42"/>
  <c r="M1006" i="42"/>
  <c r="M1124" i="42"/>
  <c r="M1125" i="42"/>
  <c r="M1126" i="42"/>
  <c r="Z1126" i="42" s="1"/>
  <c r="M1127" i="42"/>
  <c r="M1128" i="42"/>
  <c r="M1129" i="42"/>
  <c r="M1130" i="42"/>
  <c r="M1131" i="42"/>
  <c r="M1132" i="42"/>
  <c r="M1133" i="42"/>
  <c r="M1134" i="42"/>
  <c r="Z1134" i="42" s="1"/>
  <c r="M1135" i="42"/>
  <c r="M1136" i="42"/>
  <c r="M1137" i="42"/>
  <c r="M1138" i="42"/>
  <c r="M1139" i="42"/>
  <c r="Z1139" i="42" s="1"/>
  <c r="M1140" i="42"/>
  <c r="M1141" i="42"/>
  <c r="Z1141" i="42" s="1"/>
  <c r="M1142" i="42"/>
  <c r="M1143" i="42"/>
  <c r="M1144" i="42"/>
  <c r="Z1144" i="42" s="1"/>
  <c r="M1145" i="42"/>
  <c r="M1146" i="42"/>
  <c r="M1147" i="42"/>
  <c r="M1148" i="42"/>
  <c r="M1149" i="42"/>
  <c r="M1150" i="42"/>
  <c r="M1151" i="42"/>
  <c r="M1152" i="42"/>
  <c r="M1153" i="42"/>
  <c r="M1154" i="42"/>
  <c r="M1155" i="42"/>
  <c r="M1156" i="42"/>
  <c r="M1157" i="42"/>
  <c r="M1158" i="42"/>
  <c r="M1007" i="42"/>
  <c r="M1008" i="42"/>
  <c r="M1009" i="42"/>
  <c r="M1010" i="42"/>
  <c r="M1011" i="42"/>
  <c r="M1012" i="42"/>
  <c r="M1013" i="42"/>
  <c r="M1014" i="42"/>
  <c r="M1015" i="42"/>
  <c r="M1016" i="42"/>
  <c r="M1017" i="42"/>
  <c r="M1018" i="42"/>
  <c r="M1171" i="42"/>
  <c r="M1172" i="42"/>
  <c r="M1173" i="42"/>
  <c r="Z1173" i="42" s="1"/>
  <c r="M1174" i="42"/>
  <c r="M1175" i="42"/>
  <c r="M1176" i="42"/>
  <c r="M1177" i="42"/>
  <c r="M1178" i="42"/>
  <c r="M1179" i="42"/>
  <c r="M1180" i="42"/>
  <c r="M1181" i="42"/>
  <c r="M1182" i="42"/>
  <c r="M1183" i="42"/>
  <c r="M1184" i="42"/>
  <c r="Z1184" i="42" s="1"/>
  <c r="M1185" i="42"/>
  <c r="M1186" i="42"/>
  <c r="M1187" i="42"/>
  <c r="M1188" i="42"/>
  <c r="M1189" i="42"/>
  <c r="M1190" i="42"/>
  <c r="M1191" i="42"/>
  <c r="Z1191" i="42" s="1"/>
  <c r="M1192" i="42"/>
  <c r="M1193" i="42"/>
  <c r="M1194" i="42"/>
  <c r="M1195" i="42"/>
  <c r="M1196" i="42"/>
  <c r="M1197" i="42"/>
  <c r="M1198" i="42"/>
  <c r="M1199" i="42"/>
  <c r="M1200" i="42"/>
  <c r="M1201" i="42"/>
  <c r="M1202" i="42"/>
  <c r="M1203" i="42"/>
  <c r="M1204" i="42"/>
  <c r="M1205" i="42"/>
  <c r="M1206" i="42"/>
  <c r="Z1206" i="42" s="1"/>
  <c r="M1207" i="42"/>
  <c r="Z1207" i="42" s="1"/>
  <c r="M1208" i="42"/>
  <c r="Z1208" i="42" s="1"/>
  <c r="M1209" i="42"/>
  <c r="Z1209" i="42" s="1"/>
  <c r="M1210" i="42"/>
  <c r="M1211" i="42"/>
  <c r="Z1211" i="42" s="1"/>
  <c r="M1212" i="42"/>
  <c r="M1213" i="42"/>
  <c r="M1214" i="42"/>
  <c r="M1215" i="42"/>
  <c r="M1216" i="42"/>
  <c r="M1229" i="42"/>
  <c r="Z1229" i="42" s="1"/>
  <c r="M1217" i="42"/>
  <c r="Z1217" i="42" s="1"/>
  <c r="M1218" i="42"/>
  <c r="M1219" i="42"/>
  <c r="M1221" i="42"/>
  <c r="Z1221" i="42" s="1"/>
  <c r="M1222" i="42"/>
  <c r="Z1222" i="42" s="1"/>
  <c r="M1223" i="42"/>
  <c r="M1224" i="42"/>
  <c r="Z1224" i="42" s="1"/>
  <c r="M1225" i="42"/>
  <c r="Z1225" i="42" s="1"/>
  <c r="M1220" i="42"/>
  <c r="M1227" i="42"/>
  <c r="Z1227" i="42" s="1"/>
  <c r="M1228" i="42"/>
  <c r="Z1228" i="42" s="1"/>
  <c r="M1226" i="42"/>
  <c r="Z1226" i="42" s="1"/>
  <c r="M1230" i="42"/>
  <c r="M1231" i="42"/>
  <c r="M1232" i="42"/>
  <c r="Z1232" i="42" s="1"/>
  <c r="M1233" i="42"/>
  <c r="Z1233" i="42" s="1"/>
  <c r="M1234" i="42"/>
  <c r="Z1234" i="42" s="1"/>
  <c r="M1235" i="42"/>
  <c r="Z1235" i="42" s="1"/>
  <c r="M1236" i="42"/>
  <c r="Z1236" i="42" s="1"/>
  <c r="M1237" i="42"/>
  <c r="Z1237" i="42" s="1"/>
  <c r="M1238" i="42"/>
  <c r="Z1238" i="42" s="1"/>
  <c r="M1239" i="42"/>
  <c r="M1240" i="42"/>
  <c r="Z1240" i="42" s="1"/>
  <c r="M1241" i="42"/>
  <c r="M1242" i="42"/>
  <c r="M1243" i="42"/>
  <c r="M1244" i="42"/>
  <c r="M1245" i="42"/>
  <c r="Z1245" i="42" s="1"/>
  <c r="M1246" i="42"/>
  <c r="Z1246" i="42" s="1"/>
  <c r="M1247" i="42"/>
  <c r="Z1247" i="42" s="1"/>
  <c r="M1248" i="42"/>
  <c r="M1249" i="42"/>
  <c r="M1250" i="42"/>
  <c r="M1251" i="42"/>
  <c r="M1252" i="42"/>
  <c r="M1253" i="42"/>
  <c r="M1254" i="42"/>
  <c r="M1255" i="42"/>
  <c r="M1256" i="42"/>
  <c r="M1257" i="42"/>
  <c r="M1258" i="42"/>
  <c r="M1259" i="42"/>
  <c r="M1260" i="42"/>
  <c r="M1261" i="42"/>
  <c r="M1262" i="42"/>
  <c r="M1263" i="42"/>
  <c r="M1264" i="42"/>
  <c r="M1265" i="42"/>
  <c r="M1266" i="42"/>
  <c r="M1267" i="42"/>
  <c r="M1268" i="42"/>
  <c r="M1269" i="42"/>
  <c r="M1270" i="42"/>
  <c r="M1271" i="42"/>
  <c r="M1272" i="42"/>
  <c r="M1273" i="42"/>
  <c r="M1274" i="42"/>
  <c r="M1275" i="42"/>
  <c r="Z1275" i="42" s="1"/>
  <c r="M1276" i="42"/>
  <c r="M1277" i="42"/>
  <c r="Z1277" i="42" s="1"/>
  <c r="M1278" i="42"/>
  <c r="Z1278" i="42" s="1"/>
  <c r="M1279" i="42"/>
  <c r="Z1279" i="42" s="1"/>
  <c r="M1280" i="42"/>
  <c r="Z1280" i="42" s="1"/>
  <c r="M1281" i="42"/>
  <c r="M1282" i="42"/>
  <c r="M1283" i="42"/>
  <c r="M1284" i="42"/>
  <c r="M1285" i="42"/>
  <c r="Z1285" i="42" s="1"/>
  <c r="M1286" i="42"/>
  <c r="M1287" i="42"/>
  <c r="M1288" i="42"/>
  <c r="M1289" i="42"/>
  <c r="Z1289" i="42" s="1"/>
  <c r="M1290" i="42"/>
  <c r="M1291" i="42"/>
  <c r="M1292" i="42"/>
  <c r="Z1292" i="42" s="1"/>
  <c r="M1293" i="42"/>
  <c r="M1294" i="42"/>
  <c r="M1295" i="42"/>
  <c r="M1296" i="42"/>
  <c r="Z1296" i="42" s="1"/>
  <c r="M1297" i="42"/>
  <c r="M1298" i="42"/>
  <c r="Z1298" i="42" s="1"/>
  <c r="M1299" i="42"/>
  <c r="Z1299" i="42" s="1"/>
  <c r="M1300" i="42"/>
  <c r="M1301" i="42"/>
  <c r="M1302" i="42"/>
  <c r="M1303" i="42"/>
  <c r="M1304" i="42"/>
  <c r="M1305" i="42"/>
  <c r="M1306" i="42"/>
  <c r="M1307" i="42"/>
  <c r="M1308" i="42"/>
  <c r="M1309" i="42"/>
  <c r="M1310" i="42"/>
  <c r="Z1310" i="42" s="1"/>
  <c r="M1311" i="42"/>
  <c r="Z1311" i="42" s="1"/>
  <c r="M1312" i="42"/>
  <c r="Z1312" i="42" s="1"/>
  <c r="M1313" i="42"/>
  <c r="M1314" i="42"/>
  <c r="M1315" i="42"/>
  <c r="M1316" i="42"/>
  <c r="Z1316" i="42" s="1"/>
  <c r="M1317" i="42"/>
  <c r="M1318" i="42"/>
  <c r="M1319" i="42"/>
  <c r="M1320" i="42"/>
  <c r="M1321" i="42"/>
  <c r="M1322" i="42"/>
  <c r="M1323" i="42"/>
  <c r="M1324" i="42"/>
  <c r="M1325" i="42"/>
  <c r="M1326" i="42"/>
  <c r="M1327" i="42"/>
  <c r="M1328" i="42"/>
  <c r="M1329" i="42"/>
  <c r="M1330" i="42"/>
  <c r="M1331" i="42"/>
  <c r="M1332" i="42"/>
  <c r="M1333" i="42"/>
  <c r="M1334" i="42"/>
  <c r="M1335" i="42"/>
  <c r="M1336" i="42"/>
  <c r="M1337" i="42"/>
  <c r="M1338" i="42"/>
  <c r="M1339" i="42"/>
  <c r="M1340" i="42"/>
  <c r="M1341" i="42"/>
  <c r="M1342" i="42"/>
  <c r="M1343" i="42"/>
  <c r="M1344" i="42"/>
  <c r="M1345" i="42"/>
  <c r="M1346" i="42"/>
  <c r="M1347" i="42"/>
  <c r="M1348" i="42"/>
  <c r="M1349" i="42"/>
  <c r="Z1349" i="42" s="1"/>
  <c r="M1350" i="42"/>
  <c r="M1351" i="42"/>
  <c r="Z1351" i="42" s="1"/>
  <c r="M1352" i="42"/>
  <c r="Z1352" i="42" s="1"/>
  <c r="M1353" i="42"/>
  <c r="Z1353" i="42" s="1"/>
  <c r="M1354" i="42"/>
  <c r="M1355" i="42"/>
  <c r="M1356" i="42"/>
  <c r="Z1356" i="42" s="1"/>
  <c r="M1357" i="42"/>
  <c r="M1358" i="42"/>
  <c r="M1359" i="42"/>
  <c r="Z1359" i="42" s="1"/>
  <c r="M1360" i="42"/>
  <c r="M1361" i="42"/>
  <c r="Z1361" i="42" s="1"/>
  <c r="M1362" i="42"/>
  <c r="M1363" i="42"/>
  <c r="Z1363" i="42" s="1"/>
  <c r="M1364" i="42"/>
  <c r="Z1364" i="42" s="1"/>
  <c r="M1365" i="42"/>
  <c r="M1366" i="42"/>
  <c r="M1367" i="42"/>
  <c r="Z1367" i="42" s="1"/>
  <c r="M1368" i="42"/>
  <c r="M1369" i="42"/>
  <c r="Z1369" i="42" s="1"/>
  <c r="M1370" i="42"/>
  <c r="M1371" i="42"/>
  <c r="M1372" i="42"/>
  <c r="Z1372" i="42" s="1"/>
  <c r="M1373" i="42"/>
  <c r="M1374" i="42"/>
  <c r="Z1374" i="42" s="1"/>
  <c r="M1375" i="42"/>
  <c r="Z1375" i="42" s="1"/>
  <c r="M1376" i="42"/>
  <c r="M1377" i="42"/>
  <c r="M1378" i="42"/>
  <c r="Z1378" i="42" s="1"/>
  <c r="M1379" i="42"/>
  <c r="M1380" i="42"/>
  <c r="M1381" i="42"/>
  <c r="Z1381" i="42" s="1"/>
  <c r="M1382" i="42"/>
  <c r="M1383" i="42"/>
  <c r="Z1383" i="42" s="1"/>
  <c r="M1384" i="42"/>
  <c r="M1385" i="42"/>
  <c r="Z1385" i="42" s="1"/>
  <c r="M1386" i="42"/>
  <c r="Z1386" i="42" s="1"/>
  <c r="M1387" i="42"/>
  <c r="M1388" i="42"/>
  <c r="Z1388" i="42" s="1"/>
  <c r="M1389" i="42"/>
  <c r="Z1389" i="42" s="1"/>
  <c r="M1390" i="42"/>
  <c r="Z1390" i="42" s="1"/>
  <c r="M1391" i="42"/>
  <c r="Z1391" i="42" s="1"/>
  <c r="M1392" i="42"/>
  <c r="Z1392" i="42" s="1"/>
  <c r="M1393" i="42"/>
  <c r="Z1393" i="42" s="1"/>
  <c r="M1394" i="42"/>
  <c r="Z1394" i="42" s="1"/>
  <c r="M1395" i="42"/>
  <c r="Z1395" i="42" s="1"/>
  <c r="M1396" i="42"/>
  <c r="M1397" i="42"/>
  <c r="M1398" i="42"/>
  <c r="M1399" i="42"/>
  <c r="M1400" i="42"/>
  <c r="M1401" i="42"/>
  <c r="M1402" i="42"/>
  <c r="M1403" i="42"/>
  <c r="M1404" i="42"/>
  <c r="M1405" i="42"/>
  <c r="M1406" i="42"/>
  <c r="M1407" i="42"/>
  <c r="M1408" i="42"/>
  <c r="M1409" i="42"/>
  <c r="M1410" i="42"/>
  <c r="M1411" i="42"/>
  <c r="M1412" i="42"/>
  <c r="M1413" i="42"/>
  <c r="M1414" i="42"/>
  <c r="M1415" i="42"/>
  <c r="M1416" i="42"/>
  <c r="M1417" i="42"/>
  <c r="M1418" i="42"/>
  <c r="M1419" i="42"/>
  <c r="M1420" i="42"/>
  <c r="M1421" i="42"/>
  <c r="M1422" i="42"/>
  <c r="Z1422" i="42" s="1"/>
  <c r="M1423" i="42"/>
  <c r="M1424" i="42"/>
  <c r="Z1424" i="42" s="1"/>
  <c r="M1425" i="42"/>
  <c r="Z1425" i="42" s="1"/>
  <c r="M1426" i="42"/>
  <c r="M1427" i="42"/>
  <c r="M1428" i="42"/>
  <c r="M1429" i="42"/>
  <c r="M1430" i="42"/>
  <c r="M1431" i="42"/>
  <c r="M1432" i="42"/>
  <c r="M1433" i="42"/>
  <c r="M1434" i="42"/>
  <c r="Z1434" i="42" s="1"/>
  <c r="M1435" i="42"/>
  <c r="M1436" i="42"/>
  <c r="M1437" i="42"/>
  <c r="M1438" i="42"/>
  <c r="M1439" i="42"/>
  <c r="M1440" i="42"/>
  <c r="M1441" i="42"/>
  <c r="M1442" i="42"/>
  <c r="M1443" i="42"/>
  <c r="Z1443" i="42" s="1"/>
  <c r="M1444" i="42"/>
  <c r="M1445" i="42"/>
  <c r="Z1445" i="42" s="1"/>
  <c r="M1447" i="42"/>
  <c r="Z1447" i="42" s="1"/>
  <c r="M1448" i="42"/>
  <c r="Z1448" i="42" s="1"/>
  <c r="M1449" i="42"/>
  <c r="Z1449" i="42" s="1"/>
  <c r="M1450" i="42"/>
  <c r="Z1450" i="42" s="1"/>
  <c r="M1451" i="42"/>
  <c r="Z1451" i="42" s="1"/>
  <c r="M1453" i="42"/>
  <c r="Z1453" i="42" s="1"/>
  <c r="M1454" i="42"/>
  <c r="Z1454" i="42" s="1"/>
  <c r="M1455" i="42"/>
  <c r="Z1455" i="42" s="1"/>
  <c r="M1456" i="42"/>
  <c r="Z1456" i="42" s="1"/>
  <c r="M1457" i="42"/>
  <c r="Z1457" i="42" s="1"/>
  <c r="M1458" i="42"/>
  <c r="Z1458" i="42" s="1"/>
  <c r="M1459" i="42"/>
  <c r="Z1459" i="42" s="1"/>
  <c r="M1460" i="42"/>
  <c r="Z1460" i="42" s="1"/>
  <c r="M1461" i="42"/>
  <c r="Z1461" i="42" s="1"/>
  <c r="M1462" i="42"/>
  <c r="Z1462" i="42" s="1"/>
  <c r="M1463" i="42"/>
  <c r="Z1463" i="42" s="1"/>
  <c r="M1464" i="42"/>
  <c r="Z1464" i="42" s="1"/>
  <c r="M1465" i="42"/>
  <c r="Z1465" i="42" s="1"/>
  <c r="M1466" i="42"/>
  <c r="Z1466" i="42" s="1"/>
  <c r="M1467" i="42"/>
  <c r="Z1467" i="42" s="1"/>
  <c r="M1468" i="42"/>
  <c r="M1469" i="42"/>
  <c r="Z1469" i="42" s="1"/>
  <c r="M1470" i="42"/>
  <c r="M1471" i="42"/>
  <c r="Z1471" i="42" s="1"/>
  <c r="M1472" i="42"/>
  <c r="M1473" i="42"/>
  <c r="Z1473" i="42" s="1"/>
  <c r="M1474" i="42"/>
  <c r="M1475" i="42"/>
  <c r="Z1475" i="42" s="1"/>
  <c r="M1476" i="42"/>
  <c r="Z1476" i="42" s="1"/>
  <c r="M1477" i="42"/>
  <c r="M1478" i="42"/>
  <c r="Z1478" i="42" s="1"/>
  <c r="M1479" i="42"/>
  <c r="M1480" i="42"/>
  <c r="Z1480" i="42" s="1"/>
  <c r="M1481" i="42"/>
  <c r="M1482" i="42"/>
  <c r="Z1482" i="42" s="1"/>
  <c r="M1483" i="42"/>
  <c r="M1484" i="42"/>
  <c r="Z1484" i="42" s="1"/>
  <c r="M1485" i="42"/>
  <c r="M1486" i="42"/>
  <c r="Z1486" i="42" s="1"/>
  <c r="M1487" i="42"/>
  <c r="M1488" i="42"/>
  <c r="Z1488" i="42" s="1"/>
  <c r="M1489" i="42"/>
  <c r="Z1489" i="42" s="1"/>
  <c r="M1490" i="42"/>
  <c r="M1491" i="42"/>
  <c r="Z1491" i="42" s="1"/>
  <c r="M1492" i="42"/>
  <c r="M1493" i="42"/>
  <c r="Z1493" i="42" s="1"/>
  <c r="M1494" i="42"/>
  <c r="Z1494" i="42" s="1"/>
  <c r="M1495" i="42"/>
  <c r="Z1495" i="42" s="1"/>
  <c r="M1496" i="42"/>
  <c r="Z1496" i="42" s="1"/>
  <c r="M1497" i="42"/>
  <c r="Z1497" i="42" s="1"/>
  <c r="M1498" i="42"/>
  <c r="M1499" i="42"/>
  <c r="Z1499" i="42" s="1"/>
  <c r="M1500" i="42"/>
  <c r="Z1500" i="42" s="1"/>
  <c r="M1501" i="42"/>
  <c r="Z1501" i="42" s="1"/>
  <c r="M1502" i="42"/>
  <c r="Z1502" i="42" s="1"/>
  <c r="M1503" i="42"/>
  <c r="Z1503" i="42" s="1"/>
  <c r="M1504" i="42"/>
  <c r="Z1504" i="42" s="1"/>
  <c r="M1505" i="42"/>
  <c r="Z1505" i="42" s="1"/>
  <c r="M1506" i="42"/>
  <c r="Z1506" i="42" s="1"/>
  <c r="M1507" i="42"/>
  <c r="Z1507" i="42" s="1"/>
  <c r="M1508" i="42"/>
  <c r="Z1508" i="42" s="1"/>
  <c r="M1509" i="42"/>
  <c r="Z1509" i="42" s="1"/>
  <c r="M1510" i="42"/>
  <c r="Z1510" i="42" s="1"/>
  <c r="M1511" i="42"/>
  <c r="Z1511" i="42" s="1"/>
  <c r="M1512" i="42"/>
  <c r="Z1512" i="42" s="1"/>
  <c r="M1513" i="42"/>
  <c r="Z1513" i="42" s="1"/>
  <c r="M1514" i="42"/>
  <c r="Z1514" i="42" s="1"/>
  <c r="M1515" i="42"/>
  <c r="Z1515" i="42" s="1"/>
  <c r="M1516" i="42"/>
  <c r="Z1516" i="42" s="1"/>
  <c r="M1517" i="42"/>
  <c r="Z1517" i="42" s="1"/>
  <c r="M1518" i="42"/>
  <c r="Z1518" i="42" s="1"/>
  <c r="M1519" i="42"/>
  <c r="Z1519" i="42" s="1"/>
  <c r="M1520" i="42"/>
  <c r="Z1520" i="42" s="1"/>
  <c r="M1521" i="42"/>
  <c r="Z1521" i="42" s="1"/>
  <c r="M1522" i="42"/>
  <c r="Z1522" i="42" s="1"/>
  <c r="M1523" i="42"/>
  <c r="Z1523" i="42" s="1"/>
  <c r="M1524" i="42"/>
  <c r="Z1524" i="42" s="1"/>
  <c r="M1525" i="42"/>
  <c r="Z1525" i="42" s="1"/>
  <c r="M1526" i="42"/>
  <c r="Z1526" i="42" s="1"/>
  <c r="M1527" i="42"/>
  <c r="Z1527" i="42" s="1"/>
  <c r="M1528" i="42"/>
  <c r="Z1528" i="42" s="1"/>
  <c r="M1529" i="42"/>
  <c r="Z1529" i="42" s="1"/>
  <c r="M1530" i="42"/>
  <c r="Z1530" i="42" s="1"/>
  <c r="M1531" i="42"/>
  <c r="Z1531" i="42" s="1"/>
  <c r="M1532" i="42"/>
  <c r="Z1532" i="42" s="1"/>
  <c r="M1533" i="42"/>
  <c r="Z1533" i="42" s="1"/>
  <c r="M1534" i="42"/>
  <c r="Z1534" i="42" s="1"/>
  <c r="M1535" i="42"/>
  <c r="Z1535" i="42" s="1"/>
  <c r="M1536" i="42"/>
  <c r="Z1536" i="42" s="1"/>
  <c r="M1537" i="42"/>
  <c r="Z1537" i="42" s="1"/>
  <c r="M1538" i="42"/>
  <c r="Z1538" i="42" s="1"/>
  <c r="M1539" i="42"/>
  <c r="Z1539" i="42" s="1"/>
  <c r="M1540" i="42"/>
  <c r="Z1540" i="42" s="1"/>
  <c r="M1541" i="42"/>
  <c r="Z1541" i="42" s="1"/>
  <c r="M1542" i="42"/>
  <c r="Z1542" i="42" s="1"/>
  <c r="M1543" i="42"/>
  <c r="Z1543" i="42" s="1"/>
  <c r="M1544" i="42"/>
  <c r="Z1544" i="42" s="1"/>
  <c r="M1545" i="42"/>
  <c r="Z1545" i="42" s="1"/>
  <c r="M1546" i="42"/>
  <c r="Z1546" i="42" s="1"/>
  <c r="M1547" i="42"/>
  <c r="Z1547" i="42" s="1"/>
  <c r="M1548" i="42"/>
  <c r="Z1548" i="42" s="1"/>
  <c r="M1549" i="42"/>
  <c r="Z1549" i="42" s="1"/>
  <c r="M1550" i="42"/>
  <c r="Z1550" i="42" s="1"/>
  <c r="M1551" i="42"/>
  <c r="Z1551" i="42" s="1"/>
  <c r="M1552" i="42"/>
  <c r="Z1552" i="42" s="1"/>
  <c r="M1553" i="42"/>
  <c r="Z1553" i="42" s="1"/>
  <c r="M1554" i="42"/>
  <c r="Z1554" i="42" s="1"/>
  <c r="M1555" i="42"/>
  <c r="Z1555" i="42" s="1"/>
  <c r="M1556" i="42"/>
  <c r="Z1556" i="42" s="1"/>
  <c r="M1557" i="42"/>
  <c r="Z1557" i="42" s="1"/>
  <c r="M1558" i="42"/>
  <c r="Z1558" i="42" s="1"/>
  <c r="M1559" i="42"/>
  <c r="Z1559" i="42" s="1"/>
  <c r="M1560" i="42"/>
  <c r="Z1560" i="42" s="1"/>
  <c r="M1561" i="42"/>
  <c r="Z1561" i="42" s="1"/>
  <c r="M1562" i="42"/>
  <c r="Z1562" i="42" s="1"/>
  <c r="M1563" i="42"/>
  <c r="Z1563" i="42" s="1"/>
  <c r="M1564" i="42"/>
  <c r="Z1564" i="42" s="1"/>
  <c r="M1565" i="42"/>
  <c r="Z1565" i="42" s="1"/>
  <c r="M1566" i="42"/>
  <c r="Z1566" i="42" s="1"/>
  <c r="M1567" i="42"/>
  <c r="Z1567" i="42" s="1"/>
  <c r="M1568" i="42"/>
  <c r="Z1568" i="42" s="1"/>
  <c r="M1569" i="42"/>
  <c r="Z1569" i="42" s="1"/>
  <c r="M1570" i="42"/>
  <c r="Z1570" i="42" s="1"/>
  <c r="M1571" i="42"/>
  <c r="Z1571" i="42" s="1"/>
  <c r="M1572" i="42"/>
  <c r="Z1572" i="42" s="1"/>
  <c r="M1573" i="42"/>
  <c r="Z1573" i="42" s="1"/>
  <c r="M1574" i="42"/>
  <c r="Z1574" i="42" s="1"/>
  <c r="M1575" i="42"/>
  <c r="Z1575" i="42" s="1"/>
  <c r="T3" i="42"/>
  <c r="T4" i="42"/>
  <c r="T5" i="42"/>
  <c r="T6" i="42"/>
  <c r="T7" i="42"/>
  <c r="T8" i="42"/>
  <c r="T9" i="42"/>
  <c r="T10" i="42"/>
  <c r="T11" i="42"/>
  <c r="T12" i="42"/>
  <c r="T13" i="42"/>
  <c r="T14" i="42"/>
  <c r="T15" i="42"/>
  <c r="T16" i="42"/>
  <c r="T17" i="42"/>
  <c r="T18" i="42"/>
  <c r="T19" i="42"/>
  <c r="T20" i="42"/>
  <c r="T21" i="42"/>
  <c r="T22" i="42"/>
  <c r="T23" i="42"/>
  <c r="T24" i="42"/>
  <c r="T25" i="42"/>
  <c r="T26" i="42"/>
  <c r="T27" i="42"/>
  <c r="T28" i="42"/>
  <c r="T29" i="42"/>
  <c r="T30" i="42"/>
  <c r="T31" i="42"/>
  <c r="T32" i="42"/>
  <c r="T33" i="42"/>
  <c r="T34" i="42"/>
  <c r="T35" i="42"/>
  <c r="T36" i="42"/>
  <c r="T37" i="42"/>
  <c r="T38" i="42"/>
  <c r="T39" i="42"/>
  <c r="T40" i="42"/>
  <c r="T41" i="42"/>
  <c r="T42" i="42"/>
  <c r="T43" i="42"/>
  <c r="T44" i="42"/>
  <c r="T45" i="42"/>
  <c r="T46" i="42"/>
  <c r="T47" i="42"/>
  <c r="T48" i="42"/>
  <c r="T49" i="42"/>
  <c r="T50" i="42"/>
  <c r="T51" i="42"/>
  <c r="T52" i="42"/>
  <c r="T53" i="42"/>
  <c r="T54" i="42"/>
  <c r="T55" i="42"/>
  <c r="T56" i="42"/>
  <c r="T57" i="42"/>
  <c r="T58" i="42"/>
  <c r="T59" i="42"/>
  <c r="T60" i="42"/>
  <c r="T61" i="42"/>
  <c r="T62" i="42"/>
  <c r="T63" i="42"/>
  <c r="T64" i="42"/>
  <c r="T65" i="42"/>
  <c r="T66" i="42"/>
  <c r="T67" i="42"/>
  <c r="T68" i="42"/>
  <c r="T69" i="42"/>
  <c r="T70" i="42"/>
  <c r="T71" i="42"/>
  <c r="T72" i="42"/>
  <c r="T73" i="42"/>
  <c r="T74" i="42"/>
  <c r="T75" i="42"/>
  <c r="T76" i="42"/>
  <c r="T77" i="42"/>
  <c r="T78" i="42"/>
  <c r="T79" i="42"/>
  <c r="T80" i="42"/>
  <c r="T81" i="42"/>
  <c r="T82" i="42"/>
  <c r="T83" i="42"/>
  <c r="T84" i="42"/>
  <c r="T85" i="42"/>
  <c r="T86" i="42"/>
  <c r="T87" i="42"/>
  <c r="T88" i="42"/>
  <c r="T89" i="42"/>
  <c r="T90" i="42"/>
  <c r="T91" i="42"/>
  <c r="T92" i="42"/>
  <c r="T93" i="42"/>
  <c r="T94" i="42"/>
  <c r="T95" i="42"/>
  <c r="T96" i="42"/>
  <c r="T97" i="42"/>
  <c r="T98" i="42"/>
  <c r="T99" i="42"/>
  <c r="T100" i="42"/>
  <c r="T101" i="42"/>
  <c r="T102" i="42"/>
  <c r="T103" i="42"/>
  <c r="T104" i="42"/>
  <c r="T105" i="42"/>
  <c r="T106" i="42"/>
  <c r="T107" i="42"/>
  <c r="T108" i="42"/>
  <c r="T109" i="42"/>
  <c r="T110" i="42"/>
  <c r="T111" i="42"/>
  <c r="T112" i="42"/>
  <c r="T113" i="42"/>
  <c r="T114" i="42"/>
  <c r="T115" i="42"/>
  <c r="T116" i="42"/>
  <c r="T117" i="42"/>
  <c r="T118" i="42"/>
  <c r="T119" i="42"/>
  <c r="T120" i="42"/>
  <c r="T121" i="42"/>
  <c r="T122" i="42"/>
  <c r="T123" i="42"/>
  <c r="T124" i="42"/>
  <c r="T125" i="42"/>
  <c r="T126" i="42"/>
  <c r="T127" i="42"/>
  <c r="T128" i="42"/>
  <c r="T129" i="42"/>
  <c r="T130" i="42"/>
  <c r="T131" i="42"/>
  <c r="T132" i="42"/>
  <c r="T133" i="42"/>
  <c r="T134" i="42"/>
  <c r="T135" i="42"/>
  <c r="T136" i="42"/>
  <c r="T137" i="42"/>
  <c r="T138" i="42"/>
  <c r="T139" i="42"/>
  <c r="T140" i="42"/>
  <c r="T141" i="42"/>
  <c r="T142" i="42"/>
  <c r="T143" i="42"/>
  <c r="T144" i="42"/>
  <c r="T145" i="42"/>
  <c r="T146" i="42"/>
  <c r="T147" i="42"/>
  <c r="T148" i="42"/>
  <c r="T149" i="42"/>
  <c r="T150" i="42"/>
  <c r="T151" i="42"/>
  <c r="T152" i="42"/>
  <c r="T153" i="42"/>
  <c r="T154" i="42"/>
  <c r="T155" i="42"/>
  <c r="T156" i="42"/>
  <c r="T157" i="42"/>
  <c r="T158" i="42"/>
  <c r="T159" i="42"/>
  <c r="T160" i="42"/>
  <c r="T161" i="42"/>
  <c r="T162" i="42"/>
  <c r="T163" i="42"/>
  <c r="T164" i="42"/>
  <c r="T165" i="42"/>
  <c r="T166" i="42"/>
  <c r="T167" i="42"/>
  <c r="T168" i="42"/>
  <c r="T169" i="42"/>
  <c r="T170" i="42"/>
  <c r="T171" i="42"/>
  <c r="T172" i="42"/>
  <c r="T173" i="42"/>
  <c r="T174" i="42"/>
  <c r="T175" i="42"/>
  <c r="T176" i="42"/>
  <c r="T177" i="42"/>
  <c r="T178" i="42"/>
  <c r="T179" i="42"/>
  <c r="T180" i="42"/>
  <c r="T181" i="42"/>
  <c r="T182" i="42"/>
  <c r="T183" i="42"/>
  <c r="T184" i="42"/>
  <c r="T185" i="42"/>
  <c r="T186" i="42"/>
  <c r="T187" i="42"/>
  <c r="T188" i="42"/>
  <c r="T189" i="42"/>
  <c r="T190" i="42"/>
  <c r="T191" i="42"/>
  <c r="T192" i="42"/>
  <c r="T193" i="42"/>
  <c r="T194" i="42"/>
  <c r="T195" i="42"/>
  <c r="T196" i="42"/>
  <c r="T197" i="42"/>
  <c r="T198" i="42"/>
  <c r="T199" i="42"/>
  <c r="T200" i="42"/>
  <c r="T201" i="42"/>
  <c r="T202" i="42"/>
  <c r="T203" i="42"/>
  <c r="T204" i="42"/>
  <c r="T205" i="42"/>
  <c r="T206" i="42"/>
  <c r="T207" i="42"/>
  <c r="T208" i="42"/>
  <c r="T209" i="42"/>
  <c r="T210" i="42"/>
  <c r="T211" i="42"/>
  <c r="T212" i="42"/>
  <c r="T213" i="42"/>
  <c r="T214" i="42"/>
  <c r="T215" i="42"/>
  <c r="T216" i="42"/>
  <c r="T217" i="42"/>
  <c r="T218" i="42"/>
  <c r="T219" i="42"/>
  <c r="T220" i="42"/>
  <c r="T221" i="42"/>
  <c r="T222" i="42"/>
  <c r="T223" i="42"/>
  <c r="T224" i="42"/>
  <c r="T225" i="42"/>
  <c r="T226" i="42"/>
  <c r="T227" i="42"/>
  <c r="T228" i="42"/>
  <c r="T229" i="42"/>
  <c r="T230" i="42"/>
  <c r="T231" i="42"/>
  <c r="T232" i="42"/>
  <c r="T233" i="42"/>
  <c r="T234" i="42"/>
  <c r="T235" i="42"/>
  <c r="T236" i="42"/>
  <c r="T237" i="42"/>
  <c r="T238" i="42"/>
  <c r="T239" i="42"/>
  <c r="T240" i="42"/>
  <c r="T241" i="42"/>
  <c r="T242" i="42"/>
  <c r="T243" i="42"/>
  <c r="T244" i="42"/>
  <c r="T245" i="42"/>
  <c r="T246" i="42"/>
  <c r="T247" i="42"/>
  <c r="T248" i="42"/>
  <c r="T249" i="42"/>
  <c r="T250" i="42"/>
  <c r="T251" i="42"/>
  <c r="T252" i="42"/>
  <c r="T253" i="42"/>
  <c r="T254" i="42"/>
  <c r="T255" i="42"/>
  <c r="T256" i="42"/>
  <c r="T257" i="42"/>
  <c r="T258" i="42"/>
  <c r="T259" i="42"/>
  <c r="T260" i="42"/>
  <c r="T261" i="42"/>
  <c r="T262" i="42"/>
  <c r="T263" i="42"/>
  <c r="T264" i="42"/>
  <c r="T265" i="42"/>
  <c r="T266" i="42"/>
  <c r="T267" i="42"/>
  <c r="T268" i="42"/>
  <c r="T269" i="42"/>
  <c r="T270" i="42"/>
  <c r="T271" i="42"/>
  <c r="T272" i="42"/>
  <c r="T273" i="42"/>
  <c r="T274" i="42"/>
  <c r="T275" i="42"/>
  <c r="T276" i="42"/>
  <c r="T277" i="42"/>
  <c r="T278" i="42"/>
  <c r="T279" i="42"/>
  <c r="T280" i="42"/>
  <c r="T281" i="42"/>
  <c r="T282" i="42"/>
  <c r="T283" i="42"/>
  <c r="T284" i="42"/>
  <c r="T285" i="42"/>
  <c r="T286" i="42"/>
  <c r="T287" i="42"/>
  <c r="T288" i="42"/>
  <c r="T289" i="42"/>
  <c r="T290" i="42"/>
  <c r="T291" i="42"/>
  <c r="T292" i="42"/>
  <c r="T293" i="42"/>
  <c r="T294" i="42"/>
  <c r="T295" i="42"/>
  <c r="T296" i="42"/>
  <c r="T297" i="42"/>
  <c r="T298" i="42"/>
  <c r="T299" i="42"/>
  <c r="T300" i="42"/>
  <c r="T301" i="42"/>
  <c r="T302" i="42"/>
  <c r="T303" i="42"/>
  <c r="T304" i="42"/>
  <c r="T305" i="42"/>
  <c r="T306" i="42"/>
  <c r="T307" i="42"/>
  <c r="T308" i="42"/>
  <c r="T309" i="42"/>
  <c r="T310" i="42"/>
  <c r="T311" i="42"/>
  <c r="T312" i="42"/>
  <c r="T313" i="42"/>
  <c r="T314" i="42"/>
  <c r="T315" i="42"/>
  <c r="T316" i="42"/>
  <c r="T317" i="42"/>
  <c r="T318" i="42"/>
  <c r="T319" i="42"/>
  <c r="T320" i="42"/>
  <c r="T321" i="42"/>
  <c r="T322" i="42"/>
  <c r="T323" i="42"/>
  <c r="T324" i="42"/>
  <c r="T325" i="42"/>
  <c r="T326" i="42"/>
  <c r="T327" i="42"/>
  <c r="T328" i="42"/>
  <c r="T329" i="42"/>
  <c r="T330" i="42"/>
  <c r="T331" i="42"/>
  <c r="T332" i="42"/>
  <c r="T333" i="42"/>
  <c r="T334" i="42"/>
  <c r="T335" i="42"/>
  <c r="T336" i="42"/>
  <c r="T337" i="42"/>
  <c r="T338" i="42"/>
  <c r="T339" i="42"/>
  <c r="T340" i="42"/>
  <c r="T341" i="42"/>
  <c r="T342" i="42"/>
  <c r="T343" i="42"/>
  <c r="T344" i="42"/>
  <c r="T345" i="42"/>
  <c r="T346" i="42"/>
  <c r="T347" i="42"/>
  <c r="T348" i="42"/>
  <c r="T349" i="42"/>
  <c r="T350" i="42"/>
  <c r="T351" i="42"/>
  <c r="T352" i="42"/>
  <c r="T353" i="42"/>
  <c r="T354" i="42"/>
  <c r="T355" i="42"/>
  <c r="T356" i="42"/>
  <c r="T357" i="42"/>
  <c r="T358" i="42"/>
  <c r="T359" i="42"/>
  <c r="T360" i="42"/>
  <c r="T361" i="42"/>
  <c r="T362" i="42"/>
  <c r="T363" i="42"/>
  <c r="T364" i="42"/>
  <c r="T365" i="42"/>
  <c r="T366" i="42"/>
  <c r="T367" i="42"/>
  <c r="T368" i="42"/>
  <c r="T369" i="42"/>
  <c r="T370" i="42"/>
  <c r="T371" i="42"/>
  <c r="T372" i="42"/>
  <c r="T373" i="42"/>
  <c r="T374" i="42"/>
  <c r="T375" i="42"/>
  <c r="T376" i="42"/>
  <c r="T377" i="42"/>
  <c r="T378" i="42"/>
  <c r="T379" i="42"/>
  <c r="T380" i="42"/>
  <c r="T381" i="42"/>
  <c r="T382" i="42"/>
  <c r="T383" i="42"/>
  <c r="T384" i="42"/>
  <c r="T385" i="42"/>
  <c r="T386" i="42"/>
  <c r="T387" i="42"/>
  <c r="T388" i="42"/>
  <c r="T389" i="42"/>
  <c r="T390" i="42"/>
  <c r="T391" i="42"/>
  <c r="T392" i="42"/>
  <c r="T393" i="42"/>
  <c r="T394" i="42"/>
  <c r="T395" i="42"/>
  <c r="T396" i="42"/>
  <c r="T397" i="42"/>
  <c r="T398" i="42"/>
  <c r="T399" i="42"/>
  <c r="T400" i="42"/>
  <c r="T401" i="42"/>
  <c r="T402" i="42"/>
  <c r="T403" i="42"/>
  <c r="T404" i="42"/>
  <c r="T405" i="42"/>
  <c r="T406" i="42"/>
  <c r="T407" i="42"/>
  <c r="T408" i="42"/>
  <c r="T409" i="42"/>
  <c r="T410" i="42"/>
  <c r="T411" i="42"/>
  <c r="T412" i="42"/>
  <c r="T413" i="42"/>
  <c r="T414" i="42"/>
  <c r="T415" i="42"/>
  <c r="T416" i="42"/>
  <c r="T417" i="42"/>
  <c r="T418" i="42"/>
  <c r="T419" i="42"/>
  <c r="T420" i="42"/>
  <c r="T421" i="42"/>
  <c r="T422" i="42"/>
  <c r="T423" i="42"/>
  <c r="T424" i="42"/>
  <c r="T425" i="42"/>
  <c r="T426" i="42"/>
  <c r="T427" i="42"/>
  <c r="T428" i="42"/>
  <c r="T429" i="42"/>
  <c r="T430" i="42"/>
  <c r="T431" i="42"/>
  <c r="T432" i="42"/>
  <c r="T433" i="42"/>
  <c r="T434" i="42"/>
  <c r="T435" i="42"/>
  <c r="T436" i="42"/>
  <c r="T437" i="42"/>
  <c r="T438" i="42"/>
  <c r="T439" i="42"/>
  <c r="T440" i="42"/>
  <c r="T441" i="42"/>
  <c r="T442" i="42"/>
  <c r="T443" i="42"/>
  <c r="T444" i="42"/>
  <c r="T445" i="42"/>
  <c r="T446" i="42"/>
  <c r="T447" i="42"/>
  <c r="T448" i="42"/>
  <c r="T449" i="42"/>
  <c r="T450" i="42"/>
  <c r="T451" i="42"/>
  <c r="T452" i="42"/>
  <c r="T453" i="42"/>
  <c r="T454" i="42"/>
  <c r="T455" i="42"/>
  <c r="T456" i="42"/>
  <c r="T457" i="42"/>
  <c r="T458" i="42"/>
  <c r="T459" i="42"/>
  <c r="T460" i="42"/>
  <c r="T461" i="42"/>
  <c r="T462" i="42"/>
  <c r="T463" i="42"/>
  <c r="T464" i="42"/>
  <c r="T465" i="42"/>
  <c r="T466" i="42"/>
  <c r="T467" i="42"/>
  <c r="T468" i="42"/>
  <c r="T469" i="42"/>
  <c r="T470" i="42"/>
  <c r="T471" i="42"/>
  <c r="T472" i="42"/>
  <c r="T473" i="42"/>
  <c r="T474" i="42"/>
  <c r="T475" i="42"/>
  <c r="T476" i="42"/>
  <c r="T477" i="42"/>
  <c r="T478" i="42"/>
  <c r="T479" i="42"/>
  <c r="T480" i="42"/>
  <c r="T481" i="42"/>
  <c r="T482" i="42"/>
  <c r="T483" i="42"/>
  <c r="T484" i="42"/>
  <c r="T485" i="42"/>
  <c r="T486" i="42"/>
  <c r="T487" i="42"/>
  <c r="T488" i="42"/>
  <c r="T489" i="42"/>
  <c r="T490" i="42"/>
  <c r="T491" i="42"/>
  <c r="T492" i="42"/>
  <c r="T493" i="42"/>
  <c r="T494" i="42"/>
  <c r="T495" i="42"/>
  <c r="T496" i="42"/>
  <c r="T497" i="42"/>
  <c r="T498" i="42"/>
  <c r="T499" i="42"/>
  <c r="T500" i="42"/>
  <c r="T501" i="42"/>
  <c r="T502" i="42"/>
  <c r="T503" i="42"/>
  <c r="T504" i="42"/>
  <c r="T505" i="42"/>
  <c r="T506" i="42"/>
  <c r="T507" i="42"/>
  <c r="T508" i="42"/>
  <c r="T509" i="42"/>
  <c r="T510" i="42"/>
  <c r="T511" i="42"/>
  <c r="T512" i="42"/>
  <c r="T513" i="42"/>
  <c r="T514" i="42"/>
  <c r="T515" i="42"/>
  <c r="T516" i="42"/>
  <c r="T517" i="42"/>
  <c r="T518" i="42"/>
  <c r="T519" i="42"/>
  <c r="T520" i="42"/>
  <c r="T521" i="42"/>
  <c r="T522" i="42"/>
  <c r="T523" i="42"/>
  <c r="T524" i="42"/>
  <c r="T525" i="42"/>
  <c r="T526" i="42"/>
  <c r="T527" i="42"/>
  <c r="T528" i="42"/>
  <c r="T529" i="42"/>
  <c r="T530" i="42"/>
  <c r="T531" i="42"/>
  <c r="T532" i="42"/>
  <c r="T533" i="42"/>
  <c r="T534" i="42"/>
  <c r="T535" i="42"/>
  <c r="T536" i="42"/>
  <c r="T537" i="42"/>
  <c r="T538" i="42"/>
  <c r="T539" i="42"/>
  <c r="T540" i="42"/>
  <c r="T541" i="42"/>
  <c r="T542" i="42"/>
  <c r="T543" i="42"/>
  <c r="T544" i="42"/>
  <c r="T545" i="42"/>
  <c r="T546" i="42"/>
  <c r="T547" i="42"/>
  <c r="T548" i="42"/>
  <c r="T549" i="42"/>
  <c r="T550" i="42"/>
  <c r="T551" i="42"/>
  <c r="T552" i="42"/>
  <c r="T553" i="42"/>
  <c r="T554" i="42"/>
  <c r="T555" i="42"/>
  <c r="T556" i="42"/>
  <c r="T557" i="42"/>
  <c r="T558" i="42"/>
  <c r="T559" i="42"/>
  <c r="T560" i="42"/>
  <c r="T561" i="42"/>
  <c r="T562" i="42"/>
  <c r="T563" i="42"/>
  <c r="T564" i="42"/>
  <c r="T565" i="42"/>
  <c r="T566" i="42"/>
  <c r="T567" i="42"/>
  <c r="T568" i="42"/>
  <c r="T569" i="42"/>
  <c r="T570" i="42"/>
  <c r="T571" i="42"/>
  <c r="T572" i="42"/>
  <c r="T573" i="42"/>
  <c r="T574" i="42"/>
  <c r="T575" i="42"/>
  <c r="T576" i="42"/>
  <c r="T577" i="42"/>
  <c r="T578" i="42"/>
  <c r="T579" i="42"/>
  <c r="T580" i="42"/>
  <c r="T581" i="42"/>
  <c r="T582" i="42"/>
  <c r="T583" i="42"/>
  <c r="T584" i="42"/>
  <c r="T585" i="42"/>
  <c r="T586" i="42"/>
  <c r="T587" i="42"/>
  <c r="T588" i="42"/>
  <c r="T589" i="42"/>
  <c r="T590" i="42"/>
  <c r="T591" i="42"/>
  <c r="T592" i="42"/>
  <c r="T593" i="42"/>
  <c r="T594" i="42"/>
  <c r="T595" i="42"/>
  <c r="T596" i="42"/>
  <c r="T597" i="42"/>
  <c r="T598" i="42"/>
  <c r="T599" i="42"/>
  <c r="T600" i="42"/>
  <c r="T601" i="42"/>
  <c r="T602" i="42"/>
  <c r="T603" i="42"/>
  <c r="T604" i="42"/>
  <c r="T605" i="42"/>
  <c r="T606" i="42"/>
  <c r="T607" i="42"/>
  <c r="T608" i="42"/>
  <c r="T609" i="42"/>
  <c r="T610" i="42"/>
  <c r="T611" i="42"/>
  <c r="T612" i="42"/>
  <c r="T613" i="42"/>
  <c r="T614" i="42"/>
  <c r="T615" i="42"/>
  <c r="T616" i="42"/>
  <c r="T617" i="42"/>
  <c r="T618" i="42"/>
  <c r="T619" i="42"/>
  <c r="T620" i="42"/>
  <c r="T621" i="42"/>
  <c r="T622" i="42"/>
  <c r="T623" i="42"/>
  <c r="T624" i="42"/>
  <c r="T625" i="42"/>
  <c r="T626" i="42"/>
  <c r="T627" i="42"/>
  <c r="T628" i="42"/>
  <c r="T629" i="42"/>
  <c r="T630" i="42"/>
  <c r="T631" i="42"/>
  <c r="T632" i="42"/>
  <c r="T633" i="42"/>
  <c r="T634" i="42"/>
  <c r="T635" i="42"/>
  <c r="T636" i="42"/>
  <c r="T637" i="42"/>
  <c r="T638" i="42"/>
  <c r="T639" i="42"/>
  <c r="T640" i="42"/>
  <c r="T641" i="42"/>
  <c r="T642" i="42"/>
  <c r="T643" i="42"/>
  <c r="T644" i="42"/>
  <c r="T645" i="42"/>
  <c r="T646" i="42"/>
  <c r="T647" i="42"/>
  <c r="T648" i="42"/>
  <c r="T649" i="42"/>
  <c r="T650" i="42"/>
  <c r="T651" i="42"/>
  <c r="T652" i="42"/>
  <c r="T653" i="42"/>
  <c r="T654" i="42"/>
  <c r="T655" i="42"/>
  <c r="T656" i="42"/>
  <c r="T657" i="42"/>
  <c r="T658" i="42"/>
  <c r="T659" i="42"/>
  <c r="T660" i="42"/>
  <c r="T661" i="42"/>
  <c r="T662" i="42"/>
  <c r="T663" i="42"/>
  <c r="T664" i="42"/>
  <c r="T665" i="42"/>
  <c r="T666" i="42"/>
  <c r="T667" i="42"/>
  <c r="T668" i="42"/>
  <c r="T669" i="42"/>
  <c r="T670" i="42"/>
  <c r="T671" i="42"/>
  <c r="T672" i="42"/>
  <c r="T673" i="42"/>
  <c r="T674" i="42"/>
  <c r="T675" i="42"/>
  <c r="T676" i="42"/>
  <c r="T677" i="42"/>
  <c r="T678" i="42"/>
  <c r="T679" i="42"/>
  <c r="T680" i="42"/>
  <c r="T681" i="42"/>
  <c r="T682" i="42"/>
  <c r="T683" i="42"/>
  <c r="T684" i="42"/>
  <c r="T685" i="42"/>
  <c r="T686" i="42"/>
  <c r="T687" i="42"/>
  <c r="T688" i="42"/>
  <c r="T689" i="42"/>
  <c r="T690" i="42"/>
  <c r="T691" i="42"/>
  <c r="T692" i="42"/>
  <c r="T693" i="42"/>
  <c r="T694" i="42"/>
  <c r="T695" i="42"/>
  <c r="T696" i="42"/>
  <c r="T697" i="42"/>
  <c r="T698" i="42"/>
  <c r="T699" i="42"/>
  <c r="T700" i="42"/>
  <c r="T701" i="42"/>
  <c r="T702" i="42"/>
  <c r="T703" i="42"/>
  <c r="T704" i="42"/>
  <c r="T705" i="42"/>
  <c r="T706" i="42"/>
  <c r="T707" i="42"/>
  <c r="T708" i="42"/>
  <c r="T709" i="42"/>
  <c r="T710" i="42"/>
  <c r="T711" i="42"/>
  <c r="T712" i="42"/>
  <c r="T713" i="42"/>
  <c r="T714" i="42"/>
  <c r="T715" i="42"/>
  <c r="T716" i="42"/>
  <c r="T717" i="42"/>
  <c r="T718" i="42"/>
  <c r="T719" i="42"/>
  <c r="T720" i="42"/>
  <c r="T721" i="42"/>
  <c r="T722" i="42"/>
  <c r="T723" i="42"/>
  <c r="T724" i="42"/>
  <c r="T725" i="42"/>
  <c r="T726" i="42"/>
  <c r="T727" i="42"/>
  <c r="T728" i="42"/>
  <c r="T729" i="42"/>
  <c r="T730" i="42"/>
  <c r="T731" i="42"/>
  <c r="T732" i="42"/>
  <c r="T733" i="42"/>
  <c r="T734" i="42"/>
  <c r="T735" i="42"/>
  <c r="T736" i="42"/>
  <c r="T737" i="42"/>
  <c r="T738" i="42"/>
  <c r="T739" i="42"/>
  <c r="T740" i="42"/>
  <c r="T741" i="42"/>
  <c r="T742" i="42"/>
  <c r="T743" i="42"/>
  <c r="T744" i="42"/>
  <c r="T745" i="42"/>
  <c r="T746" i="42"/>
  <c r="T747" i="42"/>
  <c r="T748" i="42"/>
  <c r="T749" i="42"/>
  <c r="T750" i="42"/>
  <c r="T751" i="42"/>
  <c r="T752" i="42"/>
  <c r="T753" i="42"/>
  <c r="T754" i="42"/>
  <c r="T755" i="42"/>
  <c r="T756" i="42"/>
  <c r="T757" i="42"/>
  <c r="T758" i="42"/>
  <c r="T759" i="42"/>
  <c r="T760" i="42"/>
  <c r="T761" i="42"/>
  <c r="T762" i="42"/>
  <c r="T763" i="42"/>
  <c r="T764" i="42"/>
  <c r="T765" i="42"/>
  <c r="T766" i="42"/>
  <c r="T767" i="42"/>
  <c r="T768" i="42"/>
  <c r="T769" i="42"/>
  <c r="T770" i="42"/>
  <c r="T771" i="42"/>
  <c r="T772" i="42"/>
  <c r="T773" i="42"/>
  <c r="T774" i="42"/>
  <c r="T775" i="42"/>
  <c r="T776" i="42"/>
  <c r="T777" i="42"/>
  <c r="T778" i="42"/>
  <c r="T779" i="42"/>
  <c r="T780" i="42"/>
  <c r="T781" i="42"/>
  <c r="T782" i="42"/>
  <c r="T783" i="42"/>
  <c r="T784" i="42"/>
  <c r="T785" i="42"/>
  <c r="T786" i="42"/>
  <c r="T787" i="42"/>
  <c r="T788" i="42"/>
  <c r="T789" i="42"/>
  <c r="T790" i="42"/>
  <c r="T791" i="42"/>
  <c r="T792" i="42"/>
  <c r="T793" i="42"/>
  <c r="T794" i="42"/>
  <c r="T795" i="42"/>
  <c r="T796" i="42"/>
  <c r="T797" i="42"/>
  <c r="T798" i="42"/>
  <c r="T799" i="42"/>
  <c r="T800" i="42"/>
  <c r="T801" i="42"/>
  <c r="T802" i="42"/>
  <c r="T803" i="42"/>
  <c r="T804" i="42"/>
  <c r="T805" i="42"/>
  <c r="T806" i="42"/>
  <c r="T807" i="42"/>
  <c r="T808" i="42"/>
  <c r="T809" i="42"/>
  <c r="T810" i="42"/>
  <c r="T811" i="42"/>
  <c r="T812" i="42"/>
  <c r="T813" i="42"/>
  <c r="T814" i="42"/>
  <c r="T815" i="42"/>
  <c r="T816" i="42"/>
  <c r="T817" i="42"/>
  <c r="T818" i="42"/>
  <c r="T819" i="42"/>
  <c r="T820" i="42"/>
  <c r="T821" i="42"/>
  <c r="T822" i="42"/>
  <c r="T823" i="42"/>
  <c r="T824" i="42"/>
  <c r="T825" i="42"/>
  <c r="T826" i="42"/>
  <c r="T827" i="42"/>
  <c r="T828" i="42"/>
  <c r="T829" i="42"/>
  <c r="T830" i="42"/>
  <c r="T831" i="42"/>
  <c r="T832" i="42"/>
  <c r="T833" i="42"/>
  <c r="T834" i="42"/>
  <c r="T835" i="42"/>
  <c r="T836" i="42"/>
  <c r="T837" i="42"/>
  <c r="T838" i="42"/>
  <c r="T839" i="42"/>
  <c r="T840" i="42"/>
  <c r="T841" i="42"/>
  <c r="T842" i="42"/>
  <c r="T843" i="42"/>
  <c r="T844" i="42"/>
  <c r="T845" i="42"/>
  <c r="T846" i="42"/>
  <c r="T847" i="42"/>
  <c r="T848" i="42"/>
  <c r="T849" i="42"/>
  <c r="T850" i="42"/>
  <c r="T851" i="42"/>
  <c r="T852" i="42"/>
  <c r="T853" i="42"/>
  <c r="T854" i="42"/>
  <c r="T855" i="42"/>
  <c r="T856" i="42"/>
  <c r="T857" i="42"/>
  <c r="T858" i="42"/>
  <c r="T859" i="42"/>
  <c r="T860" i="42"/>
  <c r="T861" i="42"/>
  <c r="T862" i="42"/>
  <c r="T863" i="42"/>
  <c r="T864" i="42"/>
  <c r="T865" i="42"/>
  <c r="T866" i="42"/>
  <c r="T867" i="42"/>
  <c r="T868" i="42"/>
  <c r="T869" i="42"/>
  <c r="T870" i="42"/>
  <c r="T871" i="42"/>
  <c r="T872" i="42"/>
  <c r="T873" i="42"/>
  <c r="T874" i="42"/>
  <c r="T875" i="42"/>
  <c r="T876" i="42"/>
  <c r="T877" i="42"/>
  <c r="T878" i="42"/>
  <c r="T879" i="42"/>
  <c r="T880" i="42"/>
  <c r="T881" i="42"/>
  <c r="T882" i="42"/>
  <c r="T883" i="42"/>
  <c r="T884" i="42"/>
  <c r="T885" i="42"/>
  <c r="T886" i="42"/>
  <c r="T887" i="42"/>
  <c r="T888" i="42"/>
  <c r="T889" i="42"/>
  <c r="T890" i="42"/>
  <c r="T891" i="42"/>
  <c r="T892" i="42"/>
  <c r="T893" i="42"/>
  <c r="T894" i="42"/>
  <c r="T895" i="42"/>
  <c r="T896" i="42"/>
  <c r="T897" i="42"/>
  <c r="T898" i="42"/>
  <c r="T899" i="42"/>
  <c r="T900" i="42"/>
  <c r="T901" i="42"/>
  <c r="T902" i="42"/>
  <c r="T903" i="42"/>
  <c r="T904" i="42"/>
  <c r="T905" i="42"/>
  <c r="T906" i="42"/>
  <c r="T907" i="42"/>
  <c r="T908" i="42"/>
  <c r="T909" i="42"/>
  <c r="T910" i="42"/>
  <c r="T911" i="42"/>
  <c r="T912" i="42"/>
  <c r="T913" i="42"/>
  <c r="T914" i="42"/>
  <c r="T915" i="42"/>
  <c r="T916" i="42"/>
  <c r="T917" i="42"/>
  <c r="T918" i="42"/>
  <c r="T919" i="42"/>
  <c r="T920" i="42"/>
  <c r="T921" i="42"/>
  <c r="T922" i="42"/>
  <c r="T923" i="42"/>
  <c r="T924" i="42"/>
  <c r="T925" i="42"/>
  <c r="T926" i="42"/>
  <c r="T927" i="42"/>
  <c r="T928" i="42"/>
  <c r="T929" i="42"/>
  <c r="T930" i="42"/>
  <c r="T931" i="42"/>
  <c r="T932" i="42"/>
  <c r="T933" i="42"/>
  <c r="T934" i="42"/>
  <c r="T935" i="42"/>
  <c r="T936" i="42"/>
  <c r="T937" i="42"/>
  <c r="T938" i="42"/>
  <c r="T939" i="42"/>
  <c r="T940" i="42"/>
  <c r="T941" i="42"/>
  <c r="T942" i="42"/>
  <c r="T943" i="42"/>
  <c r="T944" i="42"/>
  <c r="T945" i="42"/>
  <c r="T946" i="42"/>
  <c r="T947" i="42"/>
  <c r="T948" i="42"/>
  <c r="T949" i="42"/>
  <c r="T950" i="42"/>
  <c r="T951" i="42"/>
  <c r="T952" i="42"/>
  <c r="T953" i="42"/>
  <c r="T954" i="42"/>
  <c r="T955" i="42"/>
  <c r="T956" i="42"/>
  <c r="T957" i="42"/>
  <c r="T1084" i="42"/>
  <c r="T959" i="42"/>
  <c r="T960" i="42"/>
  <c r="T961" i="42"/>
  <c r="T962" i="42"/>
  <c r="T963" i="42"/>
  <c r="T964" i="42"/>
  <c r="T965" i="42"/>
  <c r="T966" i="42"/>
  <c r="T967" i="42"/>
  <c r="T968" i="42"/>
  <c r="T969" i="42"/>
  <c r="T970" i="42"/>
  <c r="T971" i="42"/>
  <c r="T972" i="42"/>
  <c r="T973" i="42"/>
  <c r="T974" i="42"/>
  <c r="T975" i="42"/>
  <c r="T976" i="42"/>
  <c r="T977" i="42"/>
  <c r="T978" i="42"/>
  <c r="T979" i="42"/>
  <c r="T980" i="42"/>
  <c r="T981" i="42"/>
  <c r="T982" i="42"/>
  <c r="T983" i="42"/>
  <c r="T984" i="42"/>
  <c r="T985" i="42"/>
  <c r="T986" i="42"/>
  <c r="T987" i="42"/>
  <c r="T988" i="42"/>
  <c r="T989" i="42"/>
  <c r="T990" i="42"/>
  <c r="T991" i="42"/>
  <c r="T992" i="42"/>
  <c r="T993" i="42"/>
  <c r="T1085" i="42"/>
  <c r="T1086" i="42"/>
  <c r="T1087" i="42"/>
  <c r="T1088" i="42"/>
  <c r="T1089" i="42"/>
  <c r="T1090" i="42"/>
  <c r="T1091" i="42"/>
  <c r="T958" i="42"/>
  <c r="T1116" i="42"/>
  <c r="T1117" i="42"/>
  <c r="T1118" i="42"/>
  <c r="T1119" i="42"/>
  <c r="T1120" i="42"/>
  <c r="T1121" i="42"/>
  <c r="T1122" i="42"/>
  <c r="T1123" i="42"/>
  <c r="T1159" i="42"/>
  <c r="T1160" i="42"/>
  <c r="T1161" i="42"/>
  <c r="T1162" i="42"/>
  <c r="T1163" i="42"/>
  <c r="T1164" i="42"/>
  <c r="T1165" i="42"/>
  <c r="T1166" i="42"/>
  <c r="T1167" i="42"/>
  <c r="T1019" i="42"/>
  <c r="T1020" i="42"/>
  <c r="T1021" i="42"/>
  <c r="T1022" i="42"/>
  <c r="T1023" i="42"/>
  <c r="T1024" i="42"/>
  <c r="T1025" i="42"/>
  <c r="T1026" i="42"/>
  <c r="T1027" i="42"/>
  <c r="T1028" i="42"/>
  <c r="T1029" i="42"/>
  <c r="T1030" i="42"/>
  <c r="T1031" i="42"/>
  <c r="T1032" i="42"/>
  <c r="T1033" i="42"/>
  <c r="T1034" i="42"/>
  <c r="T1035" i="42"/>
  <c r="T1036" i="42"/>
  <c r="T1037" i="42"/>
  <c r="T1038" i="42"/>
  <c r="T1039" i="42"/>
  <c r="T1040" i="42"/>
  <c r="T1041" i="42"/>
  <c r="T1042" i="42"/>
  <c r="T1043" i="42"/>
  <c r="T1044" i="42"/>
  <c r="T1045" i="42"/>
  <c r="T1046" i="42"/>
  <c r="T1047" i="42"/>
  <c r="T1048" i="42"/>
  <c r="T1049" i="42"/>
  <c r="T1050" i="42"/>
  <c r="T1051" i="42"/>
  <c r="T1052" i="42"/>
  <c r="T1053" i="42"/>
  <c r="T1054" i="42"/>
  <c r="T1055" i="42"/>
  <c r="T1056" i="42"/>
  <c r="T1057" i="42"/>
  <c r="T1058" i="42"/>
  <c r="T1059" i="42"/>
  <c r="T1060" i="42"/>
  <c r="T1061" i="42"/>
  <c r="T1062" i="42"/>
  <c r="T1063" i="42"/>
  <c r="T1064" i="42"/>
  <c r="T1065" i="42"/>
  <c r="T1066" i="42"/>
  <c r="T1067" i="42"/>
  <c r="T1068" i="42"/>
  <c r="T1069" i="42"/>
  <c r="T1070" i="42"/>
  <c r="T1071" i="42"/>
  <c r="T1072" i="42"/>
  <c r="T1073" i="42"/>
  <c r="T1074" i="42"/>
  <c r="T1075" i="42"/>
  <c r="T1076" i="42"/>
  <c r="T1077" i="42"/>
  <c r="T1078" i="42"/>
  <c r="T1079" i="42"/>
  <c r="T1080" i="42"/>
  <c r="T1081" i="42"/>
  <c r="T1082" i="42"/>
  <c r="T1083" i="42"/>
  <c r="T1168" i="42"/>
  <c r="T1169" i="42"/>
  <c r="T1170" i="42"/>
  <c r="T994" i="42"/>
  <c r="T995" i="42"/>
  <c r="T996" i="42"/>
  <c r="T997" i="42"/>
  <c r="T998" i="42"/>
  <c r="T1092" i="42"/>
  <c r="T1093" i="42"/>
  <c r="T1094" i="42"/>
  <c r="T1095" i="42"/>
  <c r="T1096" i="42"/>
  <c r="T1097" i="42"/>
  <c r="T1098" i="42"/>
  <c r="T1099" i="42"/>
  <c r="T1100" i="42"/>
  <c r="T1101" i="42"/>
  <c r="T1102" i="42"/>
  <c r="T1103" i="42"/>
  <c r="T1104" i="42"/>
  <c r="T1105" i="42"/>
  <c r="T1106" i="42"/>
  <c r="T1107" i="42"/>
  <c r="T1108" i="42"/>
  <c r="T1109" i="42"/>
  <c r="T1110" i="42"/>
  <c r="T1111" i="42"/>
  <c r="T1112" i="42"/>
  <c r="T1113" i="42"/>
  <c r="T1114" i="42"/>
  <c r="T1115" i="42"/>
  <c r="T999" i="42"/>
  <c r="T1000" i="42"/>
  <c r="T1001" i="42"/>
  <c r="T1002" i="42"/>
  <c r="T1003" i="42"/>
  <c r="T1004" i="42"/>
  <c r="T1005" i="42"/>
  <c r="T1006" i="42"/>
  <c r="T1124" i="42"/>
  <c r="T1125" i="42"/>
  <c r="T1126" i="42"/>
  <c r="T1127" i="42"/>
  <c r="T1128" i="42"/>
  <c r="T1129" i="42"/>
  <c r="T1130" i="42"/>
  <c r="T1131" i="42"/>
  <c r="T1132" i="42"/>
  <c r="T1133" i="42"/>
  <c r="T1134" i="42"/>
  <c r="T1135" i="42"/>
  <c r="T1136" i="42"/>
  <c r="T1137" i="42"/>
  <c r="T1138" i="42"/>
  <c r="T1139" i="42"/>
  <c r="T1140" i="42"/>
  <c r="T1141" i="42"/>
  <c r="T1142" i="42"/>
  <c r="T1143" i="42"/>
  <c r="T1144" i="42"/>
  <c r="T1145" i="42"/>
  <c r="T1146" i="42"/>
  <c r="T1147" i="42"/>
  <c r="T1148" i="42"/>
  <c r="T1149" i="42"/>
  <c r="T1150" i="42"/>
  <c r="T1151" i="42"/>
  <c r="T1152" i="42"/>
  <c r="T1153" i="42"/>
  <c r="T1154" i="42"/>
  <c r="T1155" i="42"/>
  <c r="T1156" i="42"/>
  <c r="T1157" i="42"/>
  <c r="T1158" i="42"/>
  <c r="T1007" i="42"/>
  <c r="T1008" i="42"/>
  <c r="T1009" i="42"/>
  <c r="T1010" i="42"/>
  <c r="T1011" i="42"/>
  <c r="T1012" i="42"/>
  <c r="T1013" i="42"/>
  <c r="T1014" i="42"/>
  <c r="T1015" i="42"/>
  <c r="T1016" i="42"/>
  <c r="T1017" i="42"/>
  <c r="T1018" i="42"/>
  <c r="T1171" i="42"/>
  <c r="T1172" i="42"/>
  <c r="T1173" i="42"/>
  <c r="T1174" i="42"/>
  <c r="T1175" i="42"/>
  <c r="T1176" i="42"/>
  <c r="T1177" i="42"/>
  <c r="T1178" i="42"/>
  <c r="T1179" i="42"/>
  <c r="T1180" i="42"/>
  <c r="T1181" i="42"/>
  <c r="T1182" i="42"/>
  <c r="T1183" i="42"/>
  <c r="T1184" i="42"/>
  <c r="T1185" i="42"/>
  <c r="T1186" i="42"/>
  <c r="T1187" i="42"/>
  <c r="T1188" i="42"/>
  <c r="T1189" i="42"/>
  <c r="T1190" i="42"/>
  <c r="T1191" i="42"/>
  <c r="T1192" i="42"/>
  <c r="T1193" i="42"/>
  <c r="T1194" i="42"/>
  <c r="T1195" i="42"/>
  <c r="T1196" i="42"/>
  <c r="T1197" i="42"/>
  <c r="T1198" i="42"/>
  <c r="T1199" i="42"/>
  <c r="T1200" i="42"/>
  <c r="T1201" i="42"/>
  <c r="T1202" i="42"/>
  <c r="T1203" i="42"/>
  <c r="T1204" i="42"/>
  <c r="T1205" i="42"/>
  <c r="T1206" i="42"/>
  <c r="T1207" i="42"/>
  <c r="T1208" i="42"/>
  <c r="T1209" i="42"/>
  <c r="T1210" i="42"/>
  <c r="T1211" i="42"/>
  <c r="T1212" i="42"/>
  <c r="T1213" i="42"/>
  <c r="T1214" i="42"/>
  <c r="T1215" i="42"/>
  <c r="T1216" i="42"/>
  <c r="T1229" i="42"/>
  <c r="T1217" i="42"/>
  <c r="T1218" i="42"/>
  <c r="T1219" i="42"/>
  <c r="T1221" i="42"/>
  <c r="T1222" i="42"/>
  <c r="T1223" i="42"/>
  <c r="T1224" i="42"/>
  <c r="T1225" i="42"/>
  <c r="T1220" i="42"/>
  <c r="T1227" i="42"/>
  <c r="T1228" i="42"/>
  <c r="T1226" i="42"/>
  <c r="T1230" i="42"/>
  <c r="T1231" i="42"/>
  <c r="T1232" i="42"/>
  <c r="T1233" i="42"/>
  <c r="T1234" i="42"/>
  <c r="T1235" i="42"/>
  <c r="T1236" i="42"/>
  <c r="T1237" i="42"/>
  <c r="T1238" i="42"/>
  <c r="T1239" i="42"/>
  <c r="T1240" i="42"/>
  <c r="T1241" i="42"/>
  <c r="T1242" i="42"/>
  <c r="T1243" i="42"/>
  <c r="T1244" i="42"/>
  <c r="T1245" i="42"/>
  <c r="T1246" i="42"/>
  <c r="T1247" i="42"/>
  <c r="T1248" i="42"/>
  <c r="T1249" i="42"/>
  <c r="T1250" i="42"/>
  <c r="T1251" i="42"/>
  <c r="T1252" i="42"/>
  <c r="T1253" i="42"/>
  <c r="T1254" i="42"/>
  <c r="T1255" i="42"/>
  <c r="T1256" i="42"/>
  <c r="T1257" i="42"/>
  <c r="T1258" i="42"/>
  <c r="T1259" i="42"/>
  <c r="T1260" i="42"/>
  <c r="T1261" i="42"/>
  <c r="T1262" i="42"/>
  <c r="T1263" i="42"/>
  <c r="T1264" i="42"/>
  <c r="T1265" i="42"/>
  <c r="T1266" i="42"/>
  <c r="T1267" i="42"/>
  <c r="T1268" i="42"/>
  <c r="T1269" i="42"/>
  <c r="T1270" i="42"/>
  <c r="T1271" i="42"/>
  <c r="T1272" i="42"/>
  <c r="T1273" i="42"/>
  <c r="T1274" i="42"/>
  <c r="T1275" i="42"/>
  <c r="T1276" i="42"/>
  <c r="T1277" i="42"/>
  <c r="T1278" i="42"/>
  <c r="T1279" i="42"/>
  <c r="T1280" i="42"/>
  <c r="T1281" i="42"/>
  <c r="T1282" i="42"/>
  <c r="T1283" i="42"/>
  <c r="T1284" i="42"/>
  <c r="T1285" i="42"/>
  <c r="T1286" i="42"/>
  <c r="T1287" i="42"/>
  <c r="T1288" i="42"/>
  <c r="T1289" i="42"/>
  <c r="T1290" i="42"/>
  <c r="T1291" i="42"/>
  <c r="T1292" i="42"/>
  <c r="T1293" i="42"/>
  <c r="T1294" i="42"/>
  <c r="T1295" i="42"/>
  <c r="T1296" i="42"/>
  <c r="T1297" i="42"/>
  <c r="T1298" i="42"/>
  <c r="T1299" i="42"/>
  <c r="T1300" i="42"/>
  <c r="T1301" i="42"/>
  <c r="T1302" i="42"/>
  <c r="T1303" i="42"/>
  <c r="T1304" i="42"/>
  <c r="T1305" i="42"/>
  <c r="T1306" i="42"/>
  <c r="T1307" i="42"/>
  <c r="T1308" i="42"/>
  <c r="T1309" i="42"/>
  <c r="T1310" i="42"/>
  <c r="T1311" i="42"/>
  <c r="T1312" i="42"/>
  <c r="T1313" i="42"/>
  <c r="T1314" i="42"/>
  <c r="T1315" i="42"/>
  <c r="T1316" i="42"/>
  <c r="T1317" i="42"/>
  <c r="T1318" i="42"/>
  <c r="T1319" i="42"/>
  <c r="T1320" i="42"/>
  <c r="T1321" i="42"/>
  <c r="T1322" i="42"/>
  <c r="T1323" i="42"/>
  <c r="T1324" i="42"/>
  <c r="T1325" i="42"/>
  <c r="T1326" i="42"/>
  <c r="T1327" i="42"/>
  <c r="T1328" i="42"/>
  <c r="T1329" i="42"/>
  <c r="T1330" i="42"/>
  <c r="T1331" i="42"/>
  <c r="T1332" i="42"/>
  <c r="T1333" i="42"/>
  <c r="T1334" i="42"/>
  <c r="T1335" i="42"/>
  <c r="T1336" i="42"/>
  <c r="T1337" i="42"/>
  <c r="T1338" i="42"/>
  <c r="T1339" i="42"/>
  <c r="T1340" i="42"/>
  <c r="T1341" i="42"/>
  <c r="T1342" i="42"/>
  <c r="T1343" i="42"/>
  <c r="T1344" i="42"/>
  <c r="T1345" i="42"/>
  <c r="T1346" i="42"/>
  <c r="T1347" i="42"/>
  <c r="T1348" i="42"/>
  <c r="T1349" i="42"/>
  <c r="T1350" i="42"/>
  <c r="T1351" i="42"/>
  <c r="T1352" i="42"/>
  <c r="T1353" i="42"/>
  <c r="T1354" i="42"/>
  <c r="T1355" i="42"/>
  <c r="T1356" i="42"/>
  <c r="T1357" i="42"/>
  <c r="T1358" i="42"/>
  <c r="T1359" i="42"/>
  <c r="T1360" i="42"/>
  <c r="T1361" i="42"/>
  <c r="T1362" i="42"/>
  <c r="T1363" i="42"/>
  <c r="T1364" i="42"/>
  <c r="T1365" i="42"/>
  <c r="T1366" i="42"/>
  <c r="T1367" i="42"/>
  <c r="T1368" i="42"/>
  <c r="T1369" i="42"/>
  <c r="T1370" i="42"/>
  <c r="T1371" i="42"/>
  <c r="T1372" i="42"/>
  <c r="T1373" i="42"/>
  <c r="T1374" i="42"/>
  <c r="T1375" i="42"/>
  <c r="T1376" i="42"/>
  <c r="T1377" i="42"/>
  <c r="T1378" i="42"/>
  <c r="T1379" i="42"/>
  <c r="T1380" i="42"/>
  <c r="T1381" i="42"/>
  <c r="T1382" i="42"/>
  <c r="T1383" i="42"/>
  <c r="T1384" i="42"/>
  <c r="T1385" i="42"/>
  <c r="T1386" i="42"/>
  <c r="T1387" i="42"/>
  <c r="T1388" i="42"/>
  <c r="T1389" i="42"/>
  <c r="T1390" i="42"/>
  <c r="T1391" i="42"/>
  <c r="T1392" i="42"/>
  <c r="T1393" i="42"/>
  <c r="T1394" i="42"/>
  <c r="T1395" i="42"/>
  <c r="T1396" i="42"/>
  <c r="T1397" i="42"/>
  <c r="T1398" i="42"/>
  <c r="T1399" i="42"/>
  <c r="T1400" i="42"/>
  <c r="T1401" i="42"/>
  <c r="T1402" i="42"/>
  <c r="T1403" i="42"/>
  <c r="T1404" i="42"/>
  <c r="T1405" i="42"/>
  <c r="T1406" i="42"/>
  <c r="T1407" i="42"/>
  <c r="T1408" i="42"/>
  <c r="T1409" i="42"/>
  <c r="T1410" i="42"/>
  <c r="T1411" i="42"/>
  <c r="T1412" i="42"/>
  <c r="T1413" i="42"/>
  <c r="T1414" i="42"/>
  <c r="T1415" i="42"/>
  <c r="T1416" i="42"/>
  <c r="T1417" i="42"/>
  <c r="T1418" i="42"/>
  <c r="T1419" i="42"/>
  <c r="T1420" i="42"/>
  <c r="T1421" i="42"/>
  <c r="T1422" i="42"/>
  <c r="T1423" i="42"/>
  <c r="T1424" i="42"/>
  <c r="T1425" i="42"/>
  <c r="T1426" i="42"/>
  <c r="T1427" i="42"/>
  <c r="T1428" i="42"/>
  <c r="T1429" i="42"/>
  <c r="T1430" i="42"/>
  <c r="T1431" i="42"/>
  <c r="T1432" i="42"/>
  <c r="T1433" i="42"/>
  <c r="T1434" i="42"/>
  <c r="T1435" i="42"/>
  <c r="T1436" i="42"/>
  <c r="T1437" i="42"/>
  <c r="T1438" i="42"/>
  <c r="T1439" i="42"/>
  <c r="T1440" i="42"/>
  <c r="T1441" i="42"/>
  <c r="T1442" i="42"/>
  <c r="T1443" i="42"/>
  <c r="T1444" i="42"/>
  <c r="T1445" i="42"/>
  <c r="T1446" i="42"/>
  <c r="T1447" i="42"/>
  <c r="T1448" i="42"/>
  <c r="T1449" i="42"/>
  <c r="T1450" i="42"/>
  <c r="T1451" i="42"/>
  <c r="T1452" i="42"/>
  <c r="T1453" i="42"/>
  <c r="T1454" i="42"/>
  <c r="T1455" i="42"/>
  <c r="T1456" i="42"/>
  <c r="T1457" i="42"/>
  <c r="T1458" i="42"/>
  <c r="T1459" i="42"/>
  <c r="T1460" i="42"/>
  <c r="T1461" i="42"/>
  <c r="T1462" i="42"/>
  <c r="T1463" i="42"/>
  <c r="T1464" i="42"/>
  <c r="T1465" i="42"/>
  <c r="T1466" i="42"/>
  <c r="T1467" i="42"/>
  <c r="T1468" i="42"/>
  <c r="T1469" i="42"/>
  <c r="T1470" i="42"/>
  <c r="T1471" i="42"/>
  <c r="T1472" i="42"/>
  <c r="T1473" i="42"/>
  <c r="T1474" i="42"/>
  <c r="T1475" i="42"/>
  <c r="T1476" i="42"/>
  <c r="T1477" i="42"/>
  <c r="T1478" i="42"/>
  <c r="T1479" i="42"/>
  <c r="T1480" i="42"/>
  <c r="T1481" i="42"/>
  <c r="T1482" i="42"/>
  <c r="T1483" i="42"/>
  <c r="T1484" i="42"/>
  <c r="T1485" i="42"/>
  <c r="T1486" i="42"/>
  <c r="T1487" i="42"/>
  <c r="T1488" i="42"/>
  <c r="T1489" i="42"/>
  <c r="T1490" i="42"/>
  <c r="T1491" i="42"/>
  <c r="T1492" i="42"/>
  <c r="T1493" i="42"/>
  <c r="T1494" i="42"/>
  <c r="T1495" i="42"/>
  <c r="T1496" i="42"/>
  <c r="T1497" i="42"/>
  <c r="T1498" i="42"/>
  <c r="T1499" i="42"/>
  <c r="T1500" i="42"/>
  <c r="T1501" i="42"/>
  <c r="T1502" i="42"/>
  <c r="T1503" i="42"/>
  <c r="T1504" i="42"/>
  <c r="T1505" i="42"/>
  <c r="T1506" i="42"/>
  <c r="T1507" i="42"/>
  <c r="T1508" i="42"/>
  <c r="T1509" i="42"/>
  <c r="T1510" i="42"/>
  <c r="T1511" i="42"/>
  <c r="T1512" i="42"/>
  <c r="T1513" i="42"/>
  <c r="T1514" i="42"/>
  <c r="T1515" i="42"/>
  <c r="T1516" i="42"/>
  <c r="T1517" i="42"/>
  <c r="T1518" i="42"/>
  <c r="T1519" i="42"/>
  <c r="T1520" i="42"/>
  <c r="T1521" i="42"/>
  <c r="T1522" i="42"/>
  <c r="T1523" i="42"/>
  <c r="T1524" i="42"/>
  <c r="T1525" i="42"/>
  <c r="T1526" i="42"/>
  <c r="T1527" i="42"/>
  <c r="T1528" i="42"/>
  <c r="T1529" i="42"/>
  <c r="T1530" i="42"/>
  <c r="T1531" i="42"/>
  <c r="T1532" i="42"/>
  <c r="T1533" i="42"/>
  <c r="T1534" i="42"/>
  <c r="T1535" i="42"/>
  <c r="T1536" i="42"/>
  <c r="T1537" i="42"/>
  <c r="T1538" i="42"/>
  <c r="T1539" i="42"/>
  <c r="T1540" i="42"/>
  <c r="T1541" i="42"/>
  <c r="T1542" i="42"/>
  <c r="T1543" i="42"/>
  <c r="T1544" i="42"/>
  <c r="T1545" i="42"/>
  <c r="T1546" i="42"/>
  <c r="T1547" i="42"/>
  <c r="T1548" i="42"/>
  <c r="T1549" i="42"/>
  <c r="T1550" i="42"/>
  <c r="T1551" i="42"/>
  <c r="T1552" i="42"/>
  <c r="T1553" i="42"/>
  <c r="T1554" i="42"/>
  <c r="T1555" i="42"/>
  <c r="T1556" i="42"/>
  <c r="T1557" i="42"/>
  <c r="T1558" i="42"/>
  <c r="T1559" i="42"/>
  <c r="T1560" i="42"/>
  <c r="T1561" i="42"/>
  <c r="T1562" i="42"/>
  <c r="T1563" i="42"/>
  <c r="T1564" i="42"/>
  <c r="T1565" i="42"/>
  <c r="T1566" i="42"/>
  <c r="T1567" i="42"/>
  <c r="T1568" i="42"/>
  <c r="T1569" i="42"/>
  <c r="T1570" i="42"/>
  <c r="T1571" i="42"/>
  <c r="T1572" i="42"/>
  <c r="T1573" i="42"/>
  <c r="T1574" i="42"/>
  <c r="T1575" i="42"/>
  <c r="U4" i="22"/>
  <c r="U5" i="22"/>
  <c r="J45" i="22"/>
  <c r="J46" i="22"/>
  <c r="J47" i="22"/>
  <c r="J48" i="22"/>
  <c r="J49" i="22"/>
  <c r="J44" i="22"/>
  <c r="AC5" i="27"/>
  <c r="AC6" i="27"/>
  <c r="AC7" i="27"/>
  <c r="AC8" i="27"/>
  <c r="AC9" i="27"/>
  <c r="AC10" i="27"/>
  <c r="AC11" i="27"/>
  <c r="AC12" i="27"/>
  <c r="AC13" i="27"/>
  <c r="AC14" i="27"/>
  <c r="AC15" i="27"/>
  <c r="AC16" i="27"/>
  <c r="AC17" i="27"/>
  <c r="AC18" i="27"/>
  <c r="AC19" i="27"/>
  <c r="AC20" i="27"/>
  <c r="AC21" i="27"/>
  <c r="AC22" i="27"/>
  <c r="AC23" i="27"/>
  <c r="AC24" i="27"/>
  <c r="AC25" i="27"/>
  <c r="AC26" i="27"/>
  <c r="AC27" i="27"/>
  <c r="AC28" i="27"/>
  <c r="AC29" i="27"/>
  <c r="AC30" i="27"/>
  <c r="AC31" i="27"/>
  <c r="AC32" i="27"/>
  <c r="AC33" i="27"/>
  <c r="AC34" i="27"/>
  <c r="AC35" i="27"/>
  <c r="AC36" i="27"/>
  <c r="AC37" i="27"/>
  <c r="AC38" i="27"/>
  <c r="AC39" i="27"/>
  <c r="AC40" i="27"/>
  <c r="AC41" i="27"/>
  <c r="AC42" i="27"/>
  <c r="AC43" i="27"/>
  <c r="AC44" i="27"/>
  <c r="AC45" i="27"/>
  <c r="AC46" i="27"/>
  <c r="AC47" i="27"/>
  <c r="AC48" i="27"/>
  <c r="AC49" i="27"/>
  <c r="AC50" i="27"/>
  <c r="AC51" i="27"/>
  <c r="AC52" i="27"/>
  <c r="AC53" i="27"/>
  <c r="AC54" i="27"/>
  <c r="AC55" i="27"/>
  <c r="AC56" i="27"/>
  <c r="AC57" i="27"/>
  <c r="AC58" i="27"/>
  <c r="AC59" i="27"/>
  <c r="AC60" i="27"/>
  <c r="AC61" i="27"/>
  <c r="AC62" i="27"/>
  <c r="AC63" i="27"/>
  <c r="AC64" i="27"/>
  <c r="AC65" i="27"/>
  <c r="AC66" i="27"/>
  <c r="AC67" i="27"/>
  <c r="AC68" i="27"/>
  <c r="AC69" i="27"/>
  <c r="AC70" i="27"/>
  <c r="AC71" i="27"/>
  <c r="AC72" i="27"/>
  <c r="AC73" i="27"/>
  <c r="AC74" i="27"/>
  <c r="AC75" i="27"/>
  <c r="AC76" i="27"/>
  <c r="AC77" i="27"/>
  <c r="AC78" i="27"/>
  <c r="AC79" i="27"/>
  <c r="AC80" i="27"/>
  <c r="AC81" i="27"/>
  <c r="AC82" i="27"/>
  <c r="AC83" i="27"/>
  <c r="AC84" i="27"/>
  <c r="AC85" i="27"/>
  <c r="AC86" i="27"/>
  <c r="AC87" i="27"/>
  <c r="AC88" i="27"/>
  <c r="AC89" i="27"/>
  <c r="AC90" i="27"/>
  <c r="AC91" i="27"/>
  <c r="AC92" i="27"/>
  <c r="AC93" i="27"/>
  <c r="AC94" i="27"/>
  <c r="AC95" i="27"/>
  <c r="AC96" i="27"/>
  <c r="AC97" i="27"/>
  <c r="AC98" i="27"/>
  <c r="AC99" i="27"/>
  <c r="AC100" i="27"/>
  <c r="AC101" i="27"/>
  <c r="AC102" i="27"/>
  <c r="AC103" i="27"/>
  <c r="AC104" i="27"/>
  <c r="Y5" i="1"/>
  <c r="N204" i="28"/>
  <c r="N205" i="28"/>
  <c r="N206" i="28"/>
  <c r="N207" i="28"/>
  <c r="N208" i="28"/>
  <c r="N209" i="28"/>
  <c r="N210" i="28"/>
  <c r="N211" i="28"/>
  <c r="N212" i="28"/>
  <c r="N213" i="28"/>
  <c r="N214" i="28"/>
  <c r="N215" i="28"/>
  <c r="N216" i="28"/>
  <c r="N217" i="28"/>
  <c r="N218" i="28"/>
  <c r="N219" i="28"/>
  <c r="N220" i="28"/>
  <c r="N221" i="28"/>
  <c r="N222" i="28"/>
  <c r="N223" i="28"/>
  <c r="N224" i="28"/>
  <c r="N225" i="28"/>
  <c r="N226" i="28"/>
  <c r="N227" i="28"/>
  <c r="N228" i="28"/>
  <c r="N229" i="28"/>
  <c r="N230" i="28"/>
  <c r="N231" i="28"/>
  <c r="N232" i="28"/>
  <c r="N233" i="28"/>
  <c r="N234" i="28"/>
  <c r="N235" i="28"/>
  <c r="N236" i="28"/>
  <c r="N237" i="28"/>
  <c r="N238" i="28"/>
  <c r="N239" i="28"/>
  <c r="N240" i="28"/>
  <c r="N241" i="28"/>
  <c r="N242" i="28"/>
  <c r="N243" i="28"/>
  <c r="N244" i="28"/>
  <c r="N245" i="28"/>
  <c r="N246" i="28"/>
  <c r="N247" i="28"/>
  <c r="N248" i="28"/>
  <c r="N249" i="28"/>
  <c r="N250" i="28"/>
  <c r="N251" i="28"/>
  <c r="N252" i="28"/>
  <c r="N253" i="28"/>
  <c r="N254" i="28"/>
  <c r="N255" i="28"/>
  <c r="N256" i="28"/>
  <c r="N257" i="28"/>
  <c r="N258" i="28"/>
  <c r="N259" i="28"/>
  <c r="N260" i="28"/>
  <c r="N261" i="28"/>
  <c r="N262" i="28"/>
  <c r="N263" i="28"/>
  <c r="N264" i="28"/>
  <c r="N265" i="28"/>
  <c r="N266" i="28"/>
  <c r="N267" i="28"/>
  <c r="N268" i="28"/>
  <c r="N269" i="28"/>
  <c r="N270" i="28"/>
  <c r="N271" i="28"/>
  <c r="N272" i="28"/>
  <c r="N273" i="28"/>
  <c r="N274" i="28"/>
  <c r="N275" i="28"/>
  <c r="N276" i="28"/>
  <c r="N277" i="28"/>
  <c r="N278" i="28"/>
  <c r="N279" i="28"/>
  <c r="N280" i="28"/>
  <c r="N281" i="28"/>
  <c r="N282" i="28"/>
  <c r="N283" i="28"/>
  <c r="N284" i="28"/>
  <c r="N285" i="28"/>
  <c r="N286" i="28"/>
  <c r="N287" i="28"/>
  <c r="N288" i="28"/>
  <c r="N289" i="28"/>
  <c r="N290" i="28"/>
  <c r="N291" i="28"/>
  <c r="N292" i="28"/>
  <c r="N293" i="28"/>
  <c r="N294" i="28"/>
  <c r="N295" i="28"/>
  <c r="N296" i="28"/>
  <c r="N297" i="28"/>
  <c r="N298" i="28"/>
  <c r="N299" i="28"/>
  <c r="N300" i="28"/>
  <c r="N301" i="28"/>
  <c r="N302" i="28"/>
  <c r="M204" i="28"/>
  <c r="M205" i="28"/>
  <c r="M206" i="28"/>
  <c r="M207" i="28"/>
  <c r="M208" i="28"/>
  <c r="M209" i="28"/>
  <c r="M210" i="28"/>
  <c r="M211" i="28"/>
  <c r="M212" i="28"/>
  <c r="M213" i="28"/>
  <c r="M214" i="28"/>
  <c r="M215" i="28"/>
  <c r="M216" i="28"/>
  <c r="M217" i="28"/>
  <c r="M218" i="28"/>
  <c r="M219" i="28"/>
  <c r="M220" i="28"/>
  <c r="M221" i="28"/>
  <c r="M222" i="28"/>
  <c r="M223" i="28"/>
  <c r="M224" i="28"/>
  <c r="M225" i="28"/>
  <c r="M226" i="28"/>
  <c r="M227" i="28"/>
  <c r="M228" i="28"/>
  <c r="M229" i="28"/>
  <c r="M230" i="28"/>
  <c r="M231" i="28"/>
  <c r="M232" i="28"/>
  <c r="M233" i="28"/>
  <c r="M234" i="28"/>
  <c r="M235" i="28"/>
  <c r="M236" i="28"/>
  <c r="M237" i="28"/>
  <c r="M238" i="28"/>
  <c r="M239" i="28"/>
  <c r="M240" i="28"/>
  <c r="M241" i="28"/>
  <c r="M242" i="28"/>
  <c r="M243" i="28"/>
  <c r="M244" i="28"/>
  <c r="M245" i="28"/>
  <c r="M246" i="28"/>
  <c r="M247" i="28"/>
  <c r="M248" i="28"/>
  <c r="M249" i="28"/>
  <c r="M250" i="28"/>
  <c r="M251" i="28"/>
  <c r="M252" i="28"/>
  <c r="M253" i="28"/>
  <c r="M254" i="28"/>
  <c r="M255" i="28"/>
  <c r="M256" i="28"/>
  <c r="M257" i="28"/>
  <c r="M258" i="28"/>
  <c r="M259" i="28"/>
  <c r="M260" i="28"/>
  <c r="M261" i="28"/>
  <c r="M262" i="28"/>
  <c r="M263" i="28"/>
  <c r="M264" i="28"/>
  <c r="M265" i="28"/>
  <c r="M266" i="28"/>
  <c r="M267" i="28"/>
  <c r="M268" i="28"/>
  <c r="M269" i="28"/>
  <c r="M270" i="28"/>
  <c r="M271" i="28"/>
  <c r="M272" i="28"/>
  <c r="M273" i="28"/>
  <c r="M274" i="28"/>
  <c r="M275" i="28"/>
  <c r="M276" i="28"/>
  <c r="M277" i="28"/>
  <c r="M278" i="28"/>
  <c r="M279" i="28"/>
  <c r="M280" i="28"/>
  <c r="M281" i="28"/>
  <c r="M282" i="28"/>
  <c r="M283" i="28"/>
  <c r="M284" i="28"/>
  <c r="M285" i="28"/>
  <c r="M286" i="28"/>
  <c r="M287" i="28"/>
  <c r="M288" i="28"/>
  <c r="M289" i="28"/>
  <c r="M290" i="28"/>
  <c r="M291" i="28"/>
  <c r="M292" i="28"/>
  <c r="M293" i="28"/>
  <c r="M294" i="28"/>
  <c r="M295" i="28"/>
  <c r="M296" i="28"/>
  <c r="M297" i="28"/>
  <c r="M298" i="28"/>
  <c r="M299" i="28"/>
  <c r="M300" i="28"/>
  <c r="M301" i="28"/>
  <c r="M302" i="28"/>
  <c r="AS5" i="1" l="1"/>
  <c r="AK14" i="27"/>
  <c r="AK30" i="27"/>
  <c r="AK46" i="27"/>
  <c r="AK62" i="27"/>
  <c r="AK78" i="27"/>
  <c r="AK94" i="27"/>
  <c r="AK31" i="27"/>
  <c r="AK79" i="27"/>
  <c r="AK38" i="27"/>
  <c r="AK87" i="27"/>
  <c r="AK56" i="27"/>
  <c r="AK41" i="27"/>
  <c r="AK16" i="27"/>
  <c r="AK32" i="27"/>
  <c r="AK48" i="27"/>
  <c r="AK64" i="27"/>
  <c r="AK80" i="27"/>
  <c r="AK96" i="27"/>
  <c r="AK20" i="27"/>
  <c r="AK69" i="27"/>
  <c r="AK22" i="27"/>
  <c r="AK39" i="27"/>
  <c r="AK104" i="27"/>
  <c r="AK89" i="27"/>
  <c r="AK74" i="27"/>
  <c r="AK91" i="27"/>
  <c r="AK17" i="27"/>
  <c r="AK33" i="27"/>
  <c r="AK49" i="27"/>
  <c r="AK65" i="27"/>
  <c r="AK81" i="27"/>
  <c r="AK97" i="27"/>
  <c r="AK100" i="27"/>
  <c r="AK53" i="27"/>
  <c r="AK70" i="27"/>
  <c r="AK23" i="27"/>
  <c r="AK24" i="27"/>
  <c r="AK9" i="27"/>
  <c r="AK42" i="27"/>
  <c r="AK59" i="27"/>
  <c r="AK18" i="27"/>
  <c r="AK34" i="27"/>
  <c r="AK50" i="27"/>
  <c r="AK66" i="27"/>
  <c r="AK82" i="27"/>
  <c r="AK98" i="27"/>
  <c r="AK36" i="27"/>
  <c r="AK84" i="27"/>
  <c r="AK21" i="27"/>
  <c r="AK101" i="27"/>
  <c r="AK54" i="27"/>
  <c r="AK72" i="27"/>
  <c r="AK57" i="27"/>
  <c r="AK90" i="27"/>
  <c r="AK27" i="27"/>
  <c r="AK19" i="27"/>
  <c r="AK35" i="27"/>
  <c r="AK51" i="27"/>
  <c r="AK67" i="27"/>
  <c r="AK83" i="27"/>
  <c r="AK99" i="27"/>
  <c r="AK52" i="27"/>
  <c r="AK37" i="27"/>
  <c r="AK85" i="27"/>
  <c r="AK86" i="27"/>
  <c r="AK71" i="27"/>
  <c r="AK88" i="27"/>
  <c r="AK73" i="27"/>
  <c r="AK58" i="27"/>
  <c r="AK75" i="27"/>
  <c r="AK68" i="27"/>
  <c r="AK5" i="27"/>
  <c r="AK6" i="27"/>
  <c r="AK7" i="27"/>
  <c r="AK25" i="27"/>
  <c r="AK12" i="27"/>
  <c r="AK28" i="27"/>
  <c r="AK44" i="27"/>
  <c r="AK60" i="27"/>
  <c r="AK76" i="27"/>
  <c r="AK92" i="27"/>
  <c r="AK15" i="27"/>
  <c r="AK63" i="27"/>
  <c r="AK103" i="27"/>
  <c r="AK40" i="27"/>
  <c r="AK10" i="27"/>
  <c r="AK43" i="27"/>
  <c r="AK13" i="27"/>
  <c r="AK29" i="27"/>
  <c r="AK45" i="27"/>
  <c r="AK61" i="27"/>
  <c r="AK77" i="27"/>
  <c r="AK93" i="27"/>
  <c r="AK47" i="27"/>
  <c r="AK95" i="27"/>
  <c r="AK102" i="27"/>
  <c r="AK55" i="27"/>
  <c r="AK8" i="27"/>
  <c r="AK26" i="27"/>
  <c r="AK11" i="27"/>
  <c r="AG5" i="27"/>
  <c r="AC3" i="27"/>
  <c r="AG7" i="27"/>
  <c r="AG12" i="27"/>
  <c r="AG18" i="27"/>
  <c r="AG39" i="27"/>
  <c r="AH42" i="27"/>
  <c r="AG45" i="27"/>
  <c r="AH46" i="27"/>
  <c r="AG51" i="27"/>
  <c r="AH61" i="27"/>
  <c r="AG65" i="27"/>
  <c r="AH67" i="27"/>
  <c r="AG70" i="27"/>
  <c r="AH71" i="27"/>
  <c r="AH75" i="27"/>
  <c r="AG79" i="27"/>
  <c r="AG88" i="27"/>
  <c r="AG92" i="27"/>
  <c r="AH97" i="27"/>
  <c r="AG98" i="27"/>
  <c r="AH103" i="27"/>
  <c r="AH7" i="27"/>
  <c r="AH12" i="27"/>
  <c r="AG16" i="27"/>
  <c r="AG17" i="27"/>
  <c r="AH18" i="27"/>
  <c r="AG21" i="27"/>
  <c r="AG22" i="27"/>
  <c r="AG28" i="27"/>
  <c r="AG32" i="27"/>
  <c r="AG33" i="27"/>
  <c r="AG35" i="27"/>
  <c r="AH39" i="27"/>
  <c r="AH45" i="27"/>
  <c r="AG49" i="27"/>
  <c r="AH51" i="27"/>
  <c r="AG55" i="27"/>
  <c r="AG64" i="27"/>
  <c r="AH65" i="27"/>
  <c r="AG66" i="27"/>
  <c r="AG69" i="27"/>
  <c r="AH70" i="27"/>
  <c r="AG73" i="27"/>
  <c r="AG74" i="27"/>
  <c r="AG78" i="27"/>
  <c r="AH79" i="27"/>
  <c r="AG83" i="27"/>
  <c r="AH88" i="27"/>
  <c r="AH92" i="27"/>
  <c r="AH98" i="27"/>
  <c r="AG101" i="27"/>
  <c r="AH16" i="27"/>
  <c r="AH17" i="27"/>
  <c r="AH21" i="27"/>
  <c r="AH22" i="27"/>
  <c r="AH28" i="27"/>
  <c r="AH32" i="27"/>
  <c r="AH33" i="27"/>
  <c r="AG34" i="27"/>
  <c r="AH35" i="27"/>
  <c r="AG38" i="27"/>
  <c r="AG48" i="27"/>
  <c r="AH49" i="27"/>
  <c r="AG50" i="27"/>
  <c r="AH55" i="27"/>
  <c r="AG60" i="27"/>
  <c r="AH64" i="27"/>
  <c r="AH66" i="27"/>
  <c r="AH69" i="27"/>
  <c r="AH73" i="27"/>
  <c r="AH74" i="27"/>
  <c r="AG77" i="27"/>
  <c r="AH78" i="27"/>
  <c r="AG82" i="27"/>
  <c r="AH83" i="27"/>
  <c r="AG96" i="27"/>
  <c r="AH101" i="27"/>
  <c r="AG102" i="27"/>
  <c r="AG6" i="27"/>
  <c r="AG11" i="27"/>
  <c r="AG15" i="27"/>
  <c r="AG20" i="27"/>
  <c r="AG31" i="27"/>
  <c r="AH34" i="27"/>
  <c r="AG37" i="27"/>
  <c r="AH38" i="27"/>
  <c r="AG44" i="27"/>
  <c r="AH48" i="27"/>
  <c r="AH50" i="27"/>
  <c r="AG53" i="27"/>
  <c r="AG54" i="27"/>
  <c r="AH60" i="27"/>
  <c r="AH77" i="27"/>
  <c r="AG81" i="27"/>
  <c r="AH82" i="27"/>
  <c r="AG85" i="27"/>
  <c r="AG87" i="27"/>
  <c r="AG91" i="27"/>
  <c r="AH96" i="27"/>
  <c r="AG100" i="27"/>
  <c r="AH102" i="27"/>
  <c r="AH6" i="27"/>
  <c r="AH11" i="27"/>
  <c r="AH15" i="27"/>
  <c r="AH20" i="27"/>
  <c r="AG24" i="27"/>
  <c r="AG25" i="27"/>
  <c r="AG27" i="27"/>
  <c r="AH31" i="27"/>
  <c r="AH37" i="27"/>
  <c r="AH44" i="27"/>
  <c r="AH53" i="27"/>
  <c r="AH54" i="27"/>
  <c r="AG63" i="27"/>
  <c r="AG68" i="27"/>
  <c r="AG72" i="27"/>
  <c r="AG76" i="27"/>
  <c r="AH81" i="27"/>
  <c r="AH85" i="27"/>
  <c r="AG86" i="27"/>
  <c r="AH87" i="27"/>
  <c r="AH91" i="27"/>
  <c r="AH100" i="27"/>
  <c r="AG104" i="27"/>
  <c r="AG10" i="27"/>
  <c r="AH24" i="27"/>
  <c r="AH25" i="27"/>
  <c r="AG26" i="27"/>
  <c r="AH27" i="27"/>
  <c r="AG30" i="27"/>
  <c r="AG47" i="27"/>
  <c r="AG52" i="27"/>
  <c r="AG57" i="27"/>
  <c r="AG59" i="27"/>
  <c r="AH63" i="27"/>
  <c r="AH68" i="27"/>
  <c r="AH72" i="27"/>
  <c r="AH76" i="27"/>
  <c r="AG80" i="27"/>
  <c r="AH86" i="27"/>
  <c r="AG89" i="27"/>
  <c r="AG90" i="27"/>
  <c r="AG93" i="27"/>
  <c r="AG95" i="27"/>
  <c r="AH104" i="27"/>
  <c r="AG8" i="27"/>
  <c r="AG9" i="27"/>
  <c r="AH10" i="27"/>
  <c r="AG13" i="27"/>
  <c r="AG14" i="27"/>
  <c r="AG19" i="27"/>
  <c r="AG23" i="27"/>
  <c r="AH26" i="27"/>
  <c r="AG29" i="27"/>
  <c r="AH30" i="27"/>
  <c r="AG36" i="27"/>
  <c r="AG40" i="27"/>
  <c r="AG41" i="27"/>
  <c r="AG43" i="27"/>
  <c r="AH47" i="27"/>
  <c r="AH52" i="27"/>
  <c r="AG56" i="27"/>
  <c r="AH57" i="27"/>
  <c r="AG58" i="27"/>
  <c r="AH59" i="27"/>
  <c r="AG62" i="27"/>
  <c r="AH80" i="27"/>
  <c r="AG84" i="27"/>
  <c r="AH89" i="27"/>
  <c r="AH90" i="27"/>
  <c r="AH93" i="27"/>
  <c r="AG94" i="27"/>
  <c r="AH95" i="27"/>
  <c r="AG99" i="27"/>
  <c r="AH8" i="27"/>
  <c r="AH9" i="27"/>
  <c r="AH13" i="27"/>
  <c r="AH14" i="27"/>
  <c r="AH19" i="27"/>
  <c r="AH23" i="27"/>
  <c r="AH29" i="27"/>
  <c r="AH36" i="27"/>
  <c r="AH40" i="27"/>
  <c r="AH41" i="27"/>
  <c r="AG42" i="27"/>
  <c r="AH43" i="27"/>
  <c r="AG46" i="27"/>
  <c r="AH56" i="27"/>
  <c r="AH58" i="27"/>
  <c r="AG61" i="27"/>
  <c r="AH62" i="27"/>
  <c r="AG67" i="27"/>
  <c r="AG71" i="27"/>
  <c r="AG75" i="27"/>
  <c r="AH84" i="27"/>
  <c r="AH94" i="27"/>
  <c r="AG97" i="27"/>
  <c r="AH99" i="27"/>
  <c r="AG103" i="27"/>
  <c r="AH5" i="27"/>
  <c r="AS168" i="1"/>
  <c r="AS125" i="1"/>
  <c r="AS89" i="1"/>
  <c r="AS167" i="1"/>
  <c r="AS174" i="1"/>
  <c r="AS181" i="1"/>
  <c r="AS88" i="1"/>
  <c r="AS31" i="1"/>
  <c r="AS173" i="1"/>
  <c r="AS196" i="1"/>
  <c r="AS132" i="1"/>
  <c r="AS68" i="1"/>
  <c r="AS203" i="1"/>
  <c r="AS139" i="1"/>
  <c r="AS11" i="1"/>
  <c r="AS146" i="1"/>
  <c r="AS18" i="1"/>
  <c r="AS25" i="1"/>
  <c r="AS96" i="1"/>
  <c r="AS103" i="1"/>
  <c r="AS46" i="1"/>
  <c r="AS53" i="1"/>
  <c r="AS166" i="1"/>
  <c r="AS45" i="1"/>
  <c r="AS188" i="1"/>
  <c r="AS124" i="1"/>
  <c r="AS60" i="1"/>
  <c r="AS195" i="1"/>
  <c r="AS131" i="1"/>
  <c r="AS67" i="1"/>
  <c r="AS202" i="1"/>
  <c r="AS138" i="1"/>
  <c r="AS74" i="1"/>
  <c r="AS10" i="1"/>
  <c r="AS145" i="1"/>
  <c r="AS81" i="1"/>
  <c r="AS17" i="1"/>
  <c r="AS152" i="1"/>
  <c r="AS24" i="1"/>
  <c r="AS95" i="1"/>
  <c r="AS38" i="1"/>
  <c r="AS180" i="1"/>
  <c r="AS116" i="1"/>
  <c r="AS52" i="1"/>
  <c r="AS187" i="1"/>
  <c r="AS123" i="1"/>
  <c r="AS59" i="1"/>
  <c r="AS194" i="1"/>
  <c r="AS130" i="1"/>
  <c r="AS66" i="1"/>
  <c r="AS201" i="1"/>
  <c r="AS137" i="1"/>
  <c r="AS73" i="1"/>
  <c r="AS9" i="1"/>
  <c r="AS144" i="1"/>
  <c r="AS80" i="1"/>
  <c r="AS16" i="1"/>
  <c r="AS151" i="1"/>
  <c r="AS87" i="1"/>
  <c r="AS23" i="1"/>
  <c r="AS158" i="1"/>
  <c r="AS94" i="1"/>
  <c r="AS30" i="1"/>
  <c r="AS165" i="1"/>
  <c r="AS101" i="1"/>
  <c r="AS37" i="1"/>
  <c r="AS172" i="1"/>
  <c r="AS108" i="1"/>
  <c r="AS44" i="1"/>
  <c r="AS179" i="1"/>
  <c r="AS115" i="1"/>
  <c r="AS51" i="1"/>
  <c r="AS186" i="1"/>
  <c r="AS122" i="1"/>
  <c r="AS58" i="1"/>
  <c r="AS193" i="1"/>
  <c r="AS129" i="1"/>
  <c r="AS65" i="1"/>
  <c r="AS136" i="1"/>
  <c r="AS72" i="1"/>
  <c r="AS8" i="1"/>
  <c r="AS143" i="1"/>
  <c r="AS79" i="1"/>
  <c r="AS15" i="1"/>
  <c r="AS150" i="1"/>
  <c r="AS86" i="1"/>
  <c r="AS22" i="1"/>
  <c r="AS93" i="1"/>
  <c r="AS29" i="1"/>
  <c r="AS178" i="1"/>
  <c r="AS185" i="1"/>
  <c r="AS192" i="1"/>
  <c r="AS64" i="1"/>
  <c r="AS71" i="1"/>
  <c r="AS78" i="1"/>
  <c r="AS85" i="1"/>
  <c r="AS191" i="1"/>
  <c r="AS134" i="1"/>
  <c r="AS141" i="1"/>
  <c r="AS200" i="1"/>
  <c r="AS157" i="1"/>
  <c r="AS121" i="1"/>
  <c r="AS199" i="1"/>
  <c r="AS7" i="1"/>
  <c r="AS14" i="1"/>
  <c r="AS21" i="1"/>
  <c r="AS127" i="1"/>
  <c r="AS70" i="1"/>
  <c r="AS13" i="1"/>
  <c r="AS164" i="1"/>
  <c r="AS100" i="1"/>
  <c r="AS36" i="1"/>
  <c r="AS171" i="1"/>
  <c r="AS107" i="1"/>
  <c r="AS43" i="1"/>
  <c r="AS114" i="1"/>
  <c r="AS50" i="1"/>
  <c r="AS57" i="1"/>
  <c r="AS128" i="1"/>
  <c r="AS135" i="1"/>
  <c r="AS142" i="1"/>
  <c r="AS149" i="1"/>
  <c r="AS198" i="1"/>
  <c r="AS77" i="1"/>
  <c r="AS156" i="1"/>
  <c r="AS92" i="1"/>
  <c r="AS28" i="1"/>
  <c r="AS163" i="1"/>
  <c r="AS99" i="1"/>
  <c r="AS35" i="1"/>
  <c r="AS170" i="1"/>
  <c r="AS106" i="1"/>
  <c r="AS42" i="1"/>
  <c r="AS177" i="1"/>
  <c r="AS113" i="1"/>
  <c r="AS49" i="1"/>
  <c r="AS184" i="1"/>
  <c r="AS120" i="1"/>
  <c r="AS56" i="1"/>
  <c r="AS63" i="1"/>
  <c r="AS6" i="1"/>
  <c r="AS148" i="1"/>
  <c r="AS84" i="1"/>
  <c r="AS20" i="1"/>
  <c r="AS155" i="1"/>
  <c r="AS91" i="1"/>
  <c r="AS27" i="1"/>
  <c r="AS162" i="1"/>
  <c r="AS98" i="1"/>
  <c r="AS34" i="1"/>
  <c r="AS169" i="1"/>
  <c r="AS105" i="1"/>
  <c r="AS41" i="1"/>
  <c r="AS176" i="1"/>
  <c r="AS112" i="1"/>
  <c r="AS48" i="1"/>
  <c r="AS183" i="1"/>
  <c r="AS119" i="1"/>
  <c r="AS55" i="1"/>
  <c r="AS190" i="1"/>
  <c r="AS126" i="1"/>
  <c r="AS62" i="1"/>
  <c r="AS197" i="1"/>
  <c r="AS133" i="1"/>
  <c r="AS69" i="1"/>
  <c r="AS204" i="1"/>
  <c r="AS140" i="1"/>
  <c r="AS76" i="1"/>
  <c r="AS12" i="1"/>
  <c r="AS147" i="1"/>
  <c r="AS83" i="1"/>
  <c r="AS19" i="1"/>
  <c r="AS154" i="1"/>
  <c r="AS90" i="1"/>
  <c r="AS26" i="1"/>
  <c r="AS161" i="1"/>
  <c r="AS97" i="1"/>
  <c r="AS33" i="1"/>
  <c r="AS104" i="1"/>
  <c r="AS40" i="1"/>
  <c r="AS175" i="1"/>
  <c r="AS111" i="1"/>
  <c r="AS47" i="1"/>
  <c r="AS182" i="1"/>
  <c r="AS118" i="1"/>
  <c r="AS54" i="1"/>
  <c r="AS189" i="1"/>
  <c r="AS61" i="1"/>
  <c r="AS75" i="1"/>
  <c r="AS82" i="1"/>
  <c r="AS153" i="1"/>
  <c r="AS160" i="1"/>
  <c r="AS32" i="1"/>
  <c r="AS39" i="1"/>
  <c r="AS110" i="1"/>
  <c r="AS117" i="1"/>
  <c r="AS159" i="1"/>
  <c r="AS102" i="1"/>
  <c r="AS109" i="1"/>
  <c r="Y1572" i="42"/>
  <c r="Y1564" i="42"/>
  <c r="Y1556" i="42"/>
  <c r="Y1548" i="42"/>
  <c r="Y1540" i="42"/>
  <c r="Y1532" i="42"/>
  <c r="Y1524" i="42"/>
  <c r="Y1516" i="42"/>
  <c r="Y1508" i="42"/>
  <c r="Y1500" i="42"/>
  <c r="Y1492" i="42"/>
  <c r="Y1484" i="42"/>
  <c r="Y1476" i="42"/>
  <c r="Y1468" i="42"/>
  <c r="Y1460" i="42"/>
  <c r="Y1451" i="42"/>
  <c r="Y1434" i="42"/>
  <c r="Y1426" i="42"/>
  <c r="Y1394" i="42"/>
  <c r="Y1386" i="42"/>
  <c r="Y1378" i="42"/>
  <c r="Y1362" i="42"/>
  <c r="Y1354" i="42"/>
  <c r="Y1306" i="42"/>
  <c r="Y1298" i="42"/>
  <c r="Y1290" i="42"/>
  <c r="Y1282" i="42"/>
  <c r="Y1234" i="42"/>
  <c r="Y1217" i="42"/>
  <c r="Y1146" i="42"/>
  <c r="Y1138" i="42"/>
  <c r="Y1130" i="42"/>
  <c r="Y1106" i="42"/>
  <c r="Y997" i="42"/>
  <c r="Y1042" i="42"/>
  <c r="Y962" i="42"/>
  <c r="Y850" i="42"/>
  <c r="Y818" i="42"/>
  <c r="Y810" i="42"/>
  <c r="Y794" i="42"/>
  <c r="Y778" i="42"/>
  <c r="Y762" i="42"/>
  <c r="Y746" i="42"/>
  <c r="Y738" i="42"/>
  <c r="Y730" i="42"/>
  <c r="Y722" i="42"/>
  <c r="Y714" i="42"/>
  <c r="Y706" i="42"/>
  <c r="Y682" i="42"/>
  <c r="Y658" i="42"/>
  <c r="Y642" i="42"/>
  <c r="Y634" i="42"/>
  <c r="Y626" i="42"/>
  <c r="Y618" i="42"/>
  <c r="Y610" i="42"/>
  <c r="Y602" i="42"/>
  <c r="Y594" i="42"/>
  <c r="Y578" i="42"/>
  <c r="Y1571" i="42"/>
  <c r="Y1563" i="42"/>
  <c r="Y1555" i="42"/>
  <c r="Y1547" i="42"/>
  <c r="Y1539" i="42"/>
  <c r="Y1531" i="42"/>
  <c r="Y1523" i="42"/>
  <c r="Y1515" i="42"/>
  <c r="Y1507" i="42"/>
  <c r="Y1499" i="42"/>
  <c r="Y1491" i="42"/>
  <c r="Y1483" i="42"/>
  <c r="Y1475" i="42"/>
  <c r="Y1467" i="42"/>
  <c r="Y1459" i="42"/>
  <c r="Y1450" i="42"/>
  <c r="Y1425" i="42"/>
  <c r="Y1393" i="42"/>
  <c r="Y1385" i="42"/>
  <c r="Y1369" i="42"/>
  <c r="Y1361" i="42"/>
  <c r="Y1353" i="42"/>
  <c r="Y1305" i="42"/>
  <c r="Y1297" i="42"/>
  <c r="Y1289" i="42"/>
  <c r="Y1241" i="42"/>
  <c r="Y1233" i="42"/>
  <c r="Y1225" i="42"/>
  <c r="Y1229" i="42"/>
  <c r="Y1209" i="42"/>
  <c r="Y1185" i="42"/>
  <c r="Y1105" i="42"/>
  <c r="Y1097" i="42"/>
  <c r="Y1081" i="42"/>
  <c r="Y1057" i="42"/>
  <c r="Y1049" i="42"/>
  <c r="Y1041" i="42"/>
  <c r="Y1033" i="42"/>
  <c r="Y1025" i="42"/>
  <c r="Y897" i="42"/>
  <c r="Y881" i="42"/>
  <c r="Y849" i="42"/>
  <c r="Y841" i="42"/>
  <c r="Y833" i="42"/>
  <c r="Y817" i="42"/>
  <c r="Y793" i="42"/>
  <c r="Y785" i="42"/>
  <c r="Y777" i="42"/>
  <c r="Y761" i="42"/>
  <c r="Y753" i="42"/>
  <c r="Y721" i="42"/>
  <c r="Y705" i="42"/>
  <c r="Y697" i="42"/>
  <c r="Y641" i="42"/>
  <c r="Y633" i="42"/>
  <c r="Y625" i="42"/>
  <c r="Y617" i="42"/>
  <c r="Y609" i="42"/>
  <c r="Y569" i="42"/>
  <c r="Y1570" i="42"/>
  <c r="Y1562" i="42"/>
  <c r="Y1554" i="42"/>
  <c r="Y1546" i="42"/>
  <c r="Y1538" i="42"/>
  <c r="Y1530" i="42"/>
  <c r="Y1522" i="42"/>
  <c r="Y1514" i="42"/>
  <c r="Y1506" i="42"/>
  <c r="Y1498" i="42"/>
  <c r="Y1490" i="42"/>
  <c r="Y1482" i="42"/>
  <c r="Y1474" i="42"/>
  <c r="Y1466" i="42"/>
  <c r="Y1458" i="42"/>
  <c r="Y1449" i="42"/>
  <c r="Y1424" i="42"/>
  <c r="Y1392" i="42"/>
  <c r="Y1376" i="42"/>
  <c r="Y1360" i="42"/>
  <c r="Y1352" i="42"/>
  <c r="Y1304" i="42"/>
  <c r="Y1296" i="42"/>
  <c r="Y1280" i="42"/>
  <c r="Y1240" i="42"/>
  <c r="Y1232" i="42"/>
  <c r="Y1224" i="42"/>
  <c r="Y1208" i="42"/>
  <c r="Y1192" i="42"/>
  <c r="Y1184" i="42"/>
  <c r="Y1144" i="42"/>
  <c r="Y1128" i="42"/>
  <c r="Y1112" i="42"/>
  <c r="Y1104" i="42"/>
  <c r="Y1080" i="42"/>
  <c r="Y1072" i="42"/>
  <c r="Y1056" i="42"/>
  <c r="Y1024" i="42"/>
  <c r="Y880" i="42"/>
  <c r="Y872" i="42"/>
  <c r="Y856" i="42"/>
  <c r="Y848" i="42"/>
  <c r="Y832" i="42"/>
  <c r="Y792" i="42"/>
  <c r="Y776" i="42"/>
  <c r="Y760" i="42"/>
  <c r="Y728" i="42"/>
  <c r="Y720" i="42"/>
  <c r="Y712" i="42"/>
  <c r="Y688" i="42"/>
  <c r="Y664" i="42"/>
  <c r="Y656" i="42"/>
  <c r="Y640" i="42"/>
  <c r="Y632" i="42"/>
  <c r="Y624" i="42"/>
  <c r="Y608" i="42"/>
  <c r="Y600" i="42"/>
  <c r="Y592" i="42"/>
  <c r="Y1569" i="42"/>
  <c r="Y1561" i="42"/>
  <c r="Y1553" i="42"/>
  <c r="Y1545" i="42"/>
  <c r="Y1537" i="42"/>
  <c r="Y1529" i="42"/>
  <c r="Y1521" i="42"/>
  <c r="Y1513" i="42"/>
  <c r="Y1505" i="42"/>
  <c r="Y1497" i="42"/>
  <c r="Y1489" i="42"/>
  <c r="Y1481" i="42"/>
  <c r="Y1473" i="42"/>
  <c r="Y1465" i="42"/>
  <c r="Y1457" i="42"/>
  <c r="Y1448" i="42"/>
  <c r="Y1439" i="42"/>
  <c r="Y1391" i="42"/>
  <c r="Y1383" i="42"/>
  <c r="Y1375" i="42"/>
  <c r="Y1367" i="42"/>
  <c r="Y1359" i="42"/>
  <c r="Y1351" i="42"/>
  <c r="Y1311" i="42"/>
  <c r="Y1303" i="42"/>
  <c r="Y1279" i="42"/>
  <c r="Y1247" i="42"/>
  <c r="Y1223" i="42"/>
  <c r="Y1207" i="42"/>
  <c r="Y1191" i="42"/>
  <c r="Y1175" i="42"/>
  <c r="Y1151" i="42"/>
  <c r="Y1135" i="42"/>
  <c r="Y1127" i="42"/>
  <c r="Y1103" i="42"/>
  <c r="Y1095" i="42"/>
  <c r="Y1063" i="42"/>
  <c r="Y1121" i="42"/>
  <c r="Y863" i="42"/>
  <c r="Y847" i="42"/>
  <c r="Y839" i="42"/>
  <c r="Y815" i="42"/>
  <c r="Y791" i="42"/>
  <c r="Y783" i="42"/>
  <c r="Y775" i="42"/>
  <c r="Y767" i="42"/>
  <c r="Y759" i="42"/>
  <c r="Y727" i="42"/>
  <c r="Y711" i="42"/>
  <c r="Y703" i="42"/>
  <c r="Y695" i="42"/>
  <c r="Y639" i="42"/>
  <c r="Y631" i="42"/>
  <c r="Y623" i="42"/>
  <c r="Y615" i="42"/>
  <c r="Y607" i="42"/>
  <c r="Y591" i="42"/>
  <c r="Y575" i="42"/>
  <c r="Y567" i="42"/>
  <c r="Y1568" i="42"/>
  <c r="Y1560" i="42"/>
  <c r="Y1552" i="42"/>
  <c r="Y1544" i="42"/>
  <c r="Y1536" i="42"/>
  <c r="Y1528" i="42"/>
  <c r="Y1520" i="42"/>
  <c r="Y1512" i="42"/>
  <c r="Y1504" i="42"/>
  <c r="Y1496" i="42"/>
  <c r="Y1488" i="42"/>
  <c r="Y1480" i="42"/>
  <c r="Y1472" i="42"/>
  <c r="Y1464" i="42"/>
  <c r="Y1456" i="42"/>
  <c r="Y1447" i="42"/>
  <c r="Y1422" i="42"/>
  <c r="Y1390" i="42"/>
  <c r="Y1374" i="42"/>
  <c r="Y1358" i="42"/>
  <c r="Y1310" i="42"/>
  <c r="Y1302" i="42"/>
  <c r="Y1286" i="42"/>
  <c r="Y1278" i="42"/>
  <c r="Y1246" i="42"/>
  <c r="Y1238" i="42"/>
  <c r="Y1222" i="42"/>
  <c r="Y1206" i="42"/>
  <c r="Y1174" i="42"/>
  <c r="Y1134" i="42"/>
  <c r="Y1126" i="42"/>
  <c r="Y1110" i="42"/>
  <c r="Y1094" i="42"/>
  <c r="Y1078" i="42"/>
  <c r="Y1062" i="42"/>
  <c r="Y1030" i="42"/>
  <c r="Y1022" i="42"/>
  <c r="Y1163" i="42"/>
  <c r="Y1089" i="42"/>
  <c r="Y982" i="42"/>
  <c r="Y902" i="42"/>
  <c r="Y894" i="42"/>
  <c r="Y886" i="42"/>
  <c r="Y878" i="42"/>
  <c r="Y862" i="42"/>
  <c r="Y854" i="42"/>
  <c r="Y846" i="42"/>
  <c r="Y838" i="42"/>
  <c r="Y830" i="42"/>
  <c r="Y814" i="42"/>
  <c r="Y782" i="42"/>
  <c r="Y774" i="42"/>
  <c r="Y750" i="42"/>
  <c r="Y726" i="42"/>
  <c r="Y718" i="42"/>
  <c r="Y710" i="42"/>
  <c r="Y638" i="42"/>
  <c r="Y630" i="42"/>
  <c r="Y622" i="42"/>
  <c r="Y614" i="42"/>
  <c r="Y606" i="42"/>
  <c r="Y598" i="42"/>
  <c r="Y590" i="42"/>
  <c r="Y1575" i="42"/>
  <c r="Y1567" i="42"/>
  <c r="Y1559" i="42"/>
  <c r="Y1551" i="42"/>
  <c r="Y1543" i="42"/>
  <c r="Y1535" i="42"/>
  <c r="Y1527" i="42"/>
  <c r="Y1519" i="42"/>
  <c r="Y1511" i="42"/>
  <c r="Y1503" i="42"/>
  <c r="Y1495" i="42"/>
  <c r="Y1487" i="42"/>
  <c r="Y1479" i="42"/>
  <c r="Y1471" i="42"/>
  <c r="Y1463" i="42"/>
  <c r="Y1455" i="42"/>
  <c r="Y1445" i="42"/>
  <c r="Y1389" i="42"/>
  <c r="Y1381" i="42"/>
  <c r="Y1365" i="42"/>
  <c r="Y1349" i="42"/>
  <c r="Y1309" i="42"/>
  <c r="Y1293" i="42"/>
  <c r="Y1285" i="42"/>
  <c r="Y1277" i="42"/>
  <c r="Y1245" i="42"/>
  <c r="Y1237" i="42"/>
  <c r="Y1226" i="42"/>
  <c r="Y1221" i="42"/>
  <c r="Y1213" i="42"/>
  <c r="Y1181" i="42"/>
  <c r="Y1173" i="42"/>
  <c r="Y1141" i="42"/>
  <c r="Y1000" i="42"/>
  <c r="Y1109" i="42"/>
  <c r="Y1101" i="42"/>
  <c r="Y1061" i="42"/>
  <c r="Y1162" i="42"/>
  <c r="Y1119" i="42"/>
  <c r="Y901" i="42"/>
  <c r="Y893" i="42"/>
  <c r="Y837" i="42"/>
  <c r="Y813" i="42"/>
  <c r="Y789" i="42"/>
  <c r="Y781" i="42"/>
  <c r="Y773" i="42"/>
  <c r="Y757" i="42"/>
  <c r="Y749" i="42"/>
  <c r="Y733" i="42"/>
  <c r="Y725" i="42"/>
  <c r="Y717" i="42"/>
  <c r="Y709" i="42"/>
  <c r="Y701" i="42"/>
  <c r="Y629" i="42"/>
  <c r="Y621" i="42"/>
  <c r="Y613" i="42"/>
  <c r="Y605" i="42"/>
  <c r="Y573" i="42"/>
  <c r="Y565" i="42"/>
  <c r="Y1574" i="42"/>
  <c r="Y1566" i="42"/>
  <c r="Y1558" i="42"/>
  <c r="Y1550" i="42"/>
  <c r="Y1542" i="42"/>
  <c r="Y1534" i="42"/>
  <c r="Y1526" i="42"/>
  <c r="Y1518" i="42"/>
  <c r="Y1510" i="42"/>
  <c r="Y1502" i="42"/>
  <c r="Y1494" i="42"/>
  <c r="Y1486" i="42"/>
  <c r="Y1478" i="42"/>
  <c r="Y1470" i="42"/>
  <c r="Y1462" i="42"/>
  <c r="Y1454" i="42"/>
  <c r="Y1444" i="42"/>
  <c r="Y1436" i="42"/>
  <c r="Y1388" i="42"/>
  <c r="Y1372" i="42"/>
  <c r="Y1364" i="42"/>
  <c r="Y1356" i="42"/>
  <c r="Y1316" i="42"/>
  <c r="Y1308" i="42"/>
  <c r="Y1292" i="42"/>
  <c r="Y1236" i="42"/>
  <c r="Y1228" i="42"/>
  <c r="Y1219" i="42"/>
  <c r="Y1212" i="42"/>
  <c r="Y1140" i="42"/>
  <c r="Y999" i="42"/>
  <c r="Y1168" i="42"/>
  <c r="Y1068" i="42"/>
  <c r="Y1052" i="42"/>
  <c r="Y1161" i="42"/>
  <c r="Y1118" i="42"/>
  <c r="Y1087" i="42"/>
  <c r="Y964" i="42"/>
  <c r="Y892" i="42"/>
  <c r="Y844" i="42"/>
  <c r="Y812" i="42"/>
  <c r="Y780" i="42"/>
  <c r="Y772" i="42"/>
  <c r="Y756" i="42"/>
  <c r="Y748" i="42"/>
  <c r="Y740" i="42"/>
  <c r="Y724" i="42"/>
  <c r="Y716" i="42"/>
  <c r="Y660" i="42"/>
  <c r="Y636" i="42"/>
  <c r="Y628" i="42"/>
  <c r="Y620" i="42"/>
  <c r="Y612" i="42"/>
  <c r="Y604" i="42"/>
  <c r="Y596" i="42"/>
  <c r="Y588" i="42"/>
  <c r="Y580" i="42"/>
  <c r="Y572" i="42"/>
  <c r="Y564" i="42"/>
  <c r="Y1573" i="42"/>
  <c r="Y1565" i="42"/>
  <c r="Y1557" i="42"/>
  <c r="Y1549" i="42"/>
  <c r="Y1541" i="42"/>
  <c r="Y1533" i="42"/>
  <c r="Y1525" i="42"/>
  <c r="Y1517" i="42"/>
  <c r="Y1509" i="42"/>
  <c r="Y1501" i="42"/>
  <c r="Y1493" i="42"/>
  <c r="Y1485" i="42"/>
  <c r="Y1477" i="42"/>
  <c r="Y1469" i="42"/>
  <c r="Y1461" i="42"/>
  <c r="Y1453" i="42"/>
  <c r="Y1443" i="42"/>
  <c r="Y1427" i="42"/>
  <c r="Y1395" i="42"/>
  <c r="Y1387" i="42"/>
  <c r="Y1363" i="42"/>
  <c r="Y1307" i="42"/>
  <c r="Y1299" i="42"/>
  <c r="Y1275" i="42"/>
  <c r="Y1235" i="42"/>
  <c r="Y1227" i="42"/>
  <c r="Y1218" i="42"/>
  <c r="Y1211" i="42"/>
  <c r="Y1187" i="42"/>
  <c r="Y1011" i="42"/>
  <c r="Y1139" i="42"/>
  <c r="Y1006" i="42"/>
  <c r="Y1075" i="42"/>
  <c r="Y1043" i="42"/>
  <c r="Y1086" i="42"/>
  <c r="Y963" i="42"/>
  <c r="Y851" i="42"/>
  <c r="Y835" i="42"/>
  <c r="Y819" i="42"/>
  <c r="Y811" i="42"/>
  <c r="Y787" i="42"/>
  <c r="Y779" i="42"/>
  <c r="Y763" i="42"/>
  <c r="Y755" i="42"/>
  <c r="Y747" i="42"/>
  <c r="Y739" i="42"/>
  <c r="Y723" i="42"/>
  <c r="Y707" i="42"/>
  <c r="Y699" i="42"/>
  <c r="Y683" i="42"/>
  <c r="Y635" i="42"/>
  <c r="Y627" i="42"/>
  <c r="Y619" i="42"/>
  <c r="Y603" i="42"/>
  <c r="Y595" i="42"/>
  <c r="Y563" i="42"/>
  <c r="H292" i="28"/>
  <c r="H284" i="28"/>
  <c r="H276" i="28"/>
  <c r="H260" i="28"/>
  <c r="H252" i="28"/>
  <c r="H244" i="28"/>
  <c r="H236" i="28"/>
  <c r="H228" i="28"/>
  <c r="H300" i="28"/>
  <c r="H273" i="28"/>
  <c r="H265" i="28"/>
  <c r="H257" i="28"/>
  <c r="H249" i="28"/>
  <c r="H241" i="28"/>
  <c r="H233" i="28"/>
  <c r="H225" i="28"/>
  <c r="H217" i="28"/>
  <c r="H281" i="28"/>
  <c r="H289" i="28"/>
  <c r="H297" i="28"/>
  <c r="H299" i="28"/>
  <c r="H291" i="28"/>
  <c r="H283" i="28"/>
  <c r="H275" i="28"/>
  <c r="H267" i="28"/>
  <c r="H259" i="28"/>
  <c r="H251" i="28"/>
  <c r="H243" i="28"/>
  <c r="H235" i="28"/>
  <c r="H227" i="28"/>
  <c r="H268" i="28"/>
  <c r="Y3" i="1"/>
  <c r="G3" i="51" s="1"/>
  <c r="D24" i="26" s="1"/>
  <c r="H290" i="28"/>
  <c r="H282" i="28"/>
  <c r="H274" i="28"/>
  <c r="H266" i="28"/>
  <c r="H258" i="28"/>
  <c r="H250" i="28"/>
  <c r="H242" i="28"/>
  <c r="H234" i="28"/>
  <c r="H226" i="28"/>
  <c r="H298" i="28"/>
  <c r="H296" i="28"/>
  <c r="H264" i="28"/>
  <c r="H248" i="28"/>
  <c r="H224" i="28"/>
  <c r="H240" i="28"/>
  <c r="H280" i="28"/>
  <c r="H288" i="28"/>
  <c r="H272" i="28"/>
  <c r="H256" i="28"/>
  <c r="H232" i="28"/>
  <c r="H208" i="28"/>
  <c r="H205" i="28"/>
  <c r="H301" i="28"/>
  <c r="H293" i="28"/>
  <c r="H285" i="28"/>
  <c r="H277" i="28"/>
  <c r="H269" i="28"/>
  <c r="H261" i="28"/>
  <c r="H253" i="28"/>
  <c r="H245" i="28"/>
  <c r="H237" i="28"/>
  <c r="H229" i="28"/>
  <c r="H294" i="28"/>
  <c r="H302" i="28"/>
  <c r="H286" i="28"/>
  <c r="H278" i="28"/>
  <c r="H270" i="28"/>
  <c r="H262" i="28"/>
  <c r="H254" i="28"/>
  <c r="H246" i="28"/>
  <c r="H238" i="28"/>
  <c r="H230" i="28"/>
  <c r="H222" i="28"/>
  <c r="H206" i="28"/>
  <c r="H295" i="28"/>
  <c r="H287" i="28"/>
  <c r="H279" i="28"/>
  <c r="H271" i="28"/>
  <c r="H263" i="28"/>
  <c r="H255" i="28"/>
  <c r="H247" i="28"/>
  <c r="H239" i="28"/>
  <c r="H231" i="28"/>
  <c r="H215" i="28"/>
  <c r="H207" i="28"/>
  <c r="H204" i="28"/>
  <c r="AJ6" i="27" l="1"/>
  <c r="AI5" i="1"/>
  <c r="AY5" i="1" s="1"/>
  <c r="AJ46" i="27"/>
  <c r="AI46" i="27"/>
  <c r="AJ80" i="27"/>
  <c r="AI80" i="27"/>
  <c r="AJ25" i="27"/>
  <c r="AI25" i="27"/>
  <c r="AJ54" i="27"/>
  <c r="AI54" i="27"/>
  <c r="AJ34" i="27"/>
  <c r="AI34" i="27"/>
  <c r="AJ73" i="27"/>
  <c r="AI73" i="27"/>
  <c r="AJ21" i="27"/>
  <c r="AI21" i="27"/>
  <c r="AJ65" i="27"/>
  <c r="AI65" i="27"/>
  <c r="AN102" i="27"/>
  <c r="AM102" i="27"/>
  <c r="AN76" i="27"/>
  <c r="AM76" i="27"/>
  <c r="AN85" i="27"/>
  <c r="AM85" i="27"/>
  <c r="AN84" i="27"/>
  <c r="AM84" i="27"/>
  <c r="AN97" i="27"/>
  <c r="AM97" i="27"/>
  <c r="AN64" i="27"/>
  <c r="AM64" i="27"/>
  <c r="AJ29" i="27"/>
  <c r="AI29" i="27"/>
  <c r="AJ24" i="27"/>
  <c r="AI24" i="27"/>
  <c r="AJ53" i="27"/>
  <c r="AI53" i="27"/>
  <c r="AJ82" i="27"/>
  <c r="AI82" i="27"/>
  <c r="AN95" i="27"/>
  <c r="AM95" i="27"/>
  <c r="AN60" i="27"/>
  <c r="AM60" i="27"/>
  <c r="AN37" i="27"/>
  <c r="AM37" i="27"/>
  <c r="AN36" i="27"/>
  <c r="AM36" i="27"/>
  <c r="AN81" i="27"/>
  <c r="AM81" i="27"/>
  <c r="AN48" i="27"/>
  <c r="AM48" i="27"/>
  <c r="AJ42" i="27"/>
  <c r="AI42" i="27"/>
  <c r="AJ69" i="27"/>
  <c r="AI69" i="27"/>
  <c r="AJ17" i="27"/>
  <c r="AI17" i="27"/>
  <c r="AJ51" i="27"/>
  <c r="AI51" i="27"/>
  <c r="AN47" i="27"/>
  <c r="AM47" i="27"/>
  <c r="AN44" i="27"/>
  <c r="AM44" i="27"/>
  <c r="AN52" i="27"/>
  <c r="AM52" i="27"/>
  <c r="AN98" i="27"/>
  <c r="AM98" i="27"/>
  <c r="AN65" i="27"/>
  <c r="AM65" i="27"/>
  <c r="AN32" i="27"/>
  <c r="AM32" i="27"/>
  <c r="AJ84" i="27"/>
  <c r="AI84" i="27"/>
  <c r="AJ23" i="27"/>
  <c r="AI23" i="27"/>
  <c r="AJ86" i="27"/>
  <c r="AI86" i="27"/>
  <c r="AJ77" i="27"/>
  <c r="AI77" i="27"/>
  <c r="AJ66" i="27"/>
  <c r="AI66" i="27"/>
  <c r="AJ16" i="27"/>
  <c r="AI16" i="27"/>
  <c r="AN93" i="27"/>
  <c r="AM93" i="27"/>
  <c r="AN28" i="27"/>
  <c r="AM28" i="27"/>
  <c r="AN99" i="27"/>
  <c r="AM99" i="27"/>
  <c r="AN82" i="27"/>
  <c r="AM82" i="27"/>
  <c r="AN49" i="27"/>
  <c r="AM49" i="27"/>
  <c r="AN16" i="27"/>
  <c r="AM16" i="27"/>
  <c r="AI74" i="1"/>
  <c r="AY74" i="1" s="1"/>
  <c r="AI44" i="1"/>
  <c r="AY44" i="1" s="1"/>
  <c r="AI91" i="1"/>
  <c r="AY91" i="1" s="1"/>
  <c r="AI85" i="1"/>
  <c r="AY85" i="1" s="1"/>
  <c r="AI115" i="1"/>
  <c r="AY115" i="1" s="1"/>
  <c r="AI86" i="1"/>
  <c r="AY86" i="1" s="1"/>
  <c r="AI18" i="1"/>
  <c r="AY18" i="1" s="1"/>
  <c r="AI193" i="1"/>
  <c r="AY193" i="1" s="1"/>
  <c r="AI54" i="1"/>
  <c r="AY54" i="1" s="1"/>
  <c r="AI41" i="1"/>
  <c r="AY41" i="1" s="1"/>
  <c r="AI31" i="1"/>
  <c r="AY31" i="1" s="1"/>
  <c r="AI78" i="1"/>
  <c r="AY78" i="1" s="1"/>
  <c r="AI109" i="1"/>
  <c r="AY109" i="1" s="1"/>
  <c r="AI162" i="1"/>
  <c r="AY162" i="1" s="1"/>
  <c r="AI55" i="1"/>
  <c r="AY55" i="1" s="1"/>
  <c r="AI89" i="1"/>
  <c r="AY89" i="1" s="1"/>
  <c r="AI28" i="1"/>
  <c r="AY28" i="1" s="1"/>
  <c r="AI75" i="1"/>
  <c r="AY75" i="1" s="1"/>
  <c r="AI180" i="1"/>
  <c r="AY180" i="1" s="1"/>
  <c r="AI99" i="1"/>
  <c r="AY99" i="1" s="1"/>
  <c r="AI181" i="1"/>
  <c r="AY181" i="1" s="1"/>
  <c r="AI170" i="1"/>
  <c r="AY170" i="1" s="1"/>
  <c r="AI177" i="1"/>
  <c r="AY177" i="1" s="1"/>
  <c r="AI117" i="1"/>
  <c r="AY117" i="1" s="1"/>
  <c r="AI152" i="1"/>
  <c r="AY152" i="1" s="1"/>
  <c r="AI15" i="1"/>
  <c r="AY15" i="1" s="1"/>
  <c r="AI62" i="1"/>
  <c r="AY62" i="1" s="1"/>
  <c r="AI93" i="1"/>
  <c r="AY93" i="1" s="1"/>
  <c r="AI175" i="1"/>
  <c r="AY175" i="1" s="1"/>
  <c r="AI103" i="1"/>
  <c r="AY103" i="1" s="1"/>
  <c r="AI72" i="1"/>
  <c r="AY72" i="1" s="1"/>
  <c r="AI12" i="1"/>
  <c r="AY12" i="1" s="1"/>
  <c r="AI59" i="1"/>
  <c r="AY59" i="1" s="1"/>
  <c r="AI52" i="1"/>
  <c r="AY52" i="1" s="1"/>
  <c r="AI83" i="1"/>
  <c r="AY83" i="1" s="1"/>
  <c r="AI37" i="1"/>
  <c r="AY37" i="1" s="1"/>
  <c r="AI10" i="1"/>
  <c r="AY10" i="1" s="1"/>
  <c r="AI161" i="1"/>
  <c r="AY161" i="1" s="1"/>
  <c r="AI68" i="1"/>
  <c r="AY68" i="1" s="1"/>
  <c r="AI87" i="1"/>
  <c r="AY87" i="1" s="1"/>
  <c r="AI154" i="1"/>
  <c r="AY154" i="1" s="1"/>
  <c r="AI46" i="1"/>
  <c r="AY46" i="1" s="1"/>
  <c r="AI77" i="1"/>
  <c r="AY77" i="1" s="1"/>
  <c r="AI199" i="1"/>
  <c r="AY199" i="1" s="1"/>
  <c r="AI159" i="1"/>
  <c r="AY159" i="1" s="1"/>
  <c r="AI119" i="1"/>
  <c r="AY119" i="1" s="1"/>
  <c r="AI122" i="1"/>
  <c r="AY122" i="1" s="1"/>
  <c r="AI43" i="1"/>
  <c r="AY43" i="1" s="1"/>
  <c r="AI90" i="1"/>
  <c r="AY90" i="1" s="1"/>
  <c r="AI67" i="1"/>
  <c r="AY67" i="1" s="1"/>
  <c r="AI116" i="1"/>
  <c r="AY116" i="1" s="1"/>
  <c r="AI201" i="1"/>
  <c r="AY201" i="1" s="1"/>
  <c r="AI145" i="1"/>
  <c r="AY145" i="1" s="1"/>
  <c r="AI192" i="1"/>
  <c r="AY192" i="1" s="1"/>
  <c r="AI102" i="1"/>
  <c r="AY102" i="1" s="1"/>
  <c r="AI153" i="1"/>
  <c r="AY153" i="1" s="1"/>
  <c r="AI30" i="1"/>
  <c r="AY30" i="1" s="1"/>
  <c r="AI61" i="1"/>
  <c r="AY61" i="1" s="1"/>
  <c r="AI202" i="1"/>
  <c r="AY202" i="1" s="1"/>
  <c r="AI132" i="1"/>
  <c r="AY132" i="1" s="1"/>
  <c r="AI150" i="1"/>
  <c r="AY150" i="1" s="1"/>
  <c r="AI73" i="1"/>
  <c r="AY73" i="1" s="1"/>
  <c r="AI27" i="1"/>
  <c r="AY27" i="1" s="1"/>
  <c r="AI25" i="1"/>
  <c r="AY25" i="1" s="1"/>
  <c r="AI51" i="1"/>
  <c r="AY51" i="1" s="1"/>
  <c r="AI20" i="1"/>
  <c r="AY20" i="1" s="1"/>
  <c r="AI137" i="1"/>
  <c r="AY137" i="1" s="1"/>
  <c r="AI129" i="1"/>
  <c r="AY129" i="1" s="1"/>
  <c r="AI176" i="1"/>
  <c r="AY176" i="1" s="1"/>
  <c r="AI133" i="1"/>
  <c r="AY133" i="1" s="1"/>
  <c r="AI8" i="1"/>
  <c r="AY8" i="1" s="1"/>
  <c r="AI14" i="1"/>
  <c r="AY14" i="1" s="1"/>
  <c r="AI45" i="1"/>
  <c r="AY45" i="1" s="1"/>
  <c r="AI81" i="1"/>
  <c r="AY81" i="1" s="1"/>
  <c r="AI65" i="1"/>
  <c r="AY65" i="1" s="1"/>
  <c r="AI149" i="1"/>
  <c r="AY149" i="1" s="1"/>
  <c r="AI104" i="1"/>
  <c r="AY104" i="1" s="1"/>
  <c r="AI11" i="1"/>
  <c r="AY11" i="1" s="1"/>
  <c r="AI24" i="1"/>
  <c r="AY24" i="1" s="1"/>
  <c r="AI35" i="1"/>
  <c r="AY35" i="1" s="1"/>
  <c r="AI194" i="1"/>
  <c r="AY194" i="1" s="1"/>
  <c r="AI184" i="1"/>
  <c r="AY184" i="1" s="1"/>
  <c r="AI113" i="1"/>
  <c r="AY113" i="1" s="1"/>
  <c r="AI160" i="1"/>
  <c r="AY160" i="1" s="1"/>
  <c r="AI148" i="1"/>
  <c r="AY148" i="1" s="1"/>
  <c r="AI135" i="1"/>
  <c r="AY135" i="1" s="1"/>
  <c r="AI138" i="1"/>
  <c r="AY138" i="1" s="1"/>
  <c r="AI29" i="1"/>
  <c r="AY29" i="1" s="1"/>
  <c r="AI128" i="1"/>
  <c r="AY128" i="1" s="1"/>
  <c r="AI112" i="1"/>
  <c r="AY112" i="1" s="1"/>
  <c r="AI204" i="1"/>
  <c r="AY204" i="1" s="1"/>
  <c r="AI39" i="1"/>
  <c r="AY39" i="1" s="1"/>
  <c r="AI186" i="1"/>
  <c r="AY186" i="1" s="1"/>
  <c r="AI151" i="1"/>
  <c r="AY151" i="1" s="1"/>
  <c r="AI19" i="1"/>
  <c r="AY19" i="1" s="1"/>
  <c r="AI178" i="1"/>
  <c r="AY178" i="1" s="1"/>
  <c r="AI120" i="1"/>
  <c r="AY120" i="1" s="1"/>
  <c r="AI97" i="1"/>
  <c r="AY97" i="1" s="1"/>
  <c r="AI144" i="1"/>
  <c r="AY144" i="1" s="1"/>
  <c r="AI191" i="1"/>
  <c r="AY191" i="1" s="1"/>
  <c r="AI38" i="1"/>
  <c r="AY38" i="1" s="1"/>
  <c r="AI9" i="1"/>
  <c r="AY9" i="1" s="1"/>
  <c r="AI13" i="1"/>
  <c r="AY13" i="1" s="1"/>
  <c r="AI22" i="1"/>
  <c r="AY22" i="1" s="1"/>
  <c r="AI40" i="1"/>
  <c r="AY40" i="1" s="1"/>
  <c r="AI190" i="1"/>
  <c r="AY190" i="1" s="1"/>
  <c r="AI188" i="1"/>
  <c r="AY188" i="1" s="1"/>
  <c r="AI118" i="1"/>
  <c r="AY118" i="1" s="1"/>
  <c r="AI58" i="1"/>
  <c r="AY58" i="1" s="1"/>
  <c r="AI101" i="1"/>
  <c r="AY101" i="1" s="1"/>
  <c r="AI143" i="1"/>
  <c r="AY143" i="1" s="1"/>
  <c r="AI172" i="1"/>
  <c r="AY172" i="1" s="1"/>
  <c r="AI69" i="1"/>
  <c r="AY69" i="1" s="1"/>
  <c r="AI169" i="1"/>
  <c r="AY169" i="1" s="1"/>
  <c r="AI21" i="1"/>
  <c r="AY21" i="1" s="1"/>
  <c r="AI42" i="1"/>
  <c r="AY42" i="1" s="1"/>
  <c r="AI146" i="1"/>
  <c r="AY146" i="1" s="1"/>
  <c r="AI96" i="1"/>
  <c r="AY96" i="1" s="1"/>
  <c r="AI156" i="1"/>
  <c r="AY156" i="1" s="1"/>
  <c r="AI203" i="1"/>
  <c r="AY203" i="1" s="1"/>
  <c r="AI57" i="1"/>
  <c r="AY57" i="1" s="1"/>
  <c r="AI164" i="1"/>
  <c r="AY164" i="1" s="1"/>
  <c r="AI185" i="1"/>
  <c r="AY185" i="1" s="1"/>
  <c r="AI130" i="1"/>
  <c r="AY130" i="1" s="1"/>
  <c r="AI182" i="1"/>
  <c r="AY182" i="1" s="1"/>
  <c r="AI49" i="1"/>
  <c r="AY49" i="1" s="1"/>
  <c r="AI140" i="1"/>
  <c r="AY140" i="1" s="1"/>
  <c r="AI187" i="1"/>
  <c r="AY187" i="1" s="1"/>
  <c r="AI200" i="1"/>
  <c r="AY200" i="1" s="1"/>
  <c r="AI84" i="1"/>
  <c r="AY84" i="1" s="1"/>
  <c r="AI121" i="1"/>
  <c r="AY121" i="1" s="1"/>
  <c r="AI114" i="1"/>
  <c r="AY114" i="1" s="1"/>
  <c r="AI70" i="1"/>
  <c r="AY70" i="1" s="1"/>
  <c r="AI33" i="1"/>
  <c r="AY33" i="1" s="1"/>
  <c r="AI80" i="1"/>
  <c r="AY80" i="1" s="1"/>
  <c r="AI127" i="1"/>
  <c r="AY127" i="1" s="1"/>
  <c r="AI174" i="1"/>
  <c r="AY174" i="1" s="1"/>
  <c r="AI165" i="1"/>
  <c r="AY165" i="1" s="1"/>
  <c r="AI155" i="1"/>
  <c r="AY155" i="1" s="1"/>
  <c r="AI82" i="1"/>
  <c r="AY82" i="1" s="1"/>
  <c r="AI53" i="1"/>
  <c r="AY53" i="1" s="1"/>
  <c r="AI95" i="1"/>
  <c r="AY95" i="1" s="1"/>
  <c r="AI26" i="1"/>
  <c r="AY26" i="1" s="1"/>
  <c r="AI124" i="1"/>
  <c r="AY124" i="1" s="1"/>
  <c r="AI171" i="1"/>
  <c r="AY171" i="1" s="1"/>
  <c r="AI136" i="1"/>
  <c r="AY136" i="1" s="1"/>
  <c r="AI195" i="1"/>
  <c r="AY195" i="1" s="1"/>
  <c r="AI168" i="1"/>
  <c r="AY168" i="1" s="1"/>
  <c r="AI98" i="1"/>
  <c r="AY98" i="1" s="1"/>
  <c r="AI197" i="1"/>
  <c r="AY197" i="1" s="1"/>
  <c r="AI17" i="1"/>
  <c r="AY17" i="1" s="1"/>
  <c r="AI64" i="1"/>
  <c r="AY64" i="1" s="1"/>
  <c r="AI111" i="1"/>
  <c r="AY111" i="1" s="1"/>
  <c r="AI158" i="1"/>
  <c r="AY158" i="1" s="1"/>
  <c r="AI189" i="1"/>
  <c r="AY189" i="1" s="1"/>
  <c r="AI167" i="1"/>
  <c r="AY167" i="1" s="1"/>
  <c r="AI56" i="1"/>
  <c r="AY56" i="1" s="1"/>
  <c r="AI106" i="1"/>
  <c r="AY106" i="1" s="1"/>
  <c r="AI142" i="1"/>
  <c r="AY142" i="1" s="1"/>
  <c r="AI23" i="1"/>
  <c r="AY23" i="1" s="1"/>
  <c r="AI134" i="1"/>
  <c r="AY134" i="1" s="1"/>
  <c r="AI108" i="1"/>
  <c r="AY108" i="1" s="1"/>
  <c r="AI179" i="1"/>
  <c r="AY179" i="1" s="1"/>
  <c r="AI48" i="1"/>
  <c r="AY48" i="1" s="1"/>
  <c r="AI173" i="1"/>
  <c r="AY173" i="1" s="1"/>
  <c r="AI125" i="1"/>
  <c r="AY125" i="1" s="1"/>
  <c r="AI92" i="1"/>
  <c r="AY92" i="1" s="1"/>
  <c r="AI139" i="1"/>
  <c r="AY139" i="1" s="1"/>
  <c r="AI7" i="1"/>
  <c r="AY7" i="1" s="1"/>
  <c r="AI163" i="1"/>
  <c r="AY163" i="1" s="1"/>
  <c r="AI183" i="1"/>
  <c r="AY183" i="1" s="1"/>
  <c r="AI66" i="1"/>
  <c r="AY66" i="1" s="1"/>
  <c r="AI196" i="1"/>
  <c r="AY196" i="1" s="1"/>
  <c r="AI105" i="1"/>
  <c r="AY105" i="1" s="1"/>
  <c r="AI32" i="1"/>
  <c r="AY32" i="1" s="1"/>
  <c r="AI79" i="1"/>
  <c r="AY79" i="1" s="1"/>
  <c r="AI126" i="1"/>
  <c r="AY126" i="1" s="1"/>
  <c r="AI157" i="1"/>
  <c r="AY157" i="1" s="1"/>
  <c r="AI60" i="1"/>
  <c r="AY60" i="1" s="1"/>
  <c r="AI6" i="1"/>
  <c r="AI198" i="1"/>
  <c r="AY198" i="1" s="1"/>
  <c r="AI36" i="1"/>
  <c r="AY36" i="1" s="1"/>
  <c r="AI47" i="1"/>
  <c r="AY47" i="1" s="1"/>
  <c r="AI76" i="1"/>
  <c r="AY76" i="1" s="1"/>
  <c r="AI123" i="1"/>
  <c r="AY123" i="1" s="1"/>
  <c r="AI166" i="1"/>
  <c r="AY166" i="1" s="1"/>
  <c r="AI147" i="1"/>
  <c r="AY147" i="1" s="1"/>
  <c r="AI71" i="1"/>
  <c r="AY71" i="1" s="1"/>
  <c r="AI50" i="1"/>
  <c r="AY50" i="1" s="1"/>
  <c r="AI100" i="1"/>
  <c r="AY100" i="1" s="1"/>
  <c r="AI88" i="1"/>
  <c r="AY88" i="1" s="1"/>
  <c r="AI16" i="1"/>
  <c r="AY16" i="1" s="1"/>
  <c r="AI63" i="1"/>
  <c r="AY63" i="1" s="1"/>
  <c r="AI110" i="1"/>
  <c r="AY110" i="1" s="1"/>
  <c r="AI141" i="1"/>
  <c r="AY141" i="1" s="1"/>
  <c r="AI107" i="1"/>
  <c r="AY107" i="1" s="1"/>
  <c r="AI131" i="1"/>
  <c r="AY131" i="1" s="1"/>
  <c r="AI34" i="1"/>
  <c r="AY34" i="1" s="1"/>
  <c r="AI94" i="1"/>
  <c r="AY94" i="1" s="1"/>
  <c r="AJ103" i="27"/>
  <c r="AI103" i="27"/>
  <c r="AJ19" i="27"/>
  <c r="AI19" i="27"/>
  <c r="AJ44" i="27"/>
  <c r="AI44" i="27"/>
  <c r="AJ45" i="27"/>
  <c r="AI45" i="27"/>
  <c r="AN77" i="27"/>
  <c r="AM77" i="27"/>
  <c r="AN12" i="27"/>
  <c r="AM12" i="27"/>
  <c r="AN83" i="27"/>
  <c r="AM83" i="27"/>
  <c r="AN66" i="27"/>
  <c r="AM66" i="27"/>
  <c r="AN33" i="27"/>
  <c r="AM33" i="27"/>
  <c r="AN41" i="27"/>
  <c r="AM41" i="27"/>
  <c r="AJ62" i="27"/>
  <c r="AI62" i="27"/>
  <c r="AJ14" i="27"/>
  <c r="AI14" i="27"/>
  <c r="AJ59" i="27"/>
  <c r="AI59" i="27"/>
  <c r="AJ64" i="27"/>
  <c r="AI64" i="27"/>
  <c r="AN61" i="27"/>
  <c r="AM61" i="27"/>
  <c r="AN25" i="27"/>
  <c r="AM25" i="27"/>
  <c r="AN67" i="27"/>
  <c r="AM67" i="27"/>
  <c r="AN50" i="27"/>
  <c r="AM50" i="27"/>
  <c r="AN17" i="27"/>
  <c r="AM17" i="27"/>
  <c r="AN56" i="27"/>
  <c r="AM56" i="27"/>
  <c r="AJ97" i="27"/>
  <c r="AI97" i="27"/>
  <c r="AJ13" i="27"/>
  <c r="AI13" i="27"/>
  <c r="AJ57" i="27"/>
  <c r="AI57" i="27"/>
  <c r="AJ76" i="27"/>
  <c r="AI76" i="27"/>
  <c r="AJ37" i="27"/>
  <c r="AI37" i="27"/>
  <c r="AJ55" i="27"/>
  <c r="AI55" i="27"/>
  <c r="AJ39" i="27"/>
  <c r="AI39" i="27"/>
  <c r="AN45" i="27"/>
  <c r="AM45" i="27"/>
  <c r="AN7" i="27"/>
  <c r="AM7" i="27"/>
  <c r="AN51" i="27"/>
  <c r="AM51" i="27"/>
  <c r="AN34" i="27"/>
  <c r="AM34" i="27"/>
  <c r="AN91" i="27"/>
  <c r="AM91" i="27"/>
  <c r="AN87" i="27"/>
  <c r="AM87" i="27"/>
  <c r="AJ58" i="27"/>
  <c r="AI58" i="27"/>
  <c r="AJ52" i="27"/>
  <c r="AI52" i="27"/>
  <c r="AJ72" i="27"/>
  <c r="AI72" i="27"/>
  <c r="AJ100" i="27"/>
  <c r="AI100" i="27"/>
  <c r="AJ98" i="27"/>
  <c r="AI98" i="27"/>
  <c r="AJ18" i="27"/>
  <c r="AI18" i="27"/>
  <c r="AN29" i="27"/>
  <c r="AM29" i="27"/>
  <c r="AN6" i="27"/>
  <c r="AM6" i="27"/>
  <c r="AN35" i="27"/>
  <c r="AM35" i="27"/>
  <c r="AN18" i="27"/>
  <c r="AM18" i="27"/>
  <c r="AN74" i="27"/>
  <c r="AM74" i="27"/>
  <c r="AN38" i="27"/>
  <c r="AM38" i="27"/>
  <c r="AJ9" i="27"/>
  <c r="AI9" i="27"/>
  <c r="AJ47" i="27"/>
  <c r="AI47" i="27"/>
  <c r="AJ68" i="27"/>
  <c r="AI68" i="27"/>
  <c r="AJ31" i="27"/>
  <c r="AI31" i="27"/>
  <c r="AJ101" i="27"/>
  <c r="AI101" i="27"/>
  <c r="AJ49" i="27"/>
  <c r="AI49" i="27"/>
  <c r="AJ12" i="27"/>
  <c r="AI12" i="27"/>
  <c r="AN13" i="27"/>
  <c r="AM13" i="27"/>
  <c r="AN5" i="27"/>
  <c r="AM5" i="27"/>
  <c r="AN19" i="27"/>
  <c r="AM19" i="27"/>
  <c r="AN59" i="27"/>
  <c r="AM59" i="27"/>
  <c r="AN89" i="27"/>
  <c r="AM89" i="27"/>
  <c r="AN79" i="27"/>
  <c r="AM79" i="27"/>
  <c r="AJ75" i="27"/>
  <c r="AI75" i="27"/>
  <c r="AJ56" i="27"/>
  <c r="AI56" i="27"/>
  <c r="AJ8" i="27"/>
  <c r="AI8" i="27"/>
  <c r="AJ30" i="27"/>
  <c r="AI30" i="27"/>
  <c r="AJ63" i="27"/>
  <c r="AI63" i="27"/>
  <c r="AJ91" i="27"/>
  <c r="AI91" i="27"/>
  <c r="AJ20" i="27"/>
  <c r="AI20" i="27"/>
  <c r="AJ60" i="27"/>
  <c r="AI60" i="27"/>
  <c r="AJ92" i="27"/>
  <c r="AI92" i="27"/>
  <c r="AJ7" i="27"/>
  <c r="AI7" i="27"/>
  <c r="AN43" i="27"/>
  <c r="AM43" i="27"/>
  <c r="AN68" i="27"/>
  <c r="AM68" i="27"/>
  <c r="AN27" i="27"/>
  <c r="AM27" i="27"/>
  <c r="AN42" i="27"/>
  <c r="AM42" i="27"/>
  <c r="AN104" i="27"/>
  <c r="AM104" i="27"/>
  <c r="AN31" i="27"/>
  <c r="AM31" i="27"/>
  <c r="AJ71" i="27"/>
  <c r="AI71" i="27"/>
  <c r="AJ87" i="27"/>
  <c r="AI87" i="27"/>
  <c r="AJ15" i="27"/>
  <c r="AI15" i="27"/>
  <c r="AJ88" i="27"/>
  <c r="AI88" i="27"/>
  <c r="AN10" i="27"/>
  <c r="AM10" i="27"/>
  <c r="AN75" i="27"/>
  <c r="AM75" i="27"/>
  <c r="AN90" i="27"/>
  <c r="AM90" i="27"/>
  <c r="AN9" i="27"/>
  <c r="AM9" i="27"/>
  <c r="AN39" i="27"/>
  <c r="AM39" i="27"/>
  <c r="AN94" i="27"/>
  <c r="AM94" i="27"/>
  <c r="AJ67" i="27"/>
  <c r="AI67" i="27"/>
  <c r="AJ95" i="27"/>
  <c r="AI95" i="27"/>
  <c r="AJ26" i="27"/>
  <c r="AI26" i="27"/>
  <c r="AJ85" i="27"/>
  <c r="AI85" i="27"/>
  <c r="AJ11" i="27"/>
  <c r="AI11" i="27"/>
  <c r="AJ50" i="27"/>
  <c r="AI50" i="27"/>
  <c r="AJ35" i="27"/>
  <c r="AI35" i="27"/>
  <c r="AJ79" i="27"/>
  <c r="AI79" i="27"/>
  <c r="AN40" i="27"/>
  <c r="AM40" i="27"/>
  <c r="AN58" i="27"/>
  <c r="AM58" i="27"/>
  <c r="AN57" i="27"/>
  <c r="AM57" i="27"/>
  <c r="AN24" i="27"/>
  <c r="AM24" i="27"/>
  <c r="AN22" i="27"/>
  <c r="AM22" i="27"/>
  <c r="AN78" i="27"/>
  <c r="AM78" i="27"/>
  <c r="AJ43" i="27"/>
  <c r="AI43" i="27"/>
  <c r="AJ93" i="27"/>
  <c r="AI93" i="27"/>
  <c r="AI6" i="27"/>
  <c r="AJ83" i="27"/>
  <c r="AI83" i="27"/>
  <c r="AJ33" i="27"/>
  <c r="AI33" i="27"/>
  <c r="AN11" i="27"/>
  <c r="AM11" i="27"/>
  <c r="AN103" i="27"/>
  <c r="AM103" i="27"/>
  <c r="AN73" i="27"/>
  <c r="AM73" i="27"/>
  <c r="AN72" i="27"/>
  <c r="AM72" i="27"/>
  <c r="AN23" i="27"/>
  <c r="AM23" i="27"/>
  <c r="AN69" i="27"/>
  <c r="AM69" i="27"/>
  <c r="AN62" i="27"/>
  <c r="AM62" i="27"/>
  <c r="AJ61" i="27"/>
  <c r="AI61" i="27"/>
  <c r="AJ99" i="27"/>
  <c r="AI99" i="27"/>
  <c r="AJ41" i="27"/>
  <c r="AI41" i="27"/>
  <c r="AJ90" i="27"/>
  <c r="AI90" i="27"/>
  <c r="AJ81" i="27"/>
  <c r="AI81" i="27"/>
  <c r="AJ102" i="27"/>
  <c r="AI102" i="27"/>
  <c r="AJ48" i="27"/>
  <c r="AI48" i="27"/>
  <c r="AJ32" i="27"/>
  <c r="AI32" i="27"/>
  <c r="AN26" i="27"/>
  <c r="AM26" i="27"/>
  <c r="AN63" i="27"/>
  <c r="AM63" i="27"/>
  <c r="AN88" i="27"/>
  <c r="AM88" i="27"/>
  <c r="AN54" i="27"/>
  <c r="AM54" i="27"/>
  <c r="AN70" i="27"/>
  <c r="AM70" i="27"/>
  <c r="AN20" i="27"/>
  <c r="AM20" i="27"/>
  <c r="AN46" i="27"/>
  <c r="AM46" i="27"/>
  <c r="AJ40" i="27"/>
  <c r="AI40" i="27"/>
  <c r="AJ89" i="27"/>
  <c r="AI89" i="27"/>
  <c r="AJ10" i="27"/>
  <c r="AI10" i="27"/>
  <c r="AJ38" i="27"/>
  <c r="AI38" i="27"/>
  <c r="AJ78" i="27"/>
  <c r="AI78" i="27"/>
  <c r="AJ28" i="27"/>
  <c r="AI28" i="27"/>
  <c r="AJ70" i="27"/>
  <c r="AI70" i="27"/>
  <c r="AN8" i="27"/>
  <c r="AM8" i="27"/>
  <c r="AN15" i="27"/>
  <c r="AM15" i="27"/>
  <c r="AN71" i="27"/>
  <c r="AM71" i="27"/>
  <c r="AN101" i="27"/>
  <c r="AM101" i="27"/>
  <c r="AN53" i="27"/>
  <c r="AM53" i="27"/>
  <c r="AN96" i="27"/>
  <c r="AM96" i="27"/>
  <c r="AN30" i="27"/>
  <c r="AM30" i="27"/>
  <c r="AJ94" i="27"/>
  <c r="AI94" i="27"/>
  <c r="AJ36" i="27"/>
  <c r="AI36" i="27"/>
  <c r="AJ104" i="27"/>
  <c r="AI104" i="27"/>
  <c r="AJ27" i="27"/>
  <c r="AI27" i="27"/>
  <c r="AJ96" i="27"/>
  <c r="AI96" i="27"/>
  <c r="AJ74" i="27"/>
  <c r="AI74" i="27"/>
  <c r="AJ22" i="27"/>
  <c r="AI22" i="27"/>
  <c r="AN55" i="27"/>
  <c r="AM55" i="27"/>
  <c r="AN92" i="27"/>
  <c r="AM92" i="27"/>
  <c r="AN86" i="27"/>
  <c r="AM86" i="27"/>
  <c r="AN21" i="27"/>
  <c r="AM21" i="27"/>
  <c r="AN100" i="27"/>
  <c r="AM100" i="27"/>
  <c r="AN80" i="27"/>
  <c r="AM80" i="27"/>
  <c r="AN14" i="27"/>
  <c r="AM14" i="27"/>
  <c r="AI5" i="27"/>
  <c r="Z5" i="27" s="1"/>
  <c r="AJ5" i="27"/>
  <c r="AA5" i="27" s="1"/>
  <c r="H203" i="28" s="1"/>
  <c r="Z22" i="27"/>
  <c r="AA23" i="27"/>
  <c r="H221" i="28" s="1"/>
  <c r="Z23" i="27"/>
  <c r="AA15" i="27"/>
  <c r="H213" i="28" s="1"/>
  <c r="Z15" i="27"/>
  <c r="Z25" i="27"/>
  <c r="AA25" i="27"/>
  <c r="H223" i="28" s="1"/>
  <c r="Z11" i="27"/>
  <c r="AA11" i="27"/>
  <c r="H209" i="28" s="1"/>
  <c r="Z16" i="27"/>
  <c r="AA16" i="27"/>
  <c r="H214" i="28" s="1"/>
  <c r="AA18" i="27"/>
  <c r="H216" i="28" s="1"/>
  <c r="Z18" i="27"/>
  <c r="AA14" i="27"/>
  <c r="H212" i="28" s="1"/>
  <c r="Z14" i="27"/>
  <c r="AA13" i="27"/>
  <c r="H211" i="28" s="1"/>
  <c r="Z13" i="27"/>
  <c r="Z12" i="27"/>
  <c r="AA12" i="27"/>
  <c r="H210" i="28" s="1"/>
  <c r="Z20" i="27"/>
  <c r="AA20" i="27"/>
  <c r="H218" i="28" s="1"/>
  <c r="AA22" i="27"/>
  <c r="H220" i="28" s="1"/>
  <c r="AA21" i="27"/>
  <c r="H219" i="28" s="1"/>
  <c r="Z21" i="27"/>
  <c r="AJ41" i="1"/>
  <c r="AJ107" i="1"/>
  <c r="AJ60" i="1"/>
  <c r="AJ183" i="1"/>
  <c r="AJ201" i="1"/>
  <c r="AJ68" i="1"/>
  <c r="AJ33" i="1"/>
  <c r="AJ30" i="1"/>
  <c r="AJ154" i="1"/>
  <c r="AJ70" i="1"/>
  <c r="AJ29" i="1"/>
  <c r="AJ145" i="1"/>
  <c r="AJ143" i="1"/>
  <c r="AJ138" i="1"/>
  <c r="AJ72" i="1"/>
  <c r="AJ153" i="1"/>
  <c r="AJ103" i="1"/>
  <c r="AJ193" i="1"/>
  <c r="AJ75" i="1"/>
  <c r="AJ9" i="1"/>
  <c r="AJ126" i="1"/>
  <c r="AJ45" i="1"/>
  <c r="AJ155" i="1"/>
  <c r="AJ148" i="1"/>
  <c r="AJ32" i="1"/>
  <c r="AJ65" i="1"/>
  <c r="AJ156" i="1"/>
  <c r="AJ56" i="1"/>
  <c r="AJ202" i="1"/>
  <c r="AJ175" i="1"/>
  <c r="AJ80" i="1"/>
  <c r="AJ39" i="1"/>
  <c r="AJ14" i="1"/>
  <c r="AJ37" i="1"/>
  <c r="AJ135" i="1"/>
  <c r="AJ124" i="1"/>
  <c r="AJ190" i="1"/>
  <c r="AJ146" i="1"/>
  <c r="AJ40" i="1"/>
  <c r="AJ20" i="1"/>
  <c r="AJ73" i="1"/>
  <c r="AJ167" i="1"/>
  <c r="AJ48" i="1"/>
  <c r="AJ177" i="1"/>
  <c r="AJ194" i="1"/>
  <c r="AJ99" i="1"/>
  <c r="AJ79" i="1"/>
  <c r="AJ117" i="1"/>
  <c r="AJ5" i="1"/>
  <c r="AJ188" i="1"/>
  <c r="AJ100" i="1"/>
  <c r="AJ97" i="1"/>
  <c r="AJ105" i="1"/>
  <c r="AJ186" i="1"/>
  <c r="AJ181" i="1"/>
  <c r="AJ161" i="1"/>
  <c r="AJ24" i="1"/>
  <c r="AJ178" i="1"/>
  <c r="AJ12" i="1"/>
  <c r="AJ82" i="1"/>
  <c r="AJ159" i="1"/>
  <c r="AJ140" i="1"/>
  <c r="AJ197" i="1"/>
  <c r="AJ76" i="1"/>
  <c r="AJ98" i="1"/>
  <c r="AJ199" i="1"/>
  <c r="AJ16" i="1"/>
  <c r="AJ88" i="1"/>
  <c r="AJ174" i="1"/>
  <c r="AJ6" i="1"/>
  <c r="AJ90" i="1"/>
  <c r="AJ182" i="1"/>
  <c r="AJ152" i="1"/>
  <c r="AJ204" i="1"/>
  <c r="AJ162" i="1"/>
  <c r="AJ15" i="1"/>
  <c r="AJ74" i="1"/>
  <c r="AJ147" i="1"/>
  <c r="AJ158" i="1"/>
  <c r="AJ122" i="1"/>
  <c r="AJ47" i="1"/>
  <c r="AJ67" i="1"/>
  <c r="AJ187" i="1"/>
  <c r="AJ18" i="1"/>
  <c r="AJ22" i="1"/>
  <c r="AJ129" i="1"/>
  <c r="AJ26" i="1"/>
  <c r="AJ160" i="1"/>
  <c r="AJ104" i="1"/>
  <c r="AJ69" i="1"/>
  <c r="AJ173" i="1"/>
  <c r="AJ11" i="1"/>
  <c r="AJ169" i="1"/>
  <c r="AJ28" i="1"/>
  <c r="AJ102" i="1"/>
  <c r="AJ49" i="1"/>
  <c r="AJ184" i="1"/>
  <c r="AJ185" i="1"/>
  <c r="AJ59" i="1"/>
  <c r="AJ17" i="1"/>
  <c r="AJ53" i="1"/>
  <c r="AJ89" i="1"/>
  <c r="AJ198" i="1"/>
  <c r="AJ168" i="1"/>
  <c r="AJ83" i="1"/>
  <c r="AJ133" i="1"/>
  <c r="AJ87" i="1"/>
  <c r="AJ31" i="1"/>
  <c r="AJ132" i="1"/>
  <c r="AJ203" i="1"/>
  <c r="AJ119" i="1"/>
  <c r="AJ34" i="1"/>
  <c r="AJ92" i="1"/>
  <c r="AJ113" i="1"/>
  <c r="AJ36" i="1"/>
  <c r="AJ43" i="1"/>
  <c r="AJ64" i="1"/>
  <c r="AJ57" i="1"/>
  <c r="AJ13" i="1"/>
  <c r="AJ42" i="1"/>
  <c r="AJ21" i="1"/>
  <c r="AJ118" i="1"/>
  <c r="AJ115" i="1"/>
  <c r="AJ166" i="1"/>
  <c r="AJ71" i="1"/>
  <c r="AJ81" i="1"/>
  <c r="AJ125" i="1"/>
  <c r="AJ112" i="1"/>
  <c r="AJ77" i="1"/>
  <c r="AJ85" i="1"/>
  <c r="AJ142" i="1"/>
  <c r="AJ151" i="1"/>
  <c r="AJ130" i="1"/>
  <c r="AJ96" i="1"/>
  <c r="AJ27" i="1"/>
  <c r="AJ170" i="1"/>
  <c r="AJ108" i="1"/>
  <c r="AJ150" i="1"/>
  <c r="AJ62" i="1"/>
  <c r="AJ109" i="1"/>
  <c r="AJ131" i="1"/>
  <c r="AJ94" i="1"/>
  <c r="AJ139" i="1"/>
  <c r="AJ111" i="1"/>
  <c r="AJ84" i="1"/>
  <c r="AJ121" i="1"/>
  <c r="AJ123" i="1"/>
  <c r="AJ10" i="1"/>
  <c r="AJ25" i="1"/>
  <c r="AJ189" i="1"/>
  <c r="AJ176" i="1"/>
  <c r="AJ91" i="1"/>
  <c r="AJ141" i="1"/>
  <c r="AJ35" i="1"/>
  <c r="AJ149" i="1"/>
  <c r="AJ172" i="1"/>
  <c r="AJ180" i="1"/>
  <c r="AJ192" i="1"/>
  <c r="AJ46" i="1"/>
  <c r="AJ86" i="1"/>
  <c r="AJ38" i="1"/>
  <c r="AJ163" i="1"/>
  <c r="AJ50" i="1"/>
  <c r="AJ157" i="1"/>
  <c r="AJ165" i="1"/>
  <c r="AJ137" i="1"/>
  <c r="AJ196" i="1"/>
  <c r="AJ61" i="1"/>
  <c r="AJ19" i="1"/>
  <c r="AJ51" i="1"/>
  <c r="AJ195" i="1"/>
  <c r="AJ55" i="1"/>
  <c r="AJ120" i="1"/>
  <c r="AJ114" i="1"/>
  <c r="AJ58" i="1"/>
  <c r="AJ106" i="1"/>
  <c r="AJ164" i="1"/>
  <c r="AJ93" i="1"/>
  <c r="AJ116" i="1"/>
  <c r="AJ23" i="1"/>
  <c r="AJ101" i="1"/>
  <c r="AJ127" i="1"/>
  <c r="AJ7" i="1"/>
  <c r="AJ8" i="1"/>
  <c r="AJ63" i="1"/>
  <c r="AJ44" i="1"/>
  <c r="AJ54" i="1"/>
  <c r="AJ134" i="1"/>
  <c r="AJ144" i="1"/>
  <c r="AJ66" i="1"/>
  <c r="AJ179" i="1"/>
  <c r="AJ78" i="1"/>
  <c r="AJ171" i="1"/>
  <c r="AJ110" i="1"/>
  <c r="AJ52" i="1"/>
  <c r="AJ128" i="1"/>
  <c r="AJ191" i="1"/>
  <c r="AJ95" i="1"/>
  <c r="AJ136" i="1"/>
  <c r="AJ200" i="1"/>
  <c r="L286" i="28"/>
  <c r="L292" i="28"/>
  <c r="L260" i="28"/>
  <c r="L236" i="28"/>
  <c r="L204" i="28"/>
  <c r="L275" i="28"/>
  <c r="L251" i="28"/>
  <c r="L219" i="28"/>
  <c r="L211" i="28"/>
  <c r="L298" i="28"/>
  <c r="L290" i="28"/>
  <c r="L282" i="28"/>
  <c r="L274" i="28"/>
  <c r="L266" i="28"/>
  <c r="L258" i="28"/>
  <c r="L250" i="28"/>
  <c r="L242" i="28"/>
  <c r="L234" i="28"/>
  <c r="L226" i="28"/>
  <c r="L218" i="28"/>
  <c r="L210" i="28"/>
  <c r="L300" i="28"/>
  <c r="L268" i="28"/>
  <c r="L244" i="28"/>
  <c r="L228" i="28"/>
  <c r="L299" i="28"/>
  <c r="L267" i="28"/>
  <c r="L235" i="28"/>
  <c r="L297" i="28"/>
  <c r="L289" i="28"/>
  <c r="L281" i="28"/>
  <c r="L273" i="28"/>
  <c r="L265" i="28"/>
  <c r="L257" i="28"/>
  <c r="L249" i="28"/>
  <c r="L241" i="28"/>
  <c r="L233" i="28"/>
  <c r="L225" i="28"/>
  <c r="L217" i="28"/>
  <c r="L209" i="28"/>
  <c r="L278" i="28"/>
  <c r="L284" i="28"/>
  <c r="L252" i="28"/>
  <c r="L212" i="28"/>
  <c r="L291" i="28"/>
  <c r="L259" i="28"/>
  <c r="L243" i="28"/>
  <c r="L296" i="28"/>
  <c r="L288" i="28"/>
  <c r="L280" i="28"/>
  <c r="L272" i="28"/>
  <c r="L264" i="28"/>
  <c r="L256" i="28"/>
  <c r="L248" i="28"/>
  <c r="L240" i="28"/>
  <c r="L232" i="28"/>
  <c r="L224" i="28"/>
  <c r="L216" i="28"/>
  <c r="L208" i="28"/>
  <c r="L294" i="28"/>
  <c r="L276" i="28"/>
  <c r="L220" i="28"/>
  <c r="L283" i="28"/>
  <c r="L227" i="28"/>
  <c r="L295" i="28"/>
  <c r="L287" i="28"/>
  <c r="L279" i="28"/>
  <c r="L271" i="28"/>
  <c r="L263" i="28"/>
  <c r="L255" i="28"/>
  <c r="L247" i="28"/>
  <c r="L239" i="28"/>
  <c r="L231" i="28"/>
  <c r="L223" i="28"/>
  <c r="L215" i="28"/>
  <c r="L207" i="28"/>
  <c r="AB104" i="27"/>
  <c r="L302" i="28"/>
  <c r="L270" i="28"/>
  <c r="L262" i="28"/>
  <c r="L254" i="28"/>
  <c r="L246" i="28"/>
  <c r="L238" i="28"/>
  <c r="L230" i="28"/>
  <c r="L222" i="28"/>
  <c r="L214" i="28"/>
  <c r="L206" i="28"/>
  <c r="L301" i="28"/>
  <c r="L293" i="28"/>
  <c r="L285" i="28"/>
  <c r="L277" i="28"/>
  <c r="L269" i="28"/>
  <c r="L261" i="28"/>
  <c r="L253" i="28"/>
  <c r="L245" i="28"/>
  <c r="L237" i="28"/>
  <c r="L229" i="28"/>
  <c r="L221" i="28"/>
  <c r="L213" i="28"/>
  <c r="L205" i="28"/>
  <c r="J11" i="22"/>
  <c r="J12" i="22"/>
  <c r="J13" i="22"/>
  <c r="J14" i="22"/>
  <c r="J15" i="22"/>
  <c r="J16" i="22"/>
  <c r="J17" i="22"/>
  <c r="J18" i="22"/>
  <c r="J19" i="22"/>
  <c r="J5" i="22"/>
  <c r="J6" i="22"/>
  <c r="J8" i="22"/>
  <c r="J9" i="22"/>
  <c r="AB6" i="22"/>
  <c r="C204" i="46"/>
  <c r="K204" i="46" s="1"/>
  <c r="C203" i="46"/>
  <c r="K203" i="46" s="1"/>
  <c r="C202" i="46"/>
  <c r="K202" i="46" s="1"/>
  <c r="C201" i="46"/>
  <c r="K201" i="46" s="1"/>
  <c r="C200" i="46"/>
  <c r="K200" i="46" s="1"/>
  <c r="C199" i="46"/>
  <c r="K199" i="46" s="1"/>
  <c r="C198" i="46"/>
  <c r="K198" i="46" s="1"/>
  <c r="C197" i="46"/>
  <c r="K197" i="46" s="1"/>
  <c r="C196" i="46"/>
  <c r="K196" i="46" s="1"/>
  <c r="C195" i="46"/>
  <c r="K195" i="46" s="1"/>
  <c r="C194" i="46"/>
  <c r="K194" i="46" s="1"/>
  <c r="C193" i="46"/>
  <c r="K193" i="46" s="1"/>
  <c r="C192" i="46"/>
  <c r="K192" i="46" s="1"/>
  <c r="C191" i="46"/>
  <c r="K191" i="46" s="1"/>
  <c r="C190" i="46"/>
  <c r="K190" i="46" s="1"/>
  <c r="C189" i="46"/>
  <c r="K189" i="46" s="1"/>
  <c r="C188" i="46"/>
  <c r="K188" i="46" s="1"/>
  <c r="C187" i="46"/>
  <c r="K187" i="46" s="1"/>
  <c r="C186" i="46"/>
  <c r="K186" i="46" s="1"/>
  <c r="C185" i="46"/>
  <c r="K185" i="46" s="1"/>
  <c r="C184" i="46"/>
  <c r="K184" i="46" s="1"/>
  <c r="C183" i="46"/>
  <c r="K183" i="46" s="1"/>
  <c r="C182" i="46"/>
  <c r="K182" i="46" s="1"/>
  <c r="C181" i="46"/>
  <c r="K181" i="46" s="1"/>
  <c r="C180" i="46"/>
  <c r="K180" i="46" s="1"/>
  <c r="C179" i="46"/>
  <c r="K179" i="46" s="1"/>
  <c r="C178" i="46"/>
  <c r="K178" i="46" s="1"/>
  <c r="C177" i="46"/>
  <c r="K177" i="46" s="1"/>
  <c r="C176" i="46"/>
  <c r="K176" i="46" s="1"/>
  <c r="C175" i="46"/>
  <c r="K175" i="46" s="1"/>
  <c r="C174" i="46"/>
  <c r="K174" i="46" s="1"/>
  <c r="C173" i="46"/>
  <c r="K173" i="46" s="1"/>
  <c r="C172" i="46"/>
  <c r="K172" i="46" s="1"/>
  <c r="C171" i="46"/>
  <c r="K171" i="46" s="1"/>
  <c r="C170" i="46"/>
  <c r="K170" i="46" s="1"/>
  <c r="C169" i="46"/>
  <c r="K169" i="46" s="1"/>
  <c r="C168" i="46"/>
  <c r="K168" i="46" s="1"/>
  <c r="C167" i="46"/>
  <c r="K167" i="46" s="1"/>
  <c r="C166" i="46"/>
  <c r="K166" i="46" s="1"/>
  <c r="C165" i="46"/>
  <c r="K165" i="46" s="1"/>
  <c r="C164" i="46"/>
  <c r="K164" i="46" s="1"/>
  <c r="C163" i="46"/>
  <c r="K163" i="46" s="1"/>
  <c r="C162" i="46"/>
  <c r="K162" i="46" s="1"/>
  <c r="C161" i="46"/>
  <c r="K161" i="46" s="1"/>
  <c r="C160" i="46"/>
  <c r="K160" i="46" s="1"/>
  <c r="C159" i="46"/>
  <c r="K159" i="46" s="1"/>
  <c r="C158" i="46"/>
  <c r="K158" i="46" s="1"/>
  <c r="C157" i="46"/>
  <c r="K157" i="46" s="1"/>
  <c r="C156" i="46"/>
  <c r="K156" i="46" s="1"/>
  <c r="C155" i="46"/>
  <c r="K155" i="46" s="1"/>
  <c r="C154" i="46"/>
  <c r="K154" i="46" s="1"/>
  <c r="C153" i="46"/>
  <c r="K153" i="46" s="1"/>
  <c r="C152" i="46"/>
  <c r="K152" i="46" s="1"/>
  <c r="C151" i="46"/>
  <c r="K151" i="46" s="1"/>
  <c r="C150" i="46"/>
  <c r="K150" i="46" s="1"/>
  <c r="C149" i="46"/>
  <c r="K149" i="46" s="1"/>
  <c r="C148" i="46"/>
  <c r="K148" i="46" s="1"/>
  <c r="C147" i="46"/>
  <c r="K147" i="46" s="1"/>
  <c r="C146" i="46"/>
  <c r="K146" i="46" s="1"/>
  <c r="C145" i="46"/>
  <c r="K145" i="46" s="1"/>
  <c r="C144" i="46"/>
  <c r="K144" i="46" s="1"/>
  <c r="C143" i="46"/>
  <c r="K143" i="46" s="1"/>
  <c r="C142" i="46"/>
  <c r="K142" i="46" s="1"/>
  <c r="C141" i="46"/>
  <c r="K141" i="46" s="1"/>
  <c r="C140" i="46"/>
  <c r="K140" i="46" s="1"/>
  <c r="C139" i="46"/>
  <c r="K139" i="46" s="1"/>
  <c r="C138" i="46"/>
  <c r="K138" i="46" s="1"/>
  <c r="C137" i="46"/>
  <c r="K137" i="46" s="1"/>
  <c r="C136" i="46"/>
  <c r="K136" i="46" s="1"/>
  <c r="C135" i="46"/>
  <c r="K135" i="46" s="1"/>
  <c r="C134" i="46"/>
  <c r="K134" i="46" s="1"/>
  <c r="C133" i="46"/>
  <c r="K133" i="46" s="1"/>
  <c r="C132" i="46"/>
  <c r="K132" i="46" s="1"/>
  <c r="C131" i="46"/>
  <c r="K131" i="46" s="1"/>
  <c r="C130" i="46"/>
  <c r="K130" i="46" s="1"/>
  <c r="C129" i="46"/>
  <c r="K129" i="46" s="1"/>
  <c r="C128" i="46"/>
  <c r="K128" i="46" s="1"/>
  <c r="C127" i="46"/>
  <c r="K127" i="46" s="1"/>
  <c r="C126" i="46"/>
  <c r="K126" i="46" s="1"/>
  <c r="C125" i="46"/>
  <c r="K125" i="46" s="1"/>
  <c r="C124" i="46"/>
  <c r="K124" i="46" s="1"/>
  <c r="C123" i="46"/>
  <c r="K123" i="46" s="1"/>
  <c r="C122" i="46"/>
  <c r="K122" i="46" s="1"/>
  <c r="C121" i="46"/>
  <c r="K121" i="46" s="1"/>
  <c r="C120" i="46"/>
  <c r="K120" i="46" s="1"/>
  <c r="C119" i="46"/>
  <c r="K119" i="46" s="1"/>
  <c r="C118" i="46"/>
  <c r="K118" i="46" s="1"/>
  <c r="C117" i="46"/>
  <c r="K117" i="46" s="1"/>
  <c r="C116" i="46"/>
  <c r="K116" i="46" s="1"/>
  <c r="C115" i="46"/>
  <c r="K115" i="46" s="1"/>
  <c r="C114" i="46"/>
  <c r="K114" i="46" s="1"/>
  <c r="C113" i="46"/>
  <c r="K113" i="46" s="1"/>
  <c r="C112" i="46"/>
  <c r="K112" i="46" s="1"/>
  <c r="C111" i="46"/>
  <c r="K111" i="46" s="1"/>
  <c r="C110" i="46"/>
  <c r="K110" i="46" s="1"/>
  <c r="C109" i="46"/>
  <c r="K109" i="46" s="1"/>
  <c r="C108" i="46"/>
  <c r="K108" i="46" s="1"/>
  <c r="C107" i="46"/>
  <c r="K107" i="46" s="1"/>
  <c r="C106" i="46"/>
  <c r="K106" i="46" s="1"/>
  <c r="C105" i="46"/>
  <c r="K105" i="46" s="1"/>
  <c r="C104" i="46"/>
  <c r="K104" i="46" s="1"/>
  <c r="C103" i="46"/>
  <c r="K103" i="46" s="1"/>
  <c r="C102" i="46"/>
  <c r="K102" i="46" s="1"/>
  <c r="C101" i="46"/>
  <c r="K101" i="46" s="1"/>
  <c r="C100" i="46"/>
  <c r="K100" i="46" s="1"/>
  <c r="C99" i="46"/>
  <c r="K99" i="46" s="1"/>
  <c r="C98" i="46"/>
  <c r="K98" i="46" s="1"/>
  <c r="C97" i="46"/>
  <c r="K97" i="46" s="1"/>
  <c r="C96" i="46"/>
  <c r="K96" i="46" s="1"/>
  <c r="C95" i="46"/>
  <c r="K95" i="46" s="1"/>
  <c r="C94" i="46"/>
  <c r="K94" i="46" s="1"/>
  <c r="C93" i="46"/>
  <c r="K93" i="46" s="1"/>
  <c r="C92" i="46"/>
  <c r="K92" i="46" s="1"/>
  <c r="C91" i="46"/>
  <c r="K91" i="46" s="1"/>
  <c r="C90" i="46"/>
  <c r="K90" i="46" s="1"/>
  <c r="C89" i="46"/>
  <c r="K89" i="46" s="1"/>
  <c r="C88" i="46"/>
  <c r="K88" i="46" s="1"/>
  <c r="C87" i="46"/>
  <c r="K87" i="46" s="1"/>
  <c r="C86" i="46"/>
  <c r="K86" i="46" s="1"/>
  <c r="C85" i="46"/>
  <c r="K85" i="46" s="1"/>
  <c r="C84" i="46"/>
  <c r="K84" i="46" s="1"/>
  <c r="C83" i="46"/>
  <c r="K83" i="46" s="1"/>
  <c r="C82" i="46"/>
  <c r="K82" i="46" s="1"/>
  <c r="C81" i="46"/>
  <c r="K81" i="46" s="1"/>
  <c r="C80" i="46"/>
  <c r="K80" i="46" s="1"/>
  <c r="C79" i="46"/>
  <c r="K79" i="46" s="1"/>
  <c r="C78" i="46"/>
  <c r="K78" i="46" s="1"/>
  <c r="C77" i="46"/>
  <c r="K77" i="46" s="1"/>
  <c r="C76" i="46"/>
  <c r="K76" i="46" s="1"/>
  <c r="C75" i="46"/>
  <c r="K75" i="46" s="1"/>
  <c r="C74" i="46"/>
  <c r="K74" i="46" s="1"/>
  <c r="C73" i="46"/>
  <c r="K73" i="46" s="1"/>
  <c r="C72" i="46"/>
  <c r="K72" i="46" s="1"/>
  <c r="C71" i="46"/>
  <c r="K71" i="46" s="1"/>
  <c r="C70" i="46"/>
  <c r="K70" i="46" s="1"/>
  <c r="C69" i="46"/>
  <c r="K69" i="46" s="1"/>
  <c r="C68" i="46"/>
  <c r="K68" i="46" s="1"/>
  <c r="C67" i="46"/>
  <c r="K67" i="46" s="1"/>
  <c r="C66" i="46"/>
  <c r="K66" i="46" s="1"/>
  <c r="C65" i="46"/>
  <c r="K65" i="46" s="1"/>
  <c r="C64" i="46"/>
  <c r="K64" i="46" s="1"/>
  <c r="C63" i="46"/>
  <c r="K63" i="46" s="1"/>
  <c r="C62" i="46"/>
  <c r="K62" i="46" s="1"/>
  <c r="C61" i="46"/>
  <c r="K61" i="46" s="1"/>
  <c r="C60" i="46"/>
  <c r="K60" i="46" s="1"/>
  <c r="C59" i="46"/>
  <c r="K59" i="46" s="1"/>
  <c r="C58" i="46"/>
  <c r="K58" i="46" s="1"/>
  <c r="C57" i="46"/>
  <c r="K57" i="46" s="1"/>
  <c r="C56" i="46"/>
  <c r="K56" i="46" s="1"/>
  <c r="C55" i="46"/>
  <c r="K55" i="46" s="1"/>
  <c r="C54" i="46"/>
  <c r="K54" i="46" s="1"/>
  <c r="C53" i="46"/>
  <c r="K53" i="46" s="1"/>
  <c r="C52" i="46"/>
  <c r="K52" i="46" s="1"/>
  <c r="C51" i="46"/>
  <c r="K51" i="46" s="1"/>
  <c r="C50" i="46"/>
  <c r="K50" i="46" s="1"/>
  <c r="C49" i="46"/>
  <c r="K49" i="46" s="1"/>
  <c r="C48" i="46"/>
  <c r="K48" i="46" s="1"/>
  <c r="C47" i="46"/>
  <c r="K47" i="46" s="1"/>
  <c r="C46" i="46"/>
  <c r="K46" i="46" s="1"/>
  <c r="C45" i="46"/>
  <c r="K45" i="46" s="1"/>
  <c r="C44" i="46"/>
  <c r="K44" i="46" s="1"/>
  <c r="C43" i="46"/>
  <c r="K43" i="46" s="1"/>
  <c r="C42" i="46"/>
  <c r="K42" i="46" s="1"/>
  <c r="C41" i="46"/>
  <c r="K41" i="46" s="1"/>
  <c r="C40" i="46"/>
  <c r="K40" i="46" s="1"/>
  <c r="C39" i="46"/>
  <c r="K39" i="46" s="1"/>
  <c r="C38" i="46"/>
  <c r="K38" i="46" s="1"/>
  <c r="C37" i="46"/>
  <c r="K37" i="46" s="1"/>
  <c r="C36" i="46"/>
  <c r="K36" i="46" s="1"/>
  <c r="C35" i="46"/>
  <c r="K35" i="46" s="1"/>
  <c r="C34" i="46"/>
  <c r="K34" i="46" s="1"/>
  <c r="C33" i="46"/>
  <c r="K33" i="46" s="1"/>
  <c r="C32" i="46"/>
  <c r="K32" i="46" s="1"/>
  <c r="C31" i="46"/>
  <c r="K31" i="46" s="1"/>
  <c r="C30" i="46"/>
  <c r="K30" i="46" s="1"/>
  <c r="C29" i="46"/>
  <c r="K29" i="46" s="1"/>
  <c r="C28" i="46"/>
  <c r="K28" i="46" s="1"/>
  <c r="C27" i="46"/>
  <c r="K27" i="46" s="1"/>
  <c r="C26" i="46"/>
  <c r="K26" i="46" s="1"/>
  <c r="C25" i="46"/>
  <c r="K25" i="46" s="1"/>
  <c r="C24" i="46"/>
  <c r="K24" i="46" s="1"/>
  <c r="C23" i="46"/>
  <c r="K23" i="46" s="1"/>
  <c r="C22" i="46"/>
  <c r="K22" i="46" s="1"/>
  <c r="C21" i="46"/>
  <c r="K21" i="46" s="1"/>
  <c r="C20" i="46"/>
  <c r="K20" i="46" s="1"/>
  <c r="C19" i="46"/>
  <c r="K19" i="46" s="1"/>
  <c r="C18" i="46"/>
  <c r="K18" i="46" s="1"/>
  <c r="C17" i="46"/>
  <c r="K17" i="46" s="1"/>
  <c r="C16" i="46"/>
  <c r="K16" i="46" s="1"/>
  <c r="C15" i="46"/>
  <c r="K15" i="46" s="1"/>
  <c r="C14" i="46"/>
  <c r="K14" i="46" s="1"/>
  <c r="C13" i="46"/>
  <c r="K13" i="46" s="1"/>
  <c r="C12" i="46"/>
  <c r="K12" i="46" s="1"/>
  <c r="C11" i="46"/>
  <c r="K11" i="46" s="1"/>
  <c r="C10" i="46"/>
  <c r="K10" i="46" s="1"/>
  <c r="C9" i="46"/>
  <c r="K9" i="46" s="1"/>
  <c r="C8" i="46"/>
  <c r="K8" i="46" s="1"/>
  <c r="C7" i="46"/>
  <c r="K7" i="46" s="1"/>
  <c r="C6" i="46"/>
  <c r="K6" i="46" s="1"/>
  <c r="C5" i="46"/>
  <c r="AC6" i="1"/>
  <c r="AC8" i="1"/>
  <c r="AC9" i="1"/>
  <c r="AC10"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68" i="1"/>
  <c r="AC69" i="1"/>
  <c r="AC70" i="1"/>
  <c r="AC71" i="1"/>
  <c r="AC72" i="1"/>
  <c r="AC73" i="1"/>
  <c r="AC74" i="1"/>
  <c r="AC75" i="1"/>
  <c r="AC76" i="1"/>
  <c r="AC77" i="1"/>
  <c r="AC78" i="1"/>
  <c r="AC79" i="1"/>
  <c r="AC80" i="1"/>
  <c r="AC81" i="1"/>
  <c r="AC82" i="1"/>
  <c r="AC83" i="1"/>
  <c r="AC84" i="1"/>
  <c r="AC85" i="1"/>
  <c r="AC86" i="1"/>
  <c r="AC87" i="1"/>
  <c r="AC88" i="1"/>
  <c r="AC89" i="1"/>
  <c r="AC90" i="1"/>
  <c r="AC91" i="1"/>
  <c r="AC92" i="1"/>
  <c r="AC93" i="1"/>
  <c r="AC94" i="1"/>
  <c r="AC95" i="1"/>
  <c r="AC96" i="1"/>
  <c r="AC97" i="1"/>
  <c r="AC98" i="1"/>
  <c r="AC99" i="1"/>
  <c r="AC100" i="1"/>
  <c r="AC101" i="1"/>
  <c r="AC102" i="1"/>
  <c r="AC103" i="1"/>
  <c r="AC104" i="1"/>
  <c r="AC105" i="1"/>
  <c r="AC106" i="1"/>
  <c r="AC107" i="1"/>
  <c r="AC108" i="1"/>
  <c r="AC109" i="1"/>
  <c r="AC110" i="1"/>
  <c r="AC111" i="1"/>
  <c r="AC112" i="1"/>
  <c r="AC113" i="1"/>
  <c r="AC114" i="1"/>
  <c r="AC115" i="1"/>
  <c r="AC116" i="1"/>
  <c r="AC117" i="1"/>
  <c r="AC118" i="1"/>
  <c r="AC119" i="1"/>
  <c r="AC120" i="1"/>
  <c r="AC121" i="1"/>
  <c r="AC122" i="1"/>
  <c r="AC123" i="1"/>
  <c r="AC124" i="1"/>
  <c r="AC125" i="1"/>
  <c r="AC126" i="1"/>
  <c r="AC127" i="1"/>
  <c r="AC128" i="1"/>
  <c r="AC129" i="1"/>
  <c r="AC130" i="1"/>
  <c r="AC131" i="1"/>
  <c r="AC132" i="1"/>
  <c r="AC133" i="1"/>
  <c r="AC134" i="1"/>
  <c r="AC135" i="1"/>
  <c r="AC136" i="1"/>
  <c r="AC137" i="1"/>
  <c r="AC138" i="1"/>
  <c r="AC139" i="1"/>
  <c r="AC140" i="1"/>
  <c r="AC141" i="1"/>
  <c r="AC142" i="1"/>
  <c r="AC143" i="1"/>
  <c r="AC144" i="1"/>
  <c r="AC145" i="1"/>
  <c r="AC146" i="1"/>
  <c r="AC147" i="1"/>
  <c r="AC148" i="1"/>
  <c r="AC149" i="1"/>
  <c r="AC150" i="1"/>
  <c r="AC151" i="1"/>
  <c r="AC152" i="1"/>
  <c r="AC153" i="1"/>
  <c r="AC154" i="1"/>
  <c r="AC155" i="1"/>
  <c r="AC156" i="1"/>
  <c r="AC157" i="1"/>
  <c r="AC158" i="1"/>
  <c r="AC159" i="1"/>
  <c r="AC160" i="1"/>
  <c r="AC161" i="1"/>
  <c r="AC162" i="1"/>
  <c r="AC163" i="1"/>
  <c r="AC164" i="1"/>
  <c r="AC165" i="1"/>
  <c r="AC166" i="1"/>
  <c r="AC167" i="1"/>
  <c r="AC168" i="1"/>
  <c r="AC169" i="1"/>
  <c r="AC170" i="1"/>
  <c r="AC171" i="1"/>
  <c r="AC172" i="1"/>
  <c r="AC173" i="1"/>
  <c r="AC174" i="1"/>
  <c r="AC175" i="1"/>
  <c r="AC176" i="1"/>
  <c r="AC177" i="1"/>
  <c r="AC178" i="1"/>
  <c r="AC179" i="1"/>
  <c r="AC180" i="1"/>
  <c r="AC181" i="1"/>
  <c r="AC182" i="1"/>
  <c r="AC183" i="1"/>
  <c r="AC184" i="1"/>
  <c r="AC185" i="1"/>
  <c r="AC186" i="1"/>
  <c r="AC187" i="1"/>
  <c r="AC188" i="1"/>
  <c r="AC189" i="1"/>
  <c r="AC190" i="1"/>
  <c r="AC191" i="1"/>
  <c r="AC192" i="1"/>
  <c r="AC193" i="1"/>
  <c r="AC194" i="1"/>
  <c r="AC195" i="1"/>
  <c r="AC196" i="1"/>
  <c r="AC197" i="1"/>
  <c r="AC198" i="1"/>
  <c r="AC199" i="1"/>
  <c r="AC200" i="1"/>
  <c r="AC201" i="1"/>
  <c r="AC202" i="1"/>
  <c r="AC203" i="1"/>
  <c r="AC204" i="1"/>
  <c r="AC5" i="1"/>
  <c r="K15" i="22"/>
  <c r="K16" i="22"/>
  <c r="K17" i="22"/>
  <c r="K18" i="22"/>
  <c r="K19" i="22"/>
  <c r="K23" i="22"/>
  <c r="K24" i="22"/>
  <c r="K25" i="22"/>
  <c r="K26" i="22"/>
  <c r="K27" i="22"/>
  <c r="K28" i="22"/>
  <c r="K29" i="22"/>
  <c r="K30" i="22"/>
  <c r="K31" i="22"/>
  <c r="K32" i="22"/>
  <c r="AF5" i="1" l="1"/>
  <c r="AU5" i="1" s="1"/>
  <c r="AB52" i="1"/>
  <c r="AB134" i="1"/>
  <c r="AB23" i="1"/>
  <c r="AB172" i="1"/>
  <c r="AB109" i="1"/>
  <c r="AB17" i="1"/>
  <c r="AB183" i="1"/>
  <c r="AB36" i="1"/>
  <c r="AB87" i="1"/>
  <c r="AB59" i="1"/>
  <c r="AB173" i="1"/>
  <c r="AB187" i="1"/>
  <c r="AB162" i="1"/>
  <c r="AB16" i="1"/>
  <c r="AB12" i="1"/>
  <c r="AB100" i="1"/>
  <c r="AB48" i="1"/>
  <c r="AB135" i="1"/>
  <c r="AB156" i="1"/>
  <c r="AB75" i="1"/>
  <c r="AB29" i="1"/>
  <c r="AB60" i="1"/>
  <c r="AB65" i="1"/>
  <c r="AB193" i="1"/>
  <c r="AB70" i="1"/>
  <c r="AB107" i="1"/>
  <c r="AB69" i="1"/>
  <c r="AB199" i="1"/>
  <c r="AB167" i="1"/>
  <c r="AB83" i="1"/>
  <c r="AB152" i="1"/>
  <c r="AB24" i="1"/>
  <c r="AB14" i="1"/>
  <c r="AB32" i="1"/>
  <c r="AB41" i="1"/>
  <c r="AB113" i="1"/>
  <c r="AB185" i="1"/>
  <c r="AB204" i="1"/>
  <c r="AB37" i="1"/>
  <c r="AB35" i="1"/>
  <c r="AB133" i="1"/>
  <c r="AB67" i="1"/>
  <c r="AB178" i="1"/>
  <c r="AB188" i="1"/>
  <c r="AB58" i="1"/>
  <c r="AB176" i="1"/>
  <c r="AB125" i="1"/>
  <c r="AB13" i="1"/>
  <c r="AB119" i="1"/>
  <c r="AB198" i="1"/>
  <c r="AB102" i="1"/>
  <c r="AB26" i="1"/>
  <c r="AB158" i="1"/>
  <c r="AB90" i="1"/>
  <c r="AB197" i="1"/>
  <c r="AB181" i="1"/>
  <c r="AB79" i="1"/>
  <c r="AB40" i="1"/>
  <c r="AB80" i="1"/>
  <c r="AB155" i="1"/>
  <c r="AB72" i="1"/>
  <c r="AB33" i="1"/>
  <c r="AB66" i="1"/>
  <c r="AB127" i="1"/>
  <c r="AB192" i="1"/>
  <c r="AB189" i="1"/>
  <c r="AB81" i="1"/>
  <c r="AB203" i="1"/>
  <c r="AB89" i="1"/>
  <c r="AB6" i="1"/>
  <c r="AB140" i="1"/>
  <c r="AB186" i="1"/>
  <c r="AB64" i="1"/>
  <c r="AB132" i="1"/>
  <c r="AB169" i="1"/>
  <c r="AB105" i="1"/>
  <c r="AB190" i="1"/>
  <c r="AB202" i="1"/>
  <c r="AB201" i="1"/>
  <c r="AB5" i="1"/>
  <c r="P11" i="46"/>
  <c r="L11" i="46"/>
  <c r="P27" i="46"/>
  <c r="L27" i="46"/>
  <c r="P8" i="46"/>
  <c r="L8" i="46"/>
  <c r="P12" i="46"/>
  <c r="L12" i="46"/>
  <c r="P16" i="46"/>
  <c r="L16" i="46"/>
  <c r="P20" i="46"/>
  <c r="L20" i="46"/>
  <c r="P24" i="46"/>
  <c r="L24" i="46"/>
  <c r="P28" i="46"/>
  <c r="L28" i="46"/>
  <c r="P32" i="46"/>
  <c r="L32" i="46"/>
  <c r="P36" i="46"/>
  <c r="L36" i="46"/>
  <c r="P40" i="46"/>
  <c r="L40" i="46"/>
  <c r="P44" i="46"/>
  <c r="L44" i="46"/>
  <c r="P48" i="46"/>
  <c r="L48" i="46"/>
  <c r="P52" i="46"/>
  <c r="L52" i="46"/>
  <c r="P56" i="46"/>
  <c r="L56" i="46"/>
  <c r="P60" i="46"/>
  <c r="L60" i="46"/>
  <c r="P64" i="46"/>
  <c r="L64" i="46"/>
  <c r="P68" i="46"/>
  <c r="L68" i="46"/>
  <c r="P72" i="46"/>
  <c r="L72" i="46"/>
  <c r="P76" i="46"/>
  <c r="L76" i="46"/>
  <c r="P80" i="46"/>
  <c r="L80" i="46"/>
  <c r="P84" i="46"/>
  <c r="L84" i="46"/>
  <c r="P88" i="46"/>
  <c r="L88" i="46"/>
  <c r="P92" i="46"/>
  <c r="L92" i="46"/>
  <c r="P96" i="46"/>
  <c r="L96" i="46"/>
  <c r="P100" i="46"/>
  <c r="L100" i="46"/>
  <c r="P104" i="46"/>
  <c r="L104" i="46"/>
  <c r="P108" i="46"/>
  <c r="L108" i="46"/>
  <c r="P112" i="46"/>
  <c r="L112" i="46"/>
  <c r="P116" i="46"/>
  <c r="L116" i="46"/>
  <c r="P120" i="46"/>
  <c r="L120" i="46"/>
  <c r="P124" i="46"/>
  <c r="L124" i="46"/>
  <c r="P128" i="46"/>
  <c r="L128" i="46"/>
  <c r="P132" i="46"/>
  <c r="L132" i="46"/>
  <c r="P136" i="46"/>
  <c r="L136" i="46"/>
  <c r="P140" i="46"/>
  <c r="L140" i="46"/>
  <c r="P144" i="46"/>
  <c r="L144" i="46"/>
  <c r="P148" i="46"/>
  <c r="L148" i="46"/>
  <c r="P152" i="46"/>
  <c r="L152" i="46"/>
  <c r="P156" i="46"/>
  <c r="L156" i="46"/>
  <c r="P160" i="46"/>
  <c r="L160" i="46"/>
  <c r="P164" i="46"/>
  <c r="L164" i="46"/>
  <c r="P168" i="46"/>
  <c r="L168" i="46"/>
  <c r="P172" i="46"/>
  <c r="L172" i="46"/>
  <c r="P176" i="46"/>
  <c r="L176" i="46"/>
  <c r="P180" i="46"/>
  <c r="L180" i="46"/>
  <c r="P184" i="46"/>
  <c r="L184" i="46"/>
  <c r="P188" i="46"/>
  <c r="L188" i="46"/>
  <c r="P192" i="46"/>
  <c r="L192" i="46"/>
  <c r="P196" i="46"/>
  <c r="L196" i="46"/>
  <c r="P200" i="46"/>
  <c r="L200" i="46"/>
  <c r="P204" i="46"/>
  <c r="L204" i="46"/>
  <c r="P23" i="46"/>
  <c r="L23" i="46"/>
  <c r="P9" i="46"/>
  <c r="L9" i="46"/>
  <c r="P13" i="46"/>
  <c r="L13" i="46"/>
  <c r="P17" i="46"/>
  <c r="L17" i="46"/>
  <c r="P21" i="46"/>
  <c r="L21" i="46"/>
  <c r="P25" i="46"/>
  <c r="L25" i="46"/>
  <c r="P29" i="46"/>
  <c r="L29" i="46"/>
  <c r="P33" i="46"/>
  <c r="L33" i="46"/>
  <c r="P37" i="46"/>
  <c r="L37" i="46"/>
  <c r="P41" i="46"/>
  <c r="L41" i="46"/>
  <c r="P45" i="46"/>
  <c r="L45" i="46"/>
  <c r="P49" i="46"/>
  <c r="L49" i="46"/>
  <c r="P53" i="46"/>
  <c r="L53" i="46"/>
  <c r="P57" i="46"/>
  <c r="L57" i="46"/>
  <c r="P61" i="46"/>
  <c r="L61" i="46"/>
  <c r="P65" i="46"/>
  <c r="L65" i="46"/>
  <c r="P69" i="46"/>
  <c r="L69" i="46"/>
  <c r="P73" i="46"/>
  <c r="L73" i="46"/>
  <c r="P77" i="46"/>
  <c r="L77" i="46"/>
  <c r="P81" i="46"/>
  <c r="L81" i="46"/>
  <c r="P85" i="46"/>
  <c r="L85" i="46"/>
  <c r="P89" i="46"/>
  <c r="L89" i="46"/>
  <c r="P93" i="46"/>
  <c r="L93" i="46"/>
  <c r="P97" i="46"/>
  <c r="L97" i="46"/>
  <c r="P101" i="46"/>
  <c r="L101" i="46"/>
  <c r="P105" i="46"/>
  <c r="L105" i="46"/>
  <c r="P109" i="46"/>
  <c r="L109" i="46"/>
  <c r="P113" i="46"/>
  <c r="L113" i="46"/>
  <c r="P117" i="46"/>
  <c r="L117" i="46"/>
  <c r="P121" i="46"/>
  <c r="L121" i="46"/>
  <c r="P125" i="46"/>
  <c r="L125" i="46"/>
  <c r="P129" i="46"/>
  <c r="L129" i="46"/>
  <c r="P133" i="46"/>
  <c r="L133" i="46"/>
  <c r="P137" i="46"/>
  <c r="L137" i="46"/>
  <c r="P141" i="46"/>
  <c r="L141" i="46"/>
  <c r="P145" i="46"/>
  <c r="L145" i="46"/>
  <c r="P149" i="46"/>
  <c r="L149" i="46"/>
  <c r="P153" i="46"/>
  <c r="L153" i="46"/>
  <c r="P157" i="46"/>
  <c r="L157" i="46"/>
  <c r="P161" i="46"/>
  <c r="L161" i="46"/>
  <c r="P165" i="46"/>
  <c r="L165" i="46"/>
  <c r="P169" i="46"/>
  <c r="L169" i="46"/>
  <c r="P173" i="46"/>
  <c r="L173" i="46"/>
  <c r="P177" i="46"/>
  <c r="L177" i="46"/>
  <c r="P181" i="46"/>
  <c r="L181" i="46"/>
  <c r="P185" i="46"/>
  <c r="L185" i="46"/>
  <c r="P189" i="46"/>
  <c r="L189" i="46"/>
  <c r="P193" i="46"/>
  <c r="L193" i="46"/>
  <c r="P197" i="46"/>
  <c r="L197" i="46"/>
  <c r="P201" i="46"/>
  <c r="L201" i="46"/>
  <c r="P15" i="46"/>
  <c r="L15" i="46"/>
  <c r="P6" i="46"/>
  <c r="L6" i="46"/>
  <c r="P10" i="46"/>
  <c r="L10" i="46"/>
  <c r="P14" i="46"/>
  <c r="L14" i="46"/>
  <c r="P18" i="46"/>
  <c r="L18" i="46"/>
  <c r="P22" i="46"/>
  <c r="L22" i="46"/>
  <c r="P26" i="46"/>
  <c r="L26" i="46"/>
  <c r="P30" i="46"/>
  <c r="L30" i="46"/>
  <c r="P34" i="46"/>
  <c r="L34" i="46"/>
  <c r="P38" i="46"/>
  <c r="L38" i="46"/>
  <c r="P42" i="46"/>
  <c r="L42" i="46"/>
  <c r="P46" i="46"/>
  <c r="L46" i="46"/>
  <c r="P50" i="46"/>
  <c r="L50" i="46"/>
  <c r="P54" i="46"/>
  <c r="L54" i="46"/>
  <c r="P58" i="46"/>
  <c r="L58" i="46"/>
  <c r="P62" i="46"/>
  <c r="L62" i="46"/>
  <c r="P66" i="46"/>
  <c r="L66" i="46"/>
  <c r="P70" i="46"/>
  <c r="L70" i="46"/>
  <c r="P74" i="46"/>
  <c r="L74" i="46"/>
  <c r="P78" i="46"/>
  <c r="L78" i="46"/>
  <c r="P82" i="46"/>
  <c r="L82" i="46"/>
  <c r="P86" i="46"/>
  <c r="L86" i="46"/>
  <c r="P90" i="46"/>
  <c r="L90" i="46"/>
  <c r="P94" i="46"/>
  <c r="L94" i="46"/>
  <c r="P98" i="46"/>
  <c r="L98" i="46"/>
  <c r="P102" i="46"/>
  <c r="L102" i="46"/>
  <c r="P106" i="46"/>
  <c r="L106" i="46"/>
  <c r="P110" i="46"/>
  <c r="L110" i="46"/>
  <c r="P114" i="46"/>
  <c r="L114" i="46"/>
  <c r="P118" i="46"/>
  <c r="L118" i="46"/>
  <c r="P122" i="46"/>
  <c r="L122" i="46"/>
  <c r="P126" i="46"/>
  <c r="L126" i="46"/>
  <c r="P130" i="46"/>
  <c r="L130" i="46"/>
  <c r="P134" i="46"/>
  <c r="L134" i="46"/>
  <c r="P138" i="46"/>
  <c r="L138" i="46"/>
  <c r="P142" i="46"/>
  <c r="L142" i="46"/>
  <c r="P146" i="46"/>
  <c r="L146" i="46"/>
  <c r="P150" i="46"/>
  <c r="L150" i="46"/>
  <c r="P154" i="46"/>
  <c r="L154" i="46"/>
  <c r="P158" i="46"/>
  <c r="L158" i="46"/>
  <c r="P162" i="46"/>
  <c r="L162" i="46"/>
  <c r="P166" i="46"/>
  <c r="L166" i="46"/>
  <c r="P170" i="46"/>
  <c r="L170" i="46"/>
  <c r="P174" i="46"/>
  <c r="L174" i="46"/>
  <c r="P178" i="46"/>
  <c r="L178" i="46"/>
  <c r="P182" i="46"/>
  <c r="L182" i="46"/>
  <c r="P186" i="46"/>
  <c r="L186" i="46"/>
  <c r="P190" i="46"/>
  <c r="L190" i="46"/>
  <c r="P194" i="46"/>
  <c r="L194" i="46"/>
  <c r="P198" i="46"/>
  <c r="L198" i="46"/>
  <c r="P202" i="46"/>
  <c r="L202" i="46"/>
  <c r="P7" i="46"/>
  <c r="L7" i="46"/>
  <c r="P19" i="46"/>
  <c r="L19" i="46"/>
  <c r="P31" i="46"/>
  <c r="L31" i="46"/>
  <c r="P35" i="46"/>
  <c r="L35" i="46"/>
  <c r="P39" i="46"/>
  <c r="L39" i="46"/>
  <c r="P43" i="46"/>
  <c r="L43" i="46"/>
  <c r="P47" i="46"/>
  <c r="L47" i="46"/>
  <c r="P51" i="46"/>
  <c r="L51" i="46"/>
  <c r="P55" i="46"/>
  <c r="L55" i="46"/>
  <c r="P59" i="46"/>
  <c r="L59" i="46"/>
  <c r="P63" i="46"/>
  <c r="L63" i="46"/>
  <c r="P67" i="46"/>
  <c r="L67" i="46"/>
  <c r="P71" i="46"/>
  <c r="L71" i="46"/>
  <c r="P75" i="46"/>
  <c r="L75" i="46"/>
  <c r="P79" i="46"/>
  <c r="L79" i="46"/>
  <c r="P83" i="46"/>
  <c r="L83" i="46"/>
  <c r="P87" i="46"/>
  <c r="L87" i="46"/>
  <c r="P91" i="46"/>
  <c r="L91" i="46"/>
  <c r="P95" i="46"/>
  <c r="L95" i="46"/>
  <c r="P99" i="46"/>
  <c r="L99" i="46"/>
  <c r="P103" i="46"/>
  <c r="L103" i="46"/>
  <c r="P107" i="46"/>
  <c r="L107" i="46"/>
  <c r="P111" i="46"/>
  <c r="L111" i="46"/>
  <c r="P115" i="46"/>
  <c r="L115" i="46"/>
  <c r="P119" i="46"/>
  <c r="L119" i="46"/>
  <c r="P123" i="46"/>
  <c r="L123" i="46"/>
  <c r="P127" i="46"/>
  <c r="L127" i="46"/>
  <c r="P131" i="46"/>
  <c r="L131" i="46"/>
  <c r="P135" i="46"/>
  <c r="L135" i="46"/>
  <c r="P139" i="46"/>
  <c r="L139" i="46"/>
  <c r="P143" i="46"/>
  <c r="L143" i="46"/>
  <c r="P147" i="46"/>
  <c r="L147" i="46"/>
  <c r="P151" i="46"/>
  <c r="L151" i="46"/>
  <c r="P155" i="46"/>
  <c r="L155" i="46"/>
  <c r="P159" i="46"/>
  <c r="L159" i="46"/>
  <c r="P163" i="46"/>
  <c r="L163" i="46"/>
  <c r="P167" i="46"/>
  <c r="L167" i="46"/>
  <c r="P171" i="46"/>
  <c r="L171" i="46"/>
  <c r="P175" i="46"/>
  <c r="L175" i="46"/>
  <c r="P179" i="46"/>
  <c r="L179" i="46"/>
  <c r="P183" i="46"/>
  <c r="L183" i="46"/>
  <c r="P187" i="46"/>
  <c r="L187" i="46"/>
  <c r="P191" i="46"/>
  <c r="L191" i="46"/>
  <c r="P195" i="46"/>
  <c r="L195" i="46"/>
  <c r="P199" i="46"/>
  <c r="L199" i="46"/>
  <c r="P203" i="46"/>
  <c r="L203" i="46"/>
  <c r="AB170" i="1"/>
  <c r="AB34" i="1"/>
  <c r="AB160" i="1"/>
  <c r="AB76" i="1"/>
  <c r="AB20" i="1"/>
  <c r="AB39" i="1"/>
  <c r="AB30" i="1"/>
  <c r="AB95" i="1"/>
  <c r="AB179" i="1"/>
  <c r="AB7" i="1"/>
  <c r="AB196" i="1"/>
  <c r="AB46" i="1"/>
  <c r="AB139" i="1"/>
  <c r="AB27" i="1"/>
  <c r="AB8" i="1"/>
  <c r="AB111" i="1"/>
  <c r="AB42" i="1"/>
  <c r="AB49" i="1"/>
  <c r="AB182" i="1"/>
  <c r="AB161" i="1"/>
  <c r="AB153" i="1"/>
  <c r="AB191" i="1"/>
  <c r="AB114" i="1"/>
  <c r="AB137" i="1"/>
  <c r="AB94" i="1"/>
  <c r="AB96" i="1"/>
  <c r="AB57" i="1"/>
  <c r="AB28" i="1"/>
  <c r="AB129" i="1"/>
  <c r="AB147" i="1"/>
  <c r="AB99" i="1"/>
  <c r="AB146" i="1"/>
  <c r="AB175" i="1"/>
  <c r="AB45" i="1"/>
  <c r="AB138" i="1"/>
  <c r="AB68" i="1"/>
  <c r="AB136" i="1"/>
  <c r="AB61" i="1"/>
  <c r="AB112" i="1"/>
  <c r="AB168" i="1"/>
  <c r="AB122" i="1"/>
  <c r="AB117" i="1"/>
  <c r="AB148" i="1"/>
  <c r="AB128" i="1"/>
  <c r="AB144" i="1"/>
  <c r="AB101" i="1"/>
  <c r="AB120" i="1"/>
  <c r="AB165" i="1"/>
  <c r="AB180" i="1"/>
  <c r="AB25" i="1"/>
  <c r="AB131" i="1"/>
  <c r="AB130" i="1"/>
  <c r="AB71" i="1"/>
  <c r="AB53" i="1"/>
  <c r="AB22" i="1"/>
  <c r="AB74" i="1"/>
  <c r="AB174" i="1"/>
  <c r="AB159" i="1"/>
  <c r="AB194" i="1"/>
  <c r="AB126" i="1"/>
  <c r="AB143" i="1"/>
  <c r="AB106" i="1"/>
  <c r="AB55" i="1"/>
  <c r="AB157" i="1"/>
  <c r="AB10" i="1"/>
  <c r="AB151" i="1"/>
  <c r="AB166" i="1"/>
  <c r="AB43" i="1"/>
  <c r="AB31" i="1"/>
  <c r="AB11" i="1"/>
  <c r="AB18" i="1"/>
  <c r="AB15" i="1"/>
  <c r="AB88" i="1"/>
  <c r="AB82" i="1"/>
  <c r="AB97" i="1"/>
  <c r="AB177" i="1"/>
  <c r="AB124" i="1"/>
  <c r="AB56" i="1"/>
  <c r="AB9" i="1"/>
  <c r="AB145" i="1"/>
  <c r="AB86" i="1"/>
  <c r="AB110" i="1"/>
  <c r="AB54" i="1"/>
  <c r="AB116" i="1"/>
  <c r="AB195" i="1"/>
  <c r="AB50" i="1"/>
  <c r="AB149" i="1"/>
  <c r="AB123" i="1"/>
  <c r="AB62" i="1"/>
  <c r="AB142" i="1"/>
  <c r="AB115" i="1"/>
  <c r="AB91" i="1"/>
  <c r="AB171" i="1"/>
  <c r="AB44" i="1"/>
  <c r="AB93" i="1"/>
  <c r="AB51" i="1"/>
  <c r="AB163" i="1"/>
  <c r="AB121" i="1"/>
  <c r="AB150" i="1"/>
  <c r="AB85" i="1"/>
  <c r="AB118" i="1"/>
  <c r="AB200" i="1"/>
  <c r="AB78" i="1"/>
  <c r="AB63" i="1"/>
  <c r="AB164" i="1"/>
  <c r="AB19" i="1"/>
  <c r="AB38" i="1"/>
  <c r="AB141" i="1"/>
  <c r="AB84" i="1"/>
  <c r="AB108" i="1"/>
  <c r="AB77" i="1"/>
  <c r="AB21" i="1"/>
  <c r="AB92" i="1"/>
  <c r="AB184" i="1"/>
  <c r="AB104" i="1"/>
  <c r="AB47" i="1"/>
  <c r="AB98" i="1"/>
  <c r="AB73" i="1"/>
  <c r="AB103" i="1"/>
  <c r="AB154" i="1"/>
  <c r="D303" i="28"/>
  <c r="G229" i="28"/>
  <c r="Y31" i="27"/>
  <c r="G261" i="28"/>
  <c r="Y63" i="27"/>
  <c r="G293" i="28"/>
  <c r="Y95" i="27"/>
  <c r="G222" i="28"/>
  <c r="Y24" i="27"/>
  <c r="G254" i="28"/>
  <c r="Y56" i="27"/>
  <c r="G207" i="28"/>
  <c r="Y9" i="27"/>
  <c r="G239" i="28"/>
  <c r="Y41" i="27"/>
  <c r="G271" i="28"/>
  <c r="Y73" i="27"/>
  <c r="G227" i="28"/>
  <c r="Y29" i="27"/>
  <c r="G294" i="28"/>
  <c r="Y96" i="27"/>
  <c r="G232" i="28"/>
  <c r="Y34" i="27"/>
  <c r="G264" i="28"/>
  <c r="Y66" i="27"/>
  <c r="G296" i="28"/>
  <c r="Y98" i="27"/>
  <c r="G212" i="28"/>
  <c r="Y14" i="27"/>
  <c r="G209" i="28"/>
  <c r="Y11" i="27"/>
  <c r="G241" i="28"/>
  <c r="Y43" i="27"/>
  <c r="G273" i="28"/>
  <c r="Y75" i="27"/>
  <c r="G235" i="28"/>
  <c r="Y37" i="27"/>
  <c r="G244" i="28"/>
  <c r="Y46" i="27"/>
  <c r="G218" i="28"/>
  <c r="Y20" i="27"/>
  <c r="G250" i="28"/>
  <c r="Y52" i="27"/>
  <c r="G282" i="28"/>
  <c r="Y84" i="27"/>
  <c r="G219" i="28"/>
  <c r="Y21" i="27"/>
  <c r="G236" i="28"/>
  <c r="Y38" i="27"/>
  <c r="G205" i="28"/>
  <c r="Y7" i="27"/>
  <c r="G237" i="28"/>
  <c r="Y39" i="27"/>
  <c r="G269" i="28"/>
  <c r="Y71" i="27"/>
  <c r="G301" i="28"/>
  <c r="Y103" i="27"/>
  <c r="G230" i="28"/>
  <c r="Y32" i="27"/>
  <c r="G262" i="28"/>
  <c r="Y64" i="27"/>
  <c r="G215" i="28"/>
  <c r="Y17" i="27"/>
  <c r="G247" i="28"/>
  <c r="Y49" i="27"/>
  <c r="G279" i="28"/>
  <c r="Y81" i="27"/>
  <c r="G283" i="28"/>
  <c r="Y85" i="27"/>
  <c r="G208" i="28"/>
  <c r="Y10" i="27"/>
  <c r="G240" i="28"/>
  <c r="Y42" i="27"/>
  <c r="G272" i="28"/>
  <c r="Y74" i="27"/>
  <c r="G243" i="28"/>
  <c r="Y45" i="27"/>
  <c r="G252" i="28"/>
  <c r="Y54" i="27"/>
  <c r="G217" i="28"/>
  <c r="Y19" i="27"/>
  <c r="G249" i="28"/>
  <c r="Y51" i="27"/>
  <c r="G281" i="28"/>
  <c r="Y83" i="27"/>
  <c r="G267" i="28"/>
  <c r="Y69" i="27"/>
  <c r="G268" i="28"/>
  <c r="Y70" i="27"/>
  <c r="G226" i="28"/>
  <c r="Y28" i="27"/>
  <c r="G258" i="28"/>
  <c r="Y60" i="27"/>
  <c r="G290" i="28"/>
  <c r="Y92" i="27"/>
  <c r="G251" i="28"/>
  <c r="Y53" i="27"/>
  <c r="G260" i="28"/>
  <c r="Y62" i="27"/>
  <c r="G213" i="28"/>
  <c r="Y15" i="27"/>
  <c r="G245" i="28"/>
  <c r="Y47" i="27"/>
  <c r="G277" i="28"/>
  <c r="Y79" i="27"/>
  <c r="G206" i="28"/>
  <c r="Y8" i="27"/>
  <c r="G238" i="28"/>
  <c r="Y40" i="27"/>
  <c r="G270" i="28"/>
  <c r="Y72" i="27"/>
  <c r="G223" i="28"/>
  <c r="Y25" i="27"/>
  <c r="G255" i="28"/>
  <c r="Y57" i="27"/>
  <c r="G287" i="28"/>
  <c r="Y89" i="27"/>
  <c r="G220" i="28"/>
  <c r="Y22" i="27"/>
  <c r="G216" i="28"/>
  <c r="Y18" i="27"/>
  <c r="G248" i="28"/>
  <c r="Y50" i="27"/>
  <c r="G280" i="28"/>
  <c r="Y82" i="27"/>
  <c r="G259" i="28"/>
  <c r="Y61" i="27"/>
  <c r="G284" i="28"/>
  <c r="Y86" i="27"/>
  <c r="G225" i="28"/>
  <c r="Y27" i="27"/>
  <c r="G257" i="28"/>
  <c r="Y59" i="27"/>
  <c r="G289" i="28"/>
  <c r="Y91" i="27"/>
  <c r="G299" i="28"/>
  <c r="Y101" i="27"/>
  <c r="G300" i="28"/>
  <c r="Y102" i="27"/>
  <c r="G234" i="28"/>
  <c r="Y36" i="27"/>
  <c r="G266" i="28"/>
  <c r="Y68" i="27"/>
  <c r="G298" i="28"/>
  <c r="Y100" i="27"/>
  <c r="G275" i="28"/>
  <c r="Y77" i="27"/>
  <c r="G292" i="28"/>
  <c r="Y94" i="27"/>
  <c r="G221" i="28"/>
  <c r="Y23" i="27"/>
  <c r="G253" i="28"/>
  <c r="Y55" i="27"/>
  <c r="G285" i="28"/>
  <c r="Y87" i="27"/>
  <c r="G214" i="28"/>
  <c r="Y16" i="27"/>
  <c r="G246" i="28"/>
  <c r="Y48" i="27"/>
  <c r="G302" i="28"/>
  <c r="Y104" i="27"/>
  <c r="G231" i="28"/>
  <c r="Y33" i="27"/>
  <c r="G263" i="28"/>
  <c r="Y65" i="27"/>
  <c r="G295" i="28"/>
  <c r="Y97" i="27"/>
  <c r="G276" i="28"/>
  <c r="Y78" i="27"/>
  <c r="G224" i="28"/>
  <c r="Y26" i="27"/>
  <c r="G256" i="28"/>
  <c r="Y58" i="27"/>
  <c r="G288" i="28"/>
  <c r="Y90" i="27"/>
  <c r="G291" i="28"/>
  <c r="Y93" i="27"/>
  <c r="G278" i="28"/>
  <c r="Y80" i="27"/>
  <c r="G233" i="28"/>
  <c r="Y35" i="27"/>
  <c r="G265" i="28"/>
  <c r="Y67" i="27"/>
  <c r="G297" i="28"/>
  <c r="Y99" i="27"/>
  <c r="G228" i="28"/>
  <c r="Y30" i="27"/>
  <c r="G210" i="28"/>
  <c r="Y12" i="27"/>
  <c r="G242" i="28"/>
  <c r="Y44" i="27"/>
  <c r="G274" i="28"/>
  <c r="Y76" i="27"/>
  <c r="G211" i="28"/>
  <c r="Y13" i="27"/>
  <c r="G204" i="28"/>
  <c r="Y6" i="27"/>
  <c r="G286" i="28"/>
  <c r="Y88" i="27"/>
  <c r="AB62" i="27"/>
  <c r="AB8" i="27"/>
  <c r="D313" i="28"/>
  <c r="D361" i="28"/>
  <c r="D401" i="28"/>
  <c r="D449" i="28"/>
  <c r="D489" i="28"/>
  <c r="D314" i="28"/>
  <c r="D330" i="28"/>
  <c r="D346" i="28"/>
  <c r="D362" i="28"/>
  <c r="D378" i="28"/>
  <c r="D394" i="28"/>
  <c r="D410" i="28"/>
  <c r="D418" i="28"/>
  <c r="D426" i="28"/>
  <c r="D442" i="28"/>
  <c r="D450" i="28"/>
  <c r="D458" i="28"/>
  <c r="D466" i="28"/>
  <c r="D474" i="28"/>
  <c r="D482" i="28"/>
  <c r="D490" i="28"/>
  <c r="D498" i="28"/>
  <c r="D337" i="28"/>
  <c r="D377" i="28"/>
  <c r="D425" i="28"/>
  <c r="D473" i="28"/>
  <c r="D306" i="28"/>
  <c r="D322" i="28"/>
  <c r="D338" i="28"/>
  <c r="D354" i="28"/>
  <c r="D370" i="28"/>
  <c r="D386" i="28"/>
  <c r="D402" i="28"/>
  <c r="D434" i="28"/>
  <c r="D307" i="28"/>
  <c r="D315" i="28"/>
  <c r="D323" i="28"/>
  <c r="D331" i="28"/>
  <c r="D339" i="28"/>
  <c r="D347" i="28"/>
  <c r="D355" i="28"/>
  <c r="D363" i="28"/>
  <c r="D371" i="28"/>
  <c r="D379" i="28"/>
  <c r="D387" i="28"/>
  <c r="D395" i="28"/>
  <c r="D403" i="28"/>
  <c r="D411" i="28"/>
  <c r="D419" i="28"/>
  <c r="D427" i="28"/>
  <c r="D435" i="28"/>
  <c r="D443" i="28"/>
  <c r="D451" i="28"/>
  <c r="D459" i="28"/>
  <c r="D467" i="28"/>
  <c r="D475" i="28"/>
  <c r="D483" i="28"/>
  <c r="D491" i="28"/>
  <c r="D499" i="28"/>
  <c r="AB21" i="27"/>
  <c r="D305" i="28"/>
  <c r="D353" i="28"/>
  <c r="D409" i="28"/>
  <c r="D465" i="28"/>
  <c r="D497" i="28"/>
  <c r="D308" i="28"/>
  <c r="D332" i="28"/>
  <c r="D348" i="28"/>
  <c r="D364" i="28"/>
  <c r="D380" i="28"/>
  <c r="D396" i="28"/>
  <c r="D404" i="28"/>
  <c r="D412" i="28"/>
  <c r="D428" i="28"/>
  <c r="D436" i="28"/>
  <c r="D444" i="28"/>
  <c r="D452" i="28"/>
  <c r="D460" i="28"/>
  <c r="D468" i="28"/>
  <c r="D476" i="28"/>
  <c r="D484" i="28"/>
  <c r="D492" i="28"/>
  <c r="D500" i="28"/>
  <c r="D345" i="28"/>
  <c r="D393" i="28"/>
  <c r="D433" i="28"/>
  <c r="D316" i="28"/>
  <c r="D324" i="28"/>
  <c r="D340" i="28"/>
  <c r="D356" i="28"/>
  <c r="D372" i="28"/>
  <c r="D388" i="28"/>
  <c r="D420" i="28"/>
  <c r="D309" i="28"/>
  <c r="D317" i="28"/>
  <c r="D325" i="28"/>
  <c r="D333" i="28"/>
  <c r="D341" i="28"/>
  <c r="D349" i="28"/>
  <c r="D357" i="28"/>
  <c r="D365" i="28"/>
  <c r="D373" i="28"/>
  <c r="D381" i="28"/>
  <c r="D389" i="28"/>
  <c r="D397" i="28"/>
  <c r="D405" i="28"/>
  <c r="D413" i="28"/>
  <c r="D421" i="28"/>
  <c r="D429" i="28"/>
  <c r="D437" i="28"/>
  <c r="D445" i="28"/>
  <c r="D453" i="28"/>
  <c r="D461" i="28"/>
  <c r="D469" i="28"/>
  <c r="D477" i="28"/>
  <c r="D485" i="28"/>
  <c r="D493" i="28"/>
  <c r="D501" i="28"/>
  <c r="D321" i="28"/>
  <c r="D369" i="28"/>
  <c r="D417" i="28"/>
  <c r="D457" i="28"/>
  <c r="D481" i="28"/>
  <c r="D318" i="28"/>
  <c r="D334" i="28"/>
  <c r="D350" i="28"/>
  <c r="D374" i="28"/>
  <c r="D390" i="28"/>
  <c r="D406" i="28"/>
  <c r="D414" i="28"/>
  <c r="D430" i="28"/>
  <c r="D438" i="28"/>
  <c r="D446" i="28"/>
  <c r="D454" i="28"/>
  <c r="D470" i="28"/>
  <c r="D478" i="28"/>
  <c r="D486" i="28"/>
  <c r="D494" i="28"/>
  <c r="D502" i="28"/>
  <c r="D329" i="28"/>
  <c r="D385" i="28"/>
  <c r="D441" i="28"/>
  <c r="D310" i="28"/>
  <c r="D326" i="28"/>
  <c r="D342" i="28"/>
  <c r="D358" i="28"/>
  <c r="D366" i="28"/>
  <c r="D382" i="28"/>
  <c r="D398" i="28"/>
  <c r="D422" i="28"/>
  <c r="D462" i="28"/>
  <c r="D311" i="28"/>
  <c r="D319" i="28"/>
  <c r="D327" i="28"/>
  <c r="D335" i="28"/>
  <c r="D343" i="28"/>
  <c r="D351" i="28"/>
  <c r="D359" i="28"/>
  <c r="D367" i="28"/>
  <c r="D375" i="28"/>
  <c r="D383" i="28"/>
  <c r="D391" i="28"/>
  <c r="D399" i="28"/>
  <c r="D407" i="28"/>
  <c r="D415" i="28"/>
  <c r="D423" i="28"/>
  <c r="D431" i="28"/>
  <c r="D439" i="28"/>
  <c r="D447" i="28"/>
  <c r="D455" i="28"/>
  <c r="D463" i="28"/>
  <c r="D471" i="28"/>
  <c r="D479" i="28"/>
  <c r="D487" i="28"/>
  <c r="D495" i="28"/>
  <c r="D304" i="28"/>
  <c r="D312" i="28"/>
  <c r="D320" i="28"/>
  <c r="D328" i="28"/>
  <c r="D336" i="28"/>
  <c r="D344" i="28"/>
  <c r="D352" i="28"/>
  <c r="D360" i="28"/>
  <c r="D368" i="28"/>
  <c r="D376" i="28"/>
  <c r="D384" i="28"/>
  <c r="D392" i="28"/>
  <c r="D400" i="28"/>
  <c r="D408" i="28"/>
  <c r="D416" i="28"/>
  <c r="D424" i="28"/>
  <c r="D432" i="28"/>
  <c r="D440" i="28"/>
  <c r="D448" i="28"/>
  <c r="D456" i="28"/>
  <c r="D464" i="28"/>
  <c r="D472" i="28"/>
  <c r="D480" i="28"/>
  <c r="D488" i="28"/>
  <c r="D496" i="28"/>
  <c r="U6" i="46"/>
  <c r="V6" i="46"/>
  <c r="U34" i="46"/>
  <c r="V34" i="46"/>
  <c r="U50" i="46"/>
  <c r="V50" i="46"/>
  <c r="U74" i="46"/>
  <c r="V74" i="46"/>
  <c r="U82" i="46"/>
  <c r="V82" i="46"/>
  <c r="U98" i="46"/>
  <c r="V98" i="46"/>
  <c r="U102" i="46"/>
  <c r="V102" i="46"/>
  <c r="U106" i="46"/>
  <c r="V106" i="46"/>
  <c r="U110" i="46"/>
  <c r="V110" i="46"/>
  <c r="U114" i="46"/>
  <c r="V114" i="46"/>
  <c r="U118" i="46"/>
  <c r="V118" i="46"/>
  <c r="U122" i="46"/>
  <c r="V122" i="46"/>
  <c r="U126" i="46"/>
  <c r="V126" i="46"/>
  <c r="U130" i="46"/>
  <c r="V130" i="46"/>
  <c r="U134" i="46"/>
  <c r="V134" i="46"/>
  <c r="U138" i="46"/>
  <c r="V138" i="46"/>
  <c r="U142" i="46"/>
  <c r="V142" i="46"/>
  <c r="U146" i="46"/>
  <c r="V146" i="46"/>
  <c r="U150" i="46"/>
  <c r="V150" i="46"/>
  <c r="U154" i="46"/>
  <c r="V154" i="46"/>
  <c r="U158" i="46"/>
  <c r="V158" i="46"/>
  <c r="U162" i="46"/>
  <c r="V162" i="46"/>
  <c r="U166" i="46"/>
  <c r="V166" i="46"/>
  <c r="U170" i="46"/>
  <c r="V170" i="46"/>
  <c r="U174" i="46"/>
  <c r="V174" i="46"/>
  <c r="U178" i="46"/>
  <c r="V178" i="46"/>
  <c r="U182" i="46"/>
  <c r="V182" i="46"/>
  <c r="U186" i="46"/>
  <c r="V186" i="46"/>
  <c r="U190" i="46"/>
  <c r="V190" i="46"/>
  <c r="U194" i="46"/>
  <c r="V194" i="46"/>
  <c r="U198" i="46"/>
  <c r="V198" i="46"/>
  <c r="U202" i="46"/>
  <c r="V202" i="46"/>
  <c r="U18" i="46"/>
  <c r="V18" i="46"/>
  <c r="V46" i="46"/>
  <c r="U46" i="46"/>
  <c r="V78" i="46"/>
  <c r="U78" i="46"/>
  <c r="V15" i="46"/>
  <c r="U15" i="46"/>
  <c r="V31" i="46"/>
  <c r="U31" i="46"/>
  <c r="V39" i="46"/>
  <c r="U39" i="46"/>
  <c r="V55" i="46"/>
  <c r="U55" i="46"/>
  <c r="V63" i="46"/>
  <c r="U63" i="46"/>
  <c r="V71" i="46"/>
  <c r="U71" i="46"/>
  <c r="V79" i="46"/>
  <c r="U79" i="46"/>
  <c r="U87" i="46"/>
  <c r="V87" i="46"/>
  <c r="U95" i="46"/>
  <c r="V95" i="46"/>
  <c r="U103" i="46"/>
  <c r="V103" i="46"/>
  <c r="U111" i="46"/>
  <c r="V111" i="46"/>
  <c r="U119" i="46"/>
  <c r="V119" i="46"/>
  <c r="U127" i="46"/>
  <c r="V127" i="46"/>
  <c r="U135" i="46"/>
  <c r="V135" i="46"/>
  <c r="U143" i="46"/>
  <c r="V143" i="46"/>
  <c r="U151" i="46"/>
  <c r="V151" i="46"/>
  <c r="U159" i="46"/>
  <c r="V159" i="46"/>
  <c r="U167" i="46"/>
  <c r="V167" i="46"/>
  <c r="U179" i="46"/>
  <c r="V179" i="46"/>
  <c r="U199" i="46"/>
  <c r="V199" i="46"/>
  <c r="U10" i="46"/>
  <c r="V10" i="46"/>
  <c r="U38" i="46"/>
  <c r="V38" i="46"/>
  <c r="U66" i="46"/>
  <c r="V66" i="46"/>
  <c r="U94" i="46"/>
  <c r="V94" i="46"/>
  <c r="V19" i="46"/>
  <c r="U19" i="46"/>
  <c r="V35" i="46"/>
  <c r="U35" i="46"/>
  <c r="V43" i="46"/>
  <c r="U43" i="46"/>
  <c r="V59" i="46"/>
  <c r="U59" i="46"/>
  <c r="V67" i="46"/>
  <c r="U67" i="46"/>
  <c r="V75" i="46"/>
  <c r="U75" i="46"/>
  <c r="V83" i="46"/>
  <c r="U83" i="46"/>
  <c r="U91" i="46"/>
  <c r="V91" i="46"/>
  <c r="U99" i="46"/>
  <c r="V99" i="46"/>
  <c r="U107" i="46"/>
  <c r="V107" i="46"/>
  <c r="U115" i="46"/>
  <c r="V115" i="46"/>
  <c r="U123" i="46"/>
  <c r="V123" i="46"/>
  <c r="U131" i="46"/>
  <c r="V131" i="46"/>
  <c r="U139" i="46"/>
  <c r="V139" i="46"/>
  <c r="U147" i="46"/>
  <c r="V147" i="46"/>
  <c r="U155" i="46"/>
  <c r="V155" i="46"/>
  <c r="U163" i="46"/>
  <c r="V163" i="46"/>
  <c r="U171" i="46"/>
  <c r="V171" i="46"/>
  <c r="U175" i="46"/>
  <c r="V175" i="46"/>
  <c r="U183" i="46"/>
  <c r="V183" i="46"/>
  <c r="U187" i="46"/>
  <c r="V187" i="46"/>
  <c r="U191" i="46"/>
  <c r="V191" i="46"/>
  <c r="U195" i="46"/>
  <c r="V195" i="46"/>
  <c r="U203" i="46"/>
  <c r="V203" i="46"/>
  <c r="V14" i="46"/>
  <c r="U14" i="46"/>
  <c r="U42" i="46"/>
  <c r="V42" i="46"/>
  <c r="U58" i="46"/>
  <c r="V58" i="46"/>
  <c r="U86" i="46"/>
  <c r="V86" i="46"/>
  <c r="V7" i="46"/>
  <c r="U7" i="46"/>
  <c r="V27" i="46"/>
  <c r="U27" i="46"/>
  <c r="V51" i="46"/>
  <c r="U51" i="46"/>
  <c r="V12" i="46"/>
  <c r="U12" i="46"/>
  <c r="V20" i="46"/>
  <c r="U20" i="46"/>
  <c r="V28" i="46"/>
  <c r="U28" i="46"/>
  <c r="V36" i="46"/>
  <c r="U36" i="46"/>
  <c r="V48" i="46"/>
  <c r="U48" i="46"/>
  <c r="V56" i="46"/>
  <c r="U56" i="46"/>
  <c r="V64" i="46"/>
  <c r="U64" i="46"/>
  <c r="V72" i="46"/>
  <c r="U72" i="46"/>
  <c r="V84" i="46"/>
  <c r="U84" i="46"/>
  <c r="U92" i="46"/>
  <c r="V92" i="46"/>
  <c r="U100" i="46"/>
  <c r="V100" i="46"/>
  <c r="U108" i="46"/>
  <c r="V108" i="46"/>
  <c r="U116" i="46"/>
  <c r="V116" i="46"/>
  <c r="U124" i="46"/>
  <c r="V124" i="46"/>
  <c r="U132" i="46"/>
  <c r="V132" i="46"/>
  <c r="U140" i="46"/>
  <c r="V140" i="46"/>
  <c r="U148" i="46"/>
  <c r="V148" i="46"/>
  <c r="U152" i="46"/>
  <c r="V152" i="46"/>
  <c r="U156" i="46"/>
  <c r="V156" i="46"/>
  <c r="V160" i="46"/>
  <c r="U160" i="46"/>
  <c r="U164" i="46"/>
  <c r="V164" i="46"/>
  <c r="V168" i="46"/>
  <c r="U168" i="46"/>
  <c r="U176" i="46"/>
  <c r="V176" i="46"/>
  <c r="U180" i="46"/>
  <c r="V180" i="46"/>
  <c r="V184" i="46"/>
  <c r="U184" i="46"/>
  <c r="U188" i="46"/>
  <c r="V188" i="46"/>
  <c r="V192" i="46"/>
  <c r="U192" i="46"/>
  <c r="U196" i="46"/>
  <c r="V196" i="46"/>
  <c r="V200" i="46"/>
  <c r="U200" i="46"/>
  <c r="U204" i="46"/>
  <c r="V204" i="46"/>
  <c r="V30" i="46"/>
  <c r="U30" i="46"/>
  <c r="U54" i="46"/>
  <c r="V54" i="46"/>
  <c r="U90" i="46"/>
  <c r="V90" i="46"/>
  <c r="V11" i="46"/>
  <c r="U11" i="46"/>
  <c r="V23" i="46"/>
  <c r="U23" i="46"/>
  <c r="V47" i="46"/>
  <c r="U47" i="46"/>
  <c r="V8" i="46"/>
  <c r="U8" i="46"/>
  <c r="V16" i="46"/>
  <c r="U16" i="46"/>
  <c r="V24" i="46"/>
  <c r="U24" i="46"/>
  <c r="V32" i="46"/>
  <c r="U32" i="46"/>
  <c r="V40" i="46"/>
  <c r="U40" i="46"/>
  <c r="V44" i="46"/>
  <c r="U44" i="46"/>
  <c r="V52" i="46"/>
  <c r="U52" i="46"/>
  <c r="V60" i="46"/>
  <c r="U60" i="46"/>
  <c r="V68" i="46"/>
  <c r="U68" i="46"/>
  <c r="V76" i="46"/>
  <c r="U76" i="46"/>
  <c r="V80" i="46"/>
  <c r="U80" i="46"/>
  <c r="V88" i="46"/>
  <c r="U88" i="46"/>
  <c r="U96" i="46"/>
  <c r="V96" i="46"/>
  <c r="V104" i="46"/>
  <c r="U104" i="46"/>
  <c r="V112" i="46"/>
  <c r="U112" i="46"/>
  <c r="V120" i="46"/>
  <c r="U120" i="46"/>
  <c r="V128" i="46"/>
  <c r="U128" i="46"/>
  <c r="V136" i="46"/>
  <c r="U136" i="46"/>
  <c r="V144" i="46"/>
  <c r="U144" i="46"/>
  <c r="U172" i="46"/>
  <c r="V172" i="46"/>
  <c r="U22" i="46"/>
  <c r="V22" i="46"/>
  <c r="V62" i="46"/>
  <c r="U62" i="46"/>
  <c r="U9" i="46"/>
  <c r="V9" i="46"/>
  <c r="V17" i="46"/>
  <c r="U17" i="46"/>
  <c r="U25" i="46"/>
  <c r="V25" i="46"/>
  <c r="V33" i="46"/>
  <c r="U33" i="46"/>
  <c r="U41" i="46"/>
  <c r="V41" i="46"/>
  <c r="V49" i="46"/>
  <c r="U49" i="46"/>
  <c r="U53" i="46"/>
  <c r="V53" i="46"/>
  <c r="V61" i="46"/>
  <c r="U61" i="46"/>
  <c r="U69" i="46"/>
  <c r="V69" i="46"/>
  <c r="V77" i="46"/>
  <c r="U77" i="46"/>
  <c r="U85" i="46"/>
  <c r="V85" i="46"/>
  <c r="U93" i="46"/>
  <c r="V93" i="46"/>
  <c r="U101" i="46"/>
  <c r="V101" i="46"/>
  <c r="U109" i="46"/>
  <c r="V109" i="46"/>
  <c r="U117" i="46"/>
  <c r="V117" i="46"/>
  <c r="U125" i="46"/>
  <c r="V125" i="46"/>
  <c r="U133" i="46"/>
  <c r="V133" i="46"/>
  <c r="U141" i="46"/>
  <c r="V141" i="46"/>
  <c r="U149" i="46"/>
  <c r="V149" i="46"/>
  <c r="U157" i="46"/>
  <c r="V157" i="46"/>
  <c r="U165" i="46"/>
  <c r="V165" i="46"/>
  <c r="V177" i="46"/>
  <c r="U177" i="46"/>
  <c r="U197" i="46"/>
  <c r="V197" i="46"/>
  <c r="U26" i="46"/>
  <c r="V26" i="46"/>
  <c r="U70" i="46"/>
  <c r="V70" i="46"/>
  <c r="V13" i="46"/>
  <c r="U13" i="46"/>
  <c r="U21" i="46"/>
  <c r="V21" i="46"/>
  <c r="V29" i="46"/>
  <c r="U29" i="46"/>
  <c r="U37" i="46"/>
  <c r="V37" i="46"/>
  <c r="V45" i="46"/>
  <c r="U45" i="46"/>
  <c r="V57" i="46"/>
  <c r="U57" i="46"/>
  <c r="V65" i="46"/>
  <c r="U65" i="46"/>
  <c r="U73" i="46"/>
  <c r="V73" i="46"/>
  <c r="V81" i="46"/>
  <c r="U81" i="46"/>
  <c r="V89" i="46"/>
  <c r="U89" i="46"/>
  <c r="V97" i="46"/>
  <c r="U97" i="46"/>
  <c r="V105" i="46"/>
  <c r="U105" i="46"/>
  <c r="V113" i="46"/>
  <c r="U113" i="46"/>
  <c r="V121" i="46"/>
  <c r="U121" i="46"/>
  <c r="V129" i="46"/>
  <c r="U129" i="46"/>
  <c r="V137" i="46"/>
  <c r="U137" i="46"/>
  <c r="V145" i="46"/>
  <c r="U145" i="46"/>
  <c r="V153" i="46"/>
  <c r="U153" i="46"/>
  <c r="V161" i="46"/>
  <c r="U161" i="46"/>
  <c r="V169" i="46"/>
  <c r="U169" i="46"/>
  <c r="U173" i="46"/>
  <c r="V173" i="46"/>
  <c r="U181" i="46"/>
  <c r="V181" i="46"/>
  <c r="V185" i="46"/>
  <c r="U185" i="46"/>
  <c r="U189" i="46"/>
  <c r="V189" i="46"/>
  <c r="V193" i="46"/>
  <c r="U193" i="46"/>
  <c r="V201" i="46"/>
  <c r="U201" i="46"/>
  <c r="U5" i="46"/>
  <c r="V5" i="46"/>
  <c r="AB27" i="27"/>
  <c r="AB84" i="27"/>
  <c r="AB46" i="27"/>
  <c r="AB78" i="27"/>
  <c r="AB10" i="27"/>
  <c r="AB91" i="27"/>
  <c r="AB100" i="27"/>
  <c r="AB85" i="27"/>
  <c r="AB40" i="27"/>
  <c r="AB20" i="27"/>
  <c r="AB14" i="27"/>
  <c r="AB41" i="27"/>
  <c r="AB59" i="27"/>
  <c r="AB72" i="27"/>
  <c r="AB52" i="27"/>
  <c r="AB74" i="27"/>
  <c r="AB39" i="27"/>
  <c r="AB9" i="27"/>
  <c r="AB53" i="27"/>
  <c r="AB73" i="27"/>
  <c r="AB7" i="27"/>
  <c r="AB71" i="27"/>
  <c r="AB42" i="27"/>
  <c r="AB90" i="27"/>
  <c r="AB35" i="27"/>
  <c r="AB67" i="27"/>
  <c r="AB99" i="27"/>
  <c r="AB28" i="27"/>
  <c r="AB60" i="27"/>
  <c r="AB92" i="27"/>
  <c r="AB29" i="27"/>
  <c r="AB61" i="27"/>
  <c r="AB93" i="27"/>
  <c r="AB22" i="27"/>
  <c r="AB54" i="27"/>
  <c r="AB86" i="27"/>
  <c r="AB15" i="27"/>
  <c r="AB47" i="27"/>
  <c r="AB79" i="27"/>
  <c r="AB16" i="27"/>
  <c r="AB48" i="27"/>
  <c r="AB80" i="27"/>
  <c r="AB17" i="27"/>
  <c r="AB49" i="27"/>
  <c r="AB81" i="27"/>
  <c r="AB18" i="27"/>
  <c r="AB50" i="27"/>
  <c r="AB82" i="27"/>
  <c r="L203" i="28"/>
  <c r="AB11" i="27"/>
  <c r="AB43" i="27"/>
  <c r="AB75" i="27"/>
  <c r="AB103" i="27"/>
  <c r="AB36" i="27"/>
  <c r="AB68" i="27"/>
  <c r="AB37" i="27"/>
  <c r="AB69" i="27"/>
  <c r="AB101" i="27"/>
  <c r="AB30" i="27"/>
  <c r="AB94" i="27"/>
  <c r="AB23" i="27"/>
  <c r="AB55" i="27"/>
  <c r="AB87" i="27"/>
  <c r="AB24" i="27"/>
  <c r="AB56" i="27"/>
  <c r="AB88" i="27"/>
  <c r="AB25" i="27"/>
  <c r="AB57" i="27"/>
  <c r="AB89" i="27"/>
  <c r="AB26" i="27"/>
  <c r="AB58" i="27"/>
  <c r="AB19" i="27"/>
  <c r="AB51" i="27"/>
  <c r="AB83" i="27"/>
  <c r="AB12" i="27"/>
  <c r="AB44" i="27"/>
  <c r="AB76" i="27"/>
  <c r="AB13" i="27"/>
  <c r="AB45" i="27"/>
  <c r="AB77" i="27"/>
  <c r="AB6" i="27"/>
  <c r="AB38" i="27"/>
  <c r="AB70" i="27"/>
  <c r="AB102" i="27"/>
  <c r="AB31" i="27"/>
  <c r="AB63" i="27"/>
  <c r="AB95" i="27"/>
  <c r="AB32" i="27"/>
  <c r="AB64" i="27"/>
  <c r="AB96" i="27"/>
  <c r="AB33" i="27"/>
  <c r="AB65" i="27"/>
  <c r="AB97" i="27"/>
  <c r="AB34" i="27"/>
  <c r="AB66" i="27"/>
  <c r="AB98" i="27"/>
  <c r="AC7" i="1"/>
  <c r="AP5" i="1" l="1"/>
  <c r="AW5" i="1" s="1"/>
  <c r="W5" i="1" s="1"/>
  <c r="Q286" i="28"/>
  <c r="AD88" i="27"/>
  <c r="Q221" i="28"/>
  <c r="AD23" i="27"/>
  <c r="Q266" i="28"/>
  <c r="AD68" i="27"/>
  <c r="Q289" i="28"/>
  <c r="AD91" i="27"/>
  <c r="Q259" i="28"/>
  <c r="AD61" i="27"/>
  <c r="Q220" i="28"/>
  <c r="AD22" i="27"/>
  <c r="Q245" i="28"/>
  <c r="AD47" i="27"/>
  <c r="Q290" i="28"/>
  <c r="AD92" i="27"/>
  <c r="Q208" i="28"/>
  <c r="AD10" i="27"/>
  <c r="Q219" i="28"/>
  <c r="AD21" i="27"/>
  <c r="Q244" i="28"/>
  <c r="AD46" i="27"/>
  <c r="Q209" i="28"/>
  <c r="AD11" i="27"/>
  <c r="Q232" i="28"/>
  <c r="AD34" i="27"/>
  <c r="Q239" i="28"/>
  <c r="AD41" i="27"/>
  <c r="Q293" i="28"/>
  <c r="AD95" i="27"/>
  <c r="Q265" i="28"/>
  <c r="AD67" i="27"/>
  <c r="Q252" i="28"/>
  <c r="AD54" i="27"/>
  <c r="Q204" i="28"/>
  <c r="AD6" i="27"/>
  <c r="Q210" i="28"/>
  <c r="AD12" i="27"/>
  <c r="Q233" i="28"/>
  <c r="AD35" i="27"/>
  <c r="Q256" i="28"/>
  <c r="AD58" i="27"/>
  <c r="Q263" i="28"/>
  <c r="AD65" i="27"/>
  <c r="Q214" i="28"/>
  <c r="AD16" i="27"/>
  <c r="Q292" i="28"/>
  <c r="AD94" i="27"/>
  <c r="Q234" i="28"/>
  <c r="AD36" i="27"/>
  <c r="Q257" i="28"/>
  <c r="AD59" i="27"/>
  <c r="Q280" i="28"/>
  <c r="AD82" i="27"/>
  <c r="Q287" i="28"/>
  <c r="AD89" i="27"/>
  <c r="Q238" i="28"/>
  <c r="AD40" i="27"/>
  <c r="Q213" i="28"/>
  <c r="AD15" i="27"/>
  <c r="Q258" i="28"/>
  <c r="AD60" i="27"/>
  <c r="Q281" i="28"/>
  <c r="AD83" i="27"/>
  <c r="Q243" i="28"/>
  <c r="AD45" i="27"/>
  <c r="Q283" i="28"/>
  <c r="AD85" i="27"/>
  <c r="Q262" i="28"/>
  <c r="AD64" i="27"/>
  <c r="Q237" i="28"/>
  <c r="AD39" i="27"/>
  <c r="Q282" i="28"/>
  <c r="AD84" i="27"/>
  <c r="Q235" i="28"/>
  <c r="AD37" i="27"/>
  <c r="Q212" i="28"/>
  <c r="AD14" i="27"/>
  <c r="Q294" i="28"/>
  <c r="AD96" i="27"/>
  <c r="Q207" i="28"/>
  <c r="AD9" i="27"/>
  <c r="Q261" i="28"/>
  <c r="AD63" i="27"/>
  <c r="Q267" i="28"/>
  <c r="AD69" i="27"/>
  <c r="Q288" i="28"/>
  <c r="AD90" i="27"/>
  <c r="Q215" i="28"/>
  <c r="AD17" i="27"/>
  <c r="Q211" i="28"/>
  <c r="AD13" i="27"/>
  <c r="Q228" i="28"/>
  <c r="AD30" i="27"/>
  <c r="Q278" i="28"/>
  <c r="AD80" i="27"/>
  <c r="Q224" i="28"/>
  <c r="AD26" i="27"/>
  <c r="Q231" i="28"/>
  <c r="AD33" i="27"/>
  <c r="Q285" i="28"/>
  <c r="AD87" i="27"/>
  <c r="Q275" i="28"/>
  <c r="AD77" i="27"/>
  <c r="Q300" i="28"/>
  <c r="AD102" i="27"/>
  <c r="Q225" i="28"/>
  <c r="AD27" i="27"/>
  <c r="Q248" i="28"/>
  <c r="AD50" i="27"/>
  <c r="Q255" i="28"/>
  <c r="AD57" i="27"/>
  <c r="Q206" i="28"/>
  <c r="AD8" i="27"/>
  <c r="Q260" i="28"/>
  <c r="AD62" i="27"/>
  <c r="Q226" i="28"/>
  <c r="AD28" i="27"/>
  <c r="Q249" i="28"/>
  <c r="AD51" i="27"/>
  <c r="Q272" i="28"/>
  <c r="AD74" i="27"/>
  <c r="Q279" i="28"/>
  <c r="AD81" i="27"/>
  <c r="Q230" i="28"/>
  <c r="AD32" i="27"/>
  <c r="Q205" i="28"/>
  <c r="AD7" i="27"/>
  <c r="Q250" i="28"/>
  <c r="AD52" i="27"/>
  <c r="Q273" i="28"/>
  <c r="AD75" i="27"/>
  <c r="Q296" i="28"/>
  <c r="AD98" i="27"/>
  <c r="Q227" i="28"/>
  <c r="AD29" i="27"/>
  <c r="Q254" i="28"/>
  <c r="AD56" i="27"/>
  <c r="Q229" i="28"/>
  <c r="AD31" i="27"/>
  <c r="Q295" i="28"/>
  <c r="AD97" i="27"/>
  <c r="Q269" i="28"/>
  <c r="AD71" i="27"/>
  <c r="Q246" i="28"/>
  <c r="AD48" i="27"/>
  <c r="Q270" i="28"/>
  <c r="AD72" i="27"/>
  <c r="Q274" i="28"/>
  <c r="AD76" i="27"/>
  <c r="Q297" i="28"/>
  <c r="AD99" i="27"/>
  <c r="Q291" i="28"/>
  <c r="AD93" i="27"/>
  <c r="Q276" i="28"/>
  <c r="AD78" i="27"/>
  <c r="Q302" i="28"/>
  <c r="AD104" i="27"/>
  <c r="Q253" i="28"/>
  <c r="AD55" i="27"/>
  <c r="Q298" i="28"/>
  <c r="AD100" i="27"/>
  <c r="Q299" i="28"/>
  <c r="AD101" i="27"/>
  <c r="Q284" i="28"/>
  <c r="AD86" i="27"/>
  <c r="Q216" i="28"/>
  <c r="AD18" i="27"/>
  <c r="Q223" i="28"/>
  <c r="AD25" i="27"/>
  <c r="Q277" i="28"/>
  <c r="AD79" i="27"/>
  <c r="Q251" i="28"/>
  <c r="AD53" i="27"/>
  <c r="Q268" i="28"/>
  <c r="AD70" i="27"/>
  <c r="Q217" i="28"/>
  <c r="AD19" i="27"/>
  <c r="Q240" i="28"/>
  <c r="AD42" i="27"/>
  <c r="Q247" i="28"/>
  <c r="AD49" i="27"/>
  <c r="Q301" i="28"/>
  <c r="AD103" i="27"/>
  <c r="Q236" i="28"/>
  <c r="AD38" i="27"/>
  <c r="Q218" i="28"/>
  <c r="AD20" i="27"/>
  <c r="Q241" i="28"/>
  <c r="AD43" i="27"/>
  <c r="Q264" i="28"/>
  <c r="AD66" i="27"/>
  <c r="Q271" i="28"/>
  <c r="AD73" i="27"/>
  <c r="Q222" i="28"/>
  <c r="AD24" i="27"/>
  <c r="Q242" i="28"/>
  <c r="AD44" i="27"/>
  <c r="G203" i="28"/>
  <c r="Y5" i="27"/>
  <c r="N13" i="46"/>
  <c r="H311" i="28" s="1"/>
  <c r="M13" i="46"/>
  <c r="N72" i="46"/>
  <c r="H370" i="28" s="1"/>
  <c r="M72" i="46"/>
  <c r="N43" i="46"/>
  <c r="H341" i="28" s="1"/>
  <c r="M43" i="46"/>
  <c r="M39" i="46"/>
  <c r="N39" i="46"/>
  <c r="H337" i="28" s="1"/>
  <c r="Q448" i="28"/>
  <c r="Q150" i="46"/>
  <c r="Q384" i="28"/>
  <c r="Q86" i="46"/>
  <c r="Q320" i="28"/>
  <c r="Q22" i="46"/>
  <c r="Q453" i="28"/>
  <c r="Q155" i="46"/>
  <c r="Q357" i="28"/>
  <c r="Q59" i="46"/>
  <c r="Q388" i="28"/>
  <c r="Q90" i="46"/>
  <c r="Q345" i="28"/>
  <c r="Q47" i="46"/>
  <c r="Q444" i="28"/>
  <c r="Q146" i="46"/>
  <c r="Q475" i="28"/>
  <c r="Q177" i="46"/>
  <c r="M113" i="46"/>
  <c r="N113" i="46"/>
  <c r="H411" i="28" s="1"/>
  <c r="M77" i="46"/>
  <c r="N77" i="46"/>
  <c r="H375" i="28" s="1"/>
  <c r="N32" i="46"/>
  <c r="H330" i="28" s="1"/>
  <c r="M32" i="46"/>
  <c r="N36" i="46"/>
  <c r="H334" i="28" s="1"/>
  <c r="M36" i="46"/>
  <c r="N83" i="46"/>
  <c r="H381" i="28" s="1"/>
  <c r="M83" i="46"/>
  <c r="M79" i="46"/>
  <c r="N79" i="46"/>
  <c r="H377" i="28" s="1"/>
  <c r="N46" i="46"/>
  <c r="H344" i="28" s="1"/>
  <c r="M46" i="46"/>
  <c r="Q480" i="28"/>
  <c r="Q182" i="46"/>
  <c r="Q416" i="28"/>
  <c r="Q118" i="46"/>
  <c r="Q352" i="28"/>
  <c r="Q54" i="46"/>
  <c r="Q485" i="28"/>
  <c r="Q187" i="46"/>
  <c r="Q421" i="28"/>
  <c r="Q123" i="46"/>
  <c r="Q389" i="28"/>
  <c r="Q91" i="46"/>
  <c r="Q325" i="28"/>
  <c r="Q27" i="46"/>
  <c r="Q324" i="28"/>
  <c r="Q26" i="46"/>
  <c r="Q476" i="28"/>
  <c r="Q178" i="46"/>
  <c r="Q404" i="28"/>
  <c r="Q106" i="46"/>
  <c r="Q348" i="28"/>
  <c r="Q50" i="46"/>
  <c r="Q465" i="28"/>
  <c r="Q167" i="46"/>
  <c r="Q443" i="28"/>
  <c r="Q145" i="46"/>
  <c r="Q411" i="28"/>
  <c r="Q113" i="46"/>
  <c r="Q379" i="28"/>
  <c r="Q81" i="46"/>
  <c r="Q347" i="28"/>
  <c r="Q49" i="46"/>
  <c r="Q315" i="28"/>
  <c r="Q17" i="46"/>
  <c r="Q386" i="28"/>
  <c r="Q88" i="46"/>
  <c r="Q322" i="28"/>
  <c r="Q24" i="46"/>
  <c r="Q377" i="28"/>
  <c r="Q79" i="46"/>
  <c r="Q482" i="28"/>
  <c r="Q184" i="46"/>
  <c r="Q450" i="28"/>
  <c r="Q152" i="46"/>
  <c r="Q410" i="28"/>
  <c r="Q112" i="46"/>
  <c r="Q346" i="28"/>
  <c r="Q48" i="46"/>
  <c r="Q151" i="46"/>
  <c r="Q449" i="28"/>
  <c r="M173" i="46"/>
  <c r="N173" i="46"/>
  <c r="H471" i="28" s="1"/>
  <c r="N141" i="46"/>
  <c r="H439" i="28" s="1"/>
  <c r="M141" i="46"/>
  <c r="M109" i="46"/>
  <c r="N109" i="46"/>
  <c r="H407" i="28" s="1"/>
  <c r="M172" i="46"/>
  <c r="N172" i="46"/>
  <c r="H470" i="28" s="1"/>
  <c r="N54" i="46"/>
  <c r="H352" i="28" s="1"/>
  <c r="M54" i="46"/>
  <c r="M196" i="46"/>
  <c r="N196" i="46"/>
  <c r="H494" i="28" s="1"/>
  <c r="M180" i="46"/>
  <c r="N180" i="46"/>
  <c r="H478" i="28" s="1"/>
  <c r="M140" i="46"/>
  <c r="N140" i="46"/>
  <c r="H438" i="28" s="1"/>
  <c r="M108" i="46"/>
  <c r="N108" i="46"/>
  <c r="H406" i="28" s="1"/>
  <c r="N58" i="46"/>
  <c r="H356" i="28" s="1"/>
  <c r="M58" i="46"/>
  <c r="N195" i="46"/>
  <c r="H493" i="28" s="1"/>
  <c r="M195" i="46"/>
  <c r="M175" i="46"/>
  <c r="N175" i="46"/>
  <c r="H473" i="28" s="1"/>
  <c r="N147" i="46"/>
  <c r="H445" i="28" s="1"/>
  <c r="M147" i="46"/>
  <c r="N115" i="46"/>
  <c r="H413" i="28" s="1"/>
  <c r="M115" i="46"/>
  <c r="N66" i="46"/>
  <c r="H364" i="28" s="1"/>
  <c r="M66" i="46"/>
  <c r="N179" i="46"/>
  <c r="H477" i="28" s="1"/>
  <c r="M179" i="46"/>
  <c r="N143" i="46"/>
  <c r="H441" i="28" s="1"/>
  <c r="M143" i="46"/>
  <c r="M111" i="46"/>
  <c r="N111" i="46"/>
  <c r="H409" i="28" s="1"/>
  <c r="M194" i="46"/>
  <c r="N194" i="46"/>
  <c r="H492" i="28" s="1"/>
  <c r="N178" i="46"/>
  <c r="H476" i="28" s="1"/>
  <c r="M178" i="46"/>
  <c r="N162" i="46"/>
  <c r="H460" i="28" s="1"/>
  <c r="M162" i="46"/>
  <c r="N146" i="46"/>
  <c r="H444" i="28" s="1"/>
  <c r="M146" i="46"/>
  <c r="N130" i="46"/>
  <c r="H428" i="28" s="1"/>
  <c r="M130" i="46"/>
  <c r="N114" i="46"/>
  <c r="H412" i="28" s="1"/>
  <c r="M114" i="46"/>
  <c r="N98" i="46"/>
  <c r="H396" i="28" s="1"/>
  <c r="M98" i="46"/>
  <c r="N34" i="46"/>
  <c r="H332" i="28" s="1"/>
  <c r="M34" i="46"/>
  <c r="Q495" i="28"/>
  <c r="Q197" i="46"/>
  <c r="Q463" i="28"/>
  <c r="Q165" i="46"/>
  <c r="Q431" i="28"/>
  <c r="Q133" i="46"/>
  <c r="Q399" i="28"/>
  <c r="Q101" i="46"/>
  <c r="Q367" i="28"/>
  <c r="Q69" i="46"/>
  <c r="Q335" i="28"/>
  <c r="Q37" i="46"/>
  <c r="Q462" i="28"/>
  <c r="Q164" i="46"/>
  <c r="Q68" i="46"/>
  <c r="Q366" i="28"/>
  <c r="Q12" i="46"/>
  <c r="Q310" i="28"/>
  <c r="Q502" i="28"/>
  <c r="Q204" i="46"/>
  <c r="Q470" i="28"/>
  <c r="Q172" i="46"/>
  <c r="Q430" i="28"/>
  <c r="Q132" i="46"/>
  <c r="Q374" i="28"/>
  <c r="Q76" i="46"/>
  <c r="Q183" i="46"/>
  <c r="Q481" i="28"/>
  <c r="Q321" i="28"/>
  <c r="Q23" i="46"/>
  <c r="N45" i="46"/>
  <c r="H343" i="28" s="1"/>
  <c r="M45" i="46"/>
  <c r="M120" i="46"/>
  <c r="N120" i="46"/>
  <c r="H418" i="28" s="1"/>
  <c r="N160" i="46"/>
  <c r="H458" i="28" s="1"/>
  <c r="M160" i="46"/>
  <c r="N80" i="46"/>
  <c r="H378" i="28" s="1"/>
  <c r="M80" i="46"/>
  <c r="M192" i="46"/>
  <c r="N192" i="46"/>
  <c r="H490" i="28" s="1"/>
  <c r="N35" i="46"/>
  <c r="H333" i="28" s="1"/>
  <c r="M35" i="46"/>
  <c r="M71" i="46"/>
  <c r="N71" i="46"/>
  <c r="H369" i="28" s="1"/>
  <c r="Q472" i="28"/>
  <c r="Q174" i="46"/>
  <c r="Q312" i="28"/>
  <c r="Q14" i="46"/>
  <c r="Q179" i="46"/>
  <c r="Q477" i="28"/>
  <c r="Q349" i="28"/>
  <c r="Q51" i="46"/>
  <c r="Q500" i="28"/>
  <c r="Q202" i="46"/>
  <c r="Q332" i="28"/>
  <c r="Q34" i="46"/>
  <c r="Q435" i="28"/>
  <c r="Q137" i="46"/>
  <c r="Q403" i="28"/>
  <c r="Q105" i="46"/>
  <c r="Q371" i="28"/>
  <c r="Q73" i="46"/>
  <c r="Q306" i="28"/>
  <c r="Q8" i="46"/>
  <c r="Q337" i="28"/>
  <c r="Q39" i="46"/>
  <c r="Q474" i="28"/>
  <c r="Q176" i="46"/>
  <c r="Q442" i="28"/>
  <c r="Q144" i="46"/>
  <c r="Q394" i="28"/>
  <c r="Q96" i="46"/>
  <c r="Q330" i="28"/>
  <c r="Q32" i="46"/>
  <c r="Q401" i="28"/>
  <c r="Q103" i="46"/>
  <c r="M189" i="46"/>
  <c r="N189" i="46"/>
  <c r="H487" i="28" s="1"/>
  <c r="N73" i="46"/>
  <c r="H371" i="28" s="1"/>
  <c r="M73" i="46"/>
  <c r="N37" i="46"/>
  <c r="H335" i="28" s="1"/>
  <c r="M37" i="46"/>
  <c r="N70" i="46"/>
  <c r="H368" i="28" s="1"/>
  <c r="M70" i="46"/>
  <c r="M165" i="46"/>
  <c r="N165" i="46"/>
  <c r="H463" i="28" s="1"/>
  <c r="N133" i="46"/>
  <c r="H431" i="28" s="1"/>
  <c r="M133" i="46"/>
  <c r="M101" i="46"/>
  <c r="N101" i="46"/>
  <c r="H399" i="28" s="1"/>
  <c r="M69" i="46"/>
  <c r="N69" i="46"/>
  <c r="H367" i="28" s="1"/>
  <c r="N41" i="46"/>
  <c r="H339" i="28" s="1"/>
  <c r="M41" i="46"/>
  <c r="N9" i="46"/>
  <c r="H307" i="28" s="1"/>
  <c r="M9" i="46"/>
  <c r="M176" i="46"/>
  <c r="N176" i="46"/>
  <c r="H474" i="28" s="1"/>
  <c r="M156" i="46"/>
  <c r="N156" i="46"/>
  <c r="H454" i="28" s="1"/>
  <c r="N132" i="46"/>
  <c r="H430" i="28" s="1"/>
  <c r="M132" i="46"/>
  <c r="N100" i="46"/>
  <c r="H398" i="28" s="1"/>
  <c r="M100" i="46"/>
  <c r="N42" i="46"/>
  <c r="H340" i="28" s="1"/>
  <c r="M42" i="46"/>
  <c r="M191" i="46"/>
  <c r="N191" i="46"/>
  <c r="H489" i="28" s="1"/>
  <c r="N171" i="46"/>
  <c r="H469" i="28" s="1"/>
  <c r="M171" i="46"/>
  <c r="N139" i="46"/>
  <c r="H437" i="28" s="1"/>
  <c r="M139" i="46"/>
  <c r="N107" i="46"/>
  <c r="H405" i="28" s="1"/>
  <c r="M107" i="46"/>
  <c r="N38" i="46"/>
  <c r="H336" i="28" s="1"/>
  <c r="M38" i="46"/>
  <c r="M167" i="46"/>
  <c r="N167" i="46"/>
  <c r="H465" i="28" s="1"/>
  <c r="N135" i="46"/>
  <c r="H433" i="28" s="1"/>
  <c r="M135" i="46"/>
  <c r="N103" i="46"/>
  <c r="H401" i="28" s="1"/>
  <c r="M103" i="46"/>
  <c r="N18" i="46"/>
  <c r="H316" i="28" s="1"/>
  <c r="M18" i="46"/>
  <c r="M190" i="46"/>
  <c r="N190" i="46"/>
  <c r="H488" i="28" s="1"/>
  <c r="N174" i="46"/>
  <c r="H472" i="28" s="1"/>
  <c r="M174" i="46"/>
  <c r="N158" i="46"/>
  <c r="H456" i="28" s="1"/>
  <c r="M158" i="46"/>
  <c r="N142" i="46"/>
  <c r="H440" i="28" s="1"/>
  <c r="M142" i="46"/>
  <c r="N126" i="46"/>
  <c r="H424" i="28" s="1"/>
  <c r="M126" i="46"/>
  <c r="N110" i="46"/>
  <c r="H408" i="28" s="1"/>
  <c r="M110" i="46"/>
  <c r="N82" i="46"/>
  <c r="H380" i="28" s="1"/>
  <c r="M82" i="46"/>
  <c r="N6" i="46"/>
  <c r="H304" i="28" s="1"/>
  <c r="Q487" i="28"/>
  <c r="Q189" i="46"/>
  <c r="Q455" i="28"/>
  <c r="Q157" i="46"/>
  <c r="Q423" i="28"/>
  <c r="Q125" i="46"/>
  <c r="Q391" i="28"/>
  <c r="Q93" i="46"/>
  <c r="Q359" i="28"/>
  <c r="Q61" i="46"/>
  <c r="Q327" i="28"/>
  <c r="Q29" i="46"/>
  <c r="Q422" i="28"/>
  <c r="Q124" i="46"/>
  <c r="Q60" i="46"/>
  <c r="Q358" i="28"/>
  <c r="Q441" i="28"/>
  <c r="Q143" i="46"/>
  <c r="Q494" i="28"/>
  <c r="Q196" i="46"/>
  <c r="Q454" i="28"/>
  <c r="Q156" i="46"/>
  <c r="Q414" i="28"/>
  <c r="Q116" i="46"/>
  <c r="Q52" i="46"/>
  <c r="Q350" i="28"/>
  <c r="Q159" i="46"/>
  <c r="Q457" i="28"/>
  <c r="N145" i="46"/>
  <c r="H443" i="28" s="1"/>
  <c r="M145" i="46"/>
  <c r="N88" i="46"/>
  <c r="H386" i="28" s="1"/>
  <c r="M88" i="46"/>
  <c r="M112" i="46"/>
  <c r="N112" i="46"/>
  <c r="H410" i="28" s="1"/>
  <c r="N30" i="46"/>
  <c r="H328" i="28" s="1"/>
  <c r="M30" i="46"/>
  <c r="N64" i="46"/>
  <c r="H362" i="28" s="1"/>
  <c r="M64" i="46"/>
  <c r="Q440" i="28"/>
  <c r="Q142" i="46"/>
  <c r="N161" i="46"/>
  <c r="H459" i="28" s="1"/>
  <c r="M161" i="46"/>
  <c r="N97" i="46"/>
  <c r="H395" i="28" s="1"/>
  <c r="M97" i="46"/>
  <c r="N33" i="46"/>
  <c r="H331" i="28" s="1"/>
  <c r="M33" i="46"/>
  <c r="N136" i="46"/>
  <c r="H434" i="28" s="1"/>
  <c r="M136" i="46"/>
  <c r="N76" i="46"/>
  <c r="H374" i="28" s="1"/>
  <c r="M76" i="46"/>
  <c r="N16" i="46"/>
  <c r="H314" i="28" s="1"/>
  <c r="M16" i="46"/>
  <c r="M168" i="46"/>
  <c r="N168" i="46"/>
  <c r="H466" i="28" s="1"/>
  <c r="N56" i="46"/>
  <c r="H354" i="28" s="1"/>
  <c r="M56" i="46"/>
  <c r="N7" i="46"/>
  <c r="H305" i="28" s="1"/>
  <c r="N14" i="46"/>
  <c r="H312" i="28" s="1"/>
  <c r="M14" i="46"/>
  <c r="N67" i="46"/>
  <c r="H365" i="28" s="1"/>
  <c r="M67" i="46"/>
  <c r="N19" i="46"/>
  <c r="H317" i="28" s="1"/>
  <c r="M19" i="46"/>
  <c r="N63" i="46"/>
  <c r="H361" i="28" s="1"/>
  <c r="M63" i="46"/>
  <c r="N15" i="46"/>
  <c r="H313" i="28" s="1"/>
  <c r="M15" i="46"/>
  <c r="Q496" i="28"/>
  <c r="Q198" i="46"/>
  <c r="Q464" i="28"/>
  <c r="Q166" i="46"/>
  <c r="Q432" i="28"/>
  <c r="Q134" i="46"/>
  <c r="Q400" i="28"/>
  <c r="Q102" i="46"/>
  <c r="Q368" i="28"/>
  <c r="Q70" i="46"/>
  <c r="Q336" i="28"/>
  <c r="Q38" i="46"/>
  <c r="Q304" i="28"/>
  <c r="Q6" i="46"/>
  <c r="Q501" i="28"/>
  <c r="Q203" i="46"/>
  <c r="Q469" i="28"/>
  <c r="Q171" i="46"/>
  <c r="Q437" i="28"/>
  <c r="Q139" i="46"/>
  <c r="Q405" i="28"/>
  <c r="Q107" i="46"/>
  <c r="Q373" i="28"/>
  <c r="Q75" i="46"/>
  <c r="Q341" i="28"/>
  <c r="Q43" i="46"/>
  <c r="Q309" i="28"/>
  <c r="Q11" i="46"/>
  <c r="Q356" i="28"/>
  <c r="Q58" i="46"/>
  <c r="Q433" i="28"/>
  <c r="Q135" i="46"/>
  <c r="Q492" i="28"/>
  <c r="Q194" i="46"/>
  <c r="Q460" i="28"/>
  <c r="Q162" i="46"/>
  <c r="Q428" i="28"/>
  <c r="Q130" i="46"/>
  <c r="Q380" i="28"/>
  <c r="Q82" i="46"/>
  <c r="Q308" i="28"/>
  <c r="Q10" i="46"/>
  <c r="Q353" i="28"/>
  <c r="Q55" i="46"/>
  <c r="Q491" i="28"/>
  <c r="Q193" i="46"/>
  <c r="Q459" i="28"/>
  <c r="Q161" i="46"/>
  <c r="Q427" i="28"/>
  <c r="Q129" i="46"/>
  <c r="Q395" i="28"/>
  <c r="Q97" i="46"/>
  <c r="Q363" i="28"/>
  <c r="Q65" i="46"/>
  <c r="Q331" i="28"/>
  <c r="Q33" i="46"/>
  <c r="Q434" i="28"/>
  <c r="Q136" i="46"/>
  <c r="Q354" i="28"/>
  <c r="Q56" i="46"/>
  <c r="Q473" i="28"/>
  <c r="Q175" i="46"/>
  <c r="Q498" i="28"/>
  <c r="Q200" i="46"/>
  <c r="Q466" i="28"/>
  <c r="Q168" i="46"/>
  <c r="Q426" i="28"/>
  <c r="Q128" i="46"/>
  <c r="Q378" i="28"/>
  <c r="Q80" i="46"/>
  <c r="Q314" i="28"/>
  <c r="Q16" i="46"/>
  <c r="Q361" i="28"/>
  <c r="Q63" i="46"/>
  <c r="N81" i="46"/>
  <c r="H379" i="28" s="1"/>
  <c r="M81" i="46"/>
  <c r="N49" i="46"/>
  <c r="H347" i="28" s="1"/>
  <c r="M49" i="46"/>
  <c r="M47" i="46"/>
  <c r="N47" i="46"/>
  <c r="H345" i="28" s="1"/>
  <c r="N51" i="46"/>
  <c r="H349" i="28" s="1"/>
  <c r="M51" i="46"/>
  <c r="N137" i="46"/>
  <c r="H435" i="28" s="1"/>
  <c r="M137" i="46"/>
  <c r="N24" i="46"/>
  <c r="H322" i="28" s="1"/>
  <c r="M24" i="46"/>
  <c r="N27" i="46"/>
  <c r="H325" i="28" s="1"/>
  <c r="M27" i="46"/>
  <c r="Q344" i="28"/>
  <c r="Q46" i="46"/>
  <c r="Q413" i="28"/>
  <c r="Q115" i="46"/>
  <c r="Q372" i="28"/>
  <c r="Q74" i="46"/>
  <c r="Q436" i="28"/>
  <c r="Q138" i="46"/>
  <c r="Q499" i="28"/>
  <c r="Q201" i="46"/>
  <c r="Q339" i="28"/>
  <c r="Q41" i="46"/>
  <c r="N129" i="46"/>
  <c r="H427" i="28" s="1"/>
  <c r="M129" i="46"/>
  <c r="M61" i="46"/>
  <c r="N61" i="46"/>
  <c r="H359" i="28" s="1"/>
  <c r="N62" i="46"/>
  <c r="H360" i="28" s="1"/>
  <c r="M62" i="46"/>
  <c r="N104" i="46"/>
  <c r="H402" i="28" s="1"/>
  <c r="M104" i="46"/>
  <c r="N44" i="46"/>
  <c r="H342" i="28" s="1"/>
  <c r="M44" i="46"/>
  <c r="N11" i="46"/>
  <c r="H309" i="28" s="1"/>
  <c r="M11" i="46"/>
  <c r="N20" i="46"/>
  <c r="H318" i="28" s="1"/>
  <c r="M20" i="46"/>
  <c r="N5" i="46"/>
  <c r="H303" i="28" s="1"/>
  <c r="N26" i="46"/>
  <c r="H324" i="28" s="1"/>
  <c r="M26" i="46"/>
  <c r="M157" i="46"/>
  <c r="N157" i="46"/>
  <c r="H455" i="28" s="1"/>
  <c r="M125" i="46"/>
  <c r="N125" i="46"/>
  <c r="H423" i="28" s="1"/>
  <c r="M93" i="46"/>
  <c r="N93" i="46"/>
  <c r="H391" i="28" s="1"/>
  <c r="M204" i="46"/>
  <c r="N204" i="46"/>
  <c r="H502" i="28" s="1"/>
  <c r="M188" i="46"/>
  <c r="N188" i="46"/>
  <c r="H486" i="28" s="1"/>
  <c r="N152" i="46"/>
  <c r="H450" i="28" s="1"/>
  <c r="M152" i="46"/>
  <c r="M124" i="46"/>
  <c r="N124" i="46"/>
  <c r="H422" i="28" s="1"/>
  <c r="N92" i="46"/>
  <c r="H390" i="28" s="1"/>
  <c r="M92" i="46"/>
  <c r="N187" i="46"/>
  <c r="H485" i="28" s="1"/>
  <c r="M187" i="46"/>
  <c r="N163" i="46"/>
  <c r="H461" i="28" s="1"/>
  <c r="M163" i="46"/>
  <c r="N131" i="46"/>
  <c r="H429" i="28" s="1"/>
  <c r="M131" i="46"/>
  <c r="N99" i="46"/>
  <c r="H397" i="28" s="1"/>
  <c r="M99" i="46"/>
  <c r="N10" i="46"/>
  <c r="H308" i="28" s="1"/>
  <c r="M10" i="46"/>
  <c r="M159" i="46"/>
  <c r="N159" i="46"/>
  <c r="H457" i="28" s="1"/>
  <c r="N127" i="46"/>
  <c r="H425" i="28" s="1"/>
  <c r="M127" i="46"/>
  <c r="M95" i="46"/>
  <c r="N95" i="46"/>
  <c r="H393" i="28" s="1"/>
  <c r="M202" i="46"/>
  <c r="N202" i="46"/>
  <c r="H500" i="28" s="1"/>
  <c r="M186" i="46"/>
  <c r="N186" i="46"/>
  <c r="H484" i="28" s="1"/>
  <c r="N170" i="46"/>
  <c r="H468" i="28" s="1"/>
  <c r="M170" i="46"/>
  <c r="N154" i="46"/>
  <c r="H452" i="28" s="1"/>
  <c r="M154" i="46"/>
  <c r="N138" i="46"/>
  <c r="H436" i="28" s="1"/>
  <c r="M138" i="46"/>
  <c r="M122" i="46"/>
  <c r="N122" i="46"/>
  <c r="H420" i="28" s="1"/>
  <c r="N106" i="46"/>
  <c r="H404" i="28" s="1"/>
  <c r="M106" i="46"/>
  <c r="N74" i="46"/>
  <c r="H372" i="28" s="1"/>
  <c r="M74" i="46"/>
  <c r="Q479" i="28"/>
  <c r="Q181" i="46"/>
  <c r="Q447" i="28"/>
  <c r="Q149" i="46"/>
  <c r="Q415" i="28"/>
  <c r="Q117" i="46"/>
  <c r="Q383" i="28"/>
  <c r="Q85" i="46"/>
  <c r="Q351" i="28"/>
  <c r="Q53" i="46"/>
  <c r="Q319" i="28"/>
  <c r="Q21" i="46"/>
  <c r="Q398" i="28"/>
  <c r="Q100" i="46"/>
  <c r="Q342" i="28"/>
  <c r="Q44" i="46"/>
  <c r="Q385" i="28"/>
  <c r="Q87" i="46"/>
  <c r="Q486" i="28"/>
  <c r="Q188" i="46"/>
  <c r="Q446" i="28"/>
  <c r="Q148" i="46"/>
  <c r="Q406" i="28"/>
  <c r="Q108" i="46"/>
  <c r="Q36" i="46"/>
  <c r="Q334" i="28"/>
  <c r="Q417" i="28"/>
  <c r="Q119" i="46"/>
  <c r="M193" i="46"/>
  <c r="N193" i="46"/>
  <c r="H491" i="28" s="1"/>
  <c r="M177" i="46"/>
  <c r="N177" i="46"/>
  <c r="H475" i="28" s="1"/>
  <c r="N17" i="46"/>
  <c r="H315" i="28" s="1"/>
  <c r="M17" i="46"/>
  <c r="N169" i="46"/>
  <c r="H467" i="28" s="1"/>
  <c r="M169" i="46"/>
  <c r="N52" i="46"/>
  <c r="H350" i="28" s="1"/>
  <c r="M52" i="46"/>
  <c r="N28" i="46"/>
  <c r="H326" i="28" s="1"/>
  <c r="M28" i="46"/>
  <c r="M31" i="46"/>
  <c r="N31" i="46"/>
  <c r="H329" i="28" s="1"/>
  <c r="Q376" i="28"/>
  <c r="Q78" i="46"/>
  <c r="Q381" i="28"/>
  <c r="Q83" i="46"/>
  <c r="Q316" i="28"/>
  <c r="Q18" i="46"/>
  <c r="Q396" i="28"/>
  <c r="Q98" i="46"/>
  <c r="Q467" i="28"/>
  <c r="Q169" i="46"/>
  <c r="Q370" i="28"/>
  <c r="Q72" i="46"/>
  <c r="M185" i="46"/>
  <c r="N185" i="46"/>
  <c r="H483" i="28" s="1"/>
  <c r="N65" i="46"/>
  <c r="H363" i="28" s="1"/>
  <c r="M65" i="46"/>
  <c r="M201" i="46"/>
  <c r="N201" i="46"/>
  <c r="H499" i="28" s="1"/>
  <c r="N153" i="46"/>
  <c r="H451" i="28" s="1"/>
  <c r="M153" i="46"/>
  <c r="M121" i="46"/>
  <c r="N121" i="46"/>
  <c r="H419" i="28" s="1"/>
  <c r="N89" i="46"/>
  <c r="H387" i="28" s="1"/>
  <c r="M89" i="46"/>
  <c r="N57" i="46"/>
  <c r="H355" i="28" s="1"/>
  <c r="M57" i="46"/>
  <c r="N128" i="46"/>
  <c r="H426" i="28" s="1"/>
  <c r="M128" i="46"/>
  <c r="N68" i="46"/>
  <c r="H366" i="28" s="1"/>
  <c r="M68" i="46"/>
  <c r="N40" i="46"/>
  <c r="H338" i="28" s="1"/>
  <c r="M40" i="46"/>
  <c r="N8" i="46"/>
  <c r="H306" i="28" s="1"/>
  <c r="M8" i="46"/>
  <c r="M200" i="46"/>
  <c r="N200" i="46"/>
  <c r="H498" i="28" s="1"/>
  <c r="M184" i="46"/>
  <c r="N184" i="46"/>
  <c r="H482" i="28" s="1"/>
  <c r="N84" i="46"/>
  <c r="H382" i="28" s="1"/>
  <c r="M84" i="46"/>
  <c r="N48" i="46"/>
  <c r="H346" i="28" s="1"/>
  <c r="M48" i="46"/>
  <c r="N12" i="46"/>
  <c r="H310" i="28" s="1"/>
  <c r="M12" i="46"/>
  <c r="N59" i="46"/>
  <c r="H357" i="28" s="1"/>
  <c r="M59" i="46"/>
  <c r="N55" i="46"/>
  <c r="H353" i="28" s="1"/>
  <c r="M55" i="46"/>
  <c r="N78" i="46"/>
  <c r="H376" i="28" s="1"/>
  <c r="M78" i="46"/>
  <c r="Q488" i="28"/>
  <c r="Q190" i="46"/>
  <c r="Q456" i="28"/>
  <c r="Q158" i="46"/>
  <c r="Q424" i="28"/>
  <c r="Q126" i="46"/>
  <c r="Q392" i="28"/>
  <c r="Q94" i="46"/>
  <c r="Q360" i="28"/>
  <c r="Q62" i="46"/>
  <c r="Q328" i="28"/>
  <c r="Q30" i="46"/>
  <c r="Q493" i="28"/>
  <c r="Q195" i="46"/>
  <c r="Q461" i="28"/>
  <c r="Q163" i="46"/>
  <c r="Q429" i="28"/>
  <c r="Q131" i="46"/>
  <c r="Q397" i="28"/>
  <c r="Q99" i="46"/>
  <c r="Q365" i="28"/>
  <c r="Q67" i="46"/>
  <c r="Q333" i="28"/>
  <c r="Q35" i="46"/>
  <c r="Q420" i="28"/>
  <c r="Q122" i="46"/>
  <c r="Q340" i="28"/>
  <c r="Q42" i="46"/>
  <c r="Q393" i="28"/>
  <c r="Q95" i="46"/>
  <c r="Q484" i="28"/>
  <c r="Q186" i="46"/>
  <c r="Q452" i="28"/>
  <c r="Q154" i="46"/>
  <c r="Q412" i="28"/>
  <c r="Q114" i="46"/>
  <c r="Q364" i="28"/>
  <c r="Q66" i="46"/>
  <c r="Q497" i="28"/>
  <c r="Q199" i="46"/>
  <c r="Q305" i="28"/>
  <c r="Q7" i="46"/>
  <c r="Q483" i="28"/>
  <c r="Q185" i="46"/>
  <c r="Q451" i="28"/>
  <c r="Q153" i="46"/>
  <c r="Q419" i="28"/>
  <c r="Q121" i="46"/>
  <c r="Q387" i="28"/>
  <c r="Q89" i="46"/>
  <c r="Q355" i="28"/>
  <c r="Q57" i="46"/>
  <c r="Q323" i="28"/>
  <c r="Q25" i="46"/>
  <c r="Q402" i="28"/>
  <c r="Q104" i="46"/>
  <c r="Q338" i="28"/>
  <c r="Q40" i="46"/>
  <c r="Q425" i="28"/>
  <c r="Q127" i="46"/>
  <c r="Q490" i="28"/>
  <c r="Q192" i="46"/>
  <c r="Q458" i="28"/>
  <c r="Q160" i="46"/>
  <c r="Q418" i="28"/>
  <c r="Q120" i="46"/>
  <c r="Q362" i="28"/>
  <c r="Q64" i="46"/>
  <c r="Q191" i="46"/>
  <c r="Q489" i="28"/>
  <c r="Q313" i="28"/>
  <c r="Q15" i="46"/>
  <c r="N60" i="46"/>
  <c r="H358" i="28" s="1"/>
  <c r="M60" i="46"/>
  <c r="N105" i="46"/>
  <c r="H403" i="28" s="1"/>
  <c r="M105" i="46"/>
  <c r="N144" i="46"/>
  <c r="H442" i="28" s="1"/>
  <c r="M144" i="46"/>
  <c r="M23" i="46"/>
  <c r="N23" i="46"/>
  <c r="H321" i="28" s="1"/>
  <c r="N75" i="46"/>
  <c r="H373" i="28" s="1"/>
  <c r="M75" i="46"/>
  <c r="Q408" i="28"/>
  <c r="Q110" i="46"/>
  <c r="Q147" i="46"/>
  <c r="Q445" i="28"/>
  <c r="Q317" i="28"/>
  <c r="Q19" i="46"/>
  <c r="Q468" i="28"/>
  <c r="Q170" i="46"/>
  <c r="Q409" i="28"/>
  <c r="Q111" i="46"/>
  <c r="Q307" i="28"/>
  <c r="Q9" i="46"/>
  <c r="N29" i="46"/>
  <c r="H327" i="28" s="1"/>
  <c r="M29" i="46"/>
  <c r="M181" i="46"/>
  <c r="N181" i="46"/>
  <c r="H479" i="28" s="1"/>
  <c r="N21" i="46"/>
  <c r="H319" i="28" s="1"/>
  <c r="M21" i="46"/>
  <c r="M197" i="46"/>
  <c r="N197" i="46"/>
  <c r="H495" i="28" s="1"/>
  <c r="M149" i="46"/>
  <c r="N149" i="46"/>
  <c r="H447" i="28" s="1"/>
  <c r="M117" i="46"/>
  <c r="N117" i="46"/>
  <c r="H415" i="28" s="1"/>
  <c r="N85" i="46"/>
  <c r="H383" i="28" s="1"/>
  <c r="M85" i="46"/>
  <c r="N53" i="46"/>
  <c r="H351" i="28" s="1"/>
  <c r="M53" i="46"/>
  <c r="N25" i="46"/>
  <c r="H323" i="28" s="1"/>
  <c r="M25" i="46"/>
  <c r="N22" i="46"/>
  <c r="H320" i="28" s="1"/>
  <c r="M22" i="46"/>
  <c r="N96" i="46"/>
  <c r="H394" i="28" s="1"/>
  <c r="M96" i="46"/>
  <c r="N90" i="46"/>
  <c r="H388" i="28" s="1"/>
  <c r="M90" i="46"/>
  <c r="M164" i="46"/>
  <c r="N164" i="46"/>
  <c r="H462" i="28" s="1"/>
  <c r="M148" i="46"/>
  <c r="N148" i="46"/>
  <c r="H446" i="28" s="1"/>
  <c r="M116" i="46"/>
  <c r="N116" i="46"/>
  <c r="H414" i="28" s="1"/>
  <c r="N86" i="46"/>
  <c r="H384" i="28" s="1"/>
  <c r="M86" i="46"/>
  <c r="N203" i="46"/>
  <c r="H501" i="28" s="1"/>
  <c r="M203" i="46"/>
  <c r="M183" i="46"/>
  <c r="N183" i="46"/>
  <c r="H481" i="28" s="1"/>
  <c r="N155" i="46"/>
  <c r="H453" i="28" s="1"/>
  <c r="M155" i="46"/>
  <c r="N123" i="46"/>
  <c r="H421" i="28" s="1"/>
  <c r="M123" i="46"/>
  <c r="N91" i="46"/>
  <c r="H389" i="28" s="1"/>
  <c r="M91" i="46"/>
  <c r="N94" i="46"/>
  <c r="H392" i="28" s="1"/>
  <c r="M94" i="46"/>
  <c r="M199" i="46"/>
  <c r="N199" i="46"/>
  <c r="H497" i="28" s="1"/>
  <c r="N151" i="46"/>
  <c r="H449" i="28" s="1"/>
  <c r="M151" i="46"/>
  <c r="M119" i="46"/>
  <c r="N119" i="46"/>
  <c r="H417" i="28" s="1"/>
  <c r="N87" i="46"/>
  <c r="H385" i="28" s="1"/>
  <c r="M87" i="46"/>
  <c r="M198" i="46"/>
  <c r="N198" i="46"/>
  <c r="H496" i="28" s="1"/>
  <c r="N182" i="46"/>
  <c r="H480" i="28" s="1"/>
  <c r="M182" i="46"/>
  <c r="N166" i="46"/>
  <c r="H464" i="28" s="1"/>
  <c r="M166" i="46"/>
  <c r="N150" i="46"/>
  <c r="H448" i="28" s="1"/>
  <c r="M150" i="46"/>
  <c r="N134" i="46"/>
  <c r="H432" i="28" s="1"/>
  <c r="M134" i="46"/>
  <c r="N118" i="46"/>
  <c r="H416" i="28" s="1"/>
  <c r="M118" i="46"/>
  <c r="N102" i="46"/>
  <c r="H400" i="28" s="1"/>
  <c r="M102" i="46"/>
  <c r="N50" i="46"/>
  <c r="H348" i="28" s="1"/>
  <c r="M50" i="46"/>
  <c r="Q471" i="28"/>
  <c r="Q173" i="46"/>
  <c r="Q439" i="28"/>
  <c r="Q141" i="46"/>
  <c r="Q407" i="28"/>
  <c r="Q109" i="46"/>
  <c r="Q375" i="28"/>
  <c r="Q77" i="46"/>
  <c r="Q343" i="28"/>
  <c r="Q45" i="46"/>
  <c r="Q311" i="28"/>
  <c r="Q13" i="46"/>
  <c r="Q382" i="28"/>
  <c r="Q84" i="46"/>
  <c r="Q28" i="46"/>
  <c r="Q326" i="28"/>
  <c r="Q329" i="28"/>
  <c r="Q31" i="46"/>
  <c r="Q478" i="28"/>
  <c r="Q180" i="46"/>
  <c r="Q438" i="28"/>
  <c r="Q140" i="46"/>
  <c r="Q390" i="28"/>
  <c r="Q92" i="46"/>
  <c r="Q318" i="28"/>
  <c r="Q20" i="46"/>
  <c r="Q369" i="28"/>
  <c r="Q71" i="46"/>
  <c r="W121" i="46"/>
  <c r="L419" i="28" s="1"/>
  <c r="W69" i="46"/>
  <c r="L367" i="28" s="1"/>
  <c r="W32" i="46"/>
  <c r="L330" i="28" s="1"/>
  <c r="W78" i="46"/>
  <c r="L376" i="28" s="1"/>
  <c r="W74" i="46"/>
  <c r="L372" i="28" s="1"/>
  <c r="W181" i="46"/>
  <c r="L479" i="28" s="1"/>
  <c r="W21" i="46"/>
  <c r="L319" i="28" s="1"/>
  <c r="W197" i="46"/>
  <c r="L495" i="28" s="1"/>
  <c r="W125" i="46"/>
  <c r="L423" i="28" s="1"/>
  <c r="W93" i="46"/>
  <c r="L391" i="28" s="1"/>
  <c r="W61" i="46"/>
  <c r="L359" i="28" s="1"/>
  <c r="W9" i="46"/>
  <c r="L307" i="28" s="1"/>
  <c r="W80" i="46"/>
  <c r="L378" i="28" s="1"/>
  <c r="W160" i="46"/>
  <c r="L458" i="28" s="1"/>
  <c r="W84" i="46"/>
  <c r="L382" i="28" s="1"/>
  <c r="W48" i="46"/>
  <c r="L346" i="28" s="1"/>
  <c r="W12" i="46"/>
  <c r="L310" i="28" s="1"/>
  <c r="W187" i="46"/>
  <c r="L485" i="28" s="1"/>
  <c r="W163" i="46"/>
  <c r="L461" i="28" s="1"/>
  <c r="W131" i="46"/>
  <c r="L429" i="28" s="1"/>
  <c r="W99" i="46"/>
  <c r="L397" i="28" s="1"/>
  <c r="W10" i="46"/>
  <c r="L308" i="28" s="1"/>
  <c r="W159" i="46"/>
  <c r="L457" i="28" s="1"/>
  <c r="W79" i="46"/>
  <c r="L377" i="28" s="1"/>
  <c r="W198" i="46"/>
  <c r="L496" i="28" s="1"/>
  <c r="W102" i="46"/>
  <c r="L400" i="28" s="1"/>
  <c r="W201" i="46"/>
  <c r="L499" i="28" s="1"/>
  <c r="W144" i="46"/>
  <c r="L442" i="28" s="1"/>
  <c r="W67" i="46"/>
  <c r="L365" i="28" s="1"/>
  <c r="W193" i="46"/>
  <c r="L491" i="28" s="1"/>
  <c r="W145" i="46"/>
  <c r="L443" i="28" s="1"/>
  <c r="W113" i="46"/>
  <c r="L411" i="28" s="1"/>
  <c r="W81" i="46"/>
  <c r="L379" i="28" s="1"/>
  <c r="W45" i="46"/>
  <c r="L343" i="28" s="1"/>
  <c r="W13" i="46"/>
  <c r="L311" i="28" s="1"/>
  <c r="W177" i="46"/>
  <c r="L475" i="28" s="1"/>
  <c r="W149" i="46"/>
  <c r="L447" i="28" s="1"/>
  <c r="W33" i="46"/>
  <c r="L331" i="28" s="1"/>
  <c r="W62" i="46"/>
  <c r="L360" i="28" s="1"/>
  <c r="W136" i="46"/>
  <c r="L434" i="28" s="1"/>
  <c r="W52" i="46"/>
  <c r="L350" i="28" s="1"/>
  <c r="W24" i="46"/>
  <c r="L322" i="28" s="1"/>
  <c r="W23" i="46"/>
  <c r="L321" i="28" s="1"/>
  <c r="W54" i="46"/>
  <c r="L352" i="28" s="1"/>
  <c r="W196" i="46"/>
  <c r="L494" i="28" s="1"/>
  <c r="W180" i="46"/>
  <c r="L478" i="28" s="1"/>
  <c r="W148" i="46"/>
  <c r="L446" i="28" s="1"/>
  <c r="W116" i="46"/>
  <c r="L414" i="28" s="1"/>
  <c r="W86" i="46"/>
  <c r="L384" i="28" s="1"/>
  <c r="W59" i="46"/>
  <c r="L357" i="28" s="1"/>
  <c r="W39" i="46"/>
  <c r="L337" i="28" s="1"/>
  <c r="W46" i="46"/>
  <c r="L344" i="28" s="1"/>
  <c r="W182" i="46"/>
  <c r="L480" i="28" s="1"/>
  <c r="W170" i="46"/>
  <c r="L468" i="28" s="1"/>
  <c r="W158" i="46"/>
  <c r="L456" i="28" s="1"/>
  <c r="W142" i="46"/>
  <c r="L440" i="28" s="1"/>
  <c r="W126" i="46"/>
  <c r="L424" i="28" s="1"/>
  <c r="W114" i="46"/>
  <c r="L412" i="28" s="1"/>
  <c r="W50" i="46"/>
  <c r="L348" i="28" s="1"/>
  <c r="W89" i="46"/>
  <c r="L387" i="28" s="1"/>
  <c r="W112" i="46"/>
  <c r="L410" i="28" s="1"/>
  <c r="W55" i="46"/>
  <c r="L353" i="28" s="1"/>
  <c r="W173" i="46"/>
  <c r="L471" i="28" s="1"/>
  <c r="W117" i="46"/>
  <c r="L415" i="28" s="1"/>
  <c r="W85" i="46"/>
  <c r="L383" i="28" s="1"/>
  <c r="W104" i="46"/>
  <c r="L402" i="28" s="1"/>
  <c r="W76" i="46"/>
  <c r="L374" i="28" s="1"/>
  <c r="W30" i="46"/>
  <c r="L328" i="28" s="1"/>
  <c r="W192" i="46"/>
  <c r="L490" i="28" s="1"/>
  <c r="W72" i="46"/>
  <c r="L370" i="28" s="1"/>
  <c r="W36" i="46"/>
  <c r="L334" i="28" s="1"/>
  <c r="W51" i="46"/>
  <c r="L349" i="28" s="1"/>
  <c r="W203" i="46"/>
  <c r="L501" i="28" s="1"/>
  <c r="W183" i="46"/>
  <c r="L481" i="28" s="1"/>
  <c r="W155" i="46"/>
  <c r="L453" i="28" s="1"/>
  <c r="W123" i="46"/>
  <c r="L421" i="28" s="1"/>
  <c r="W91" i="46"/>
  <c r="L389" i="28" s="1"/>
  <c r="W94" i="46"/>
  <c r="L392" i="28" s="1"/>
  <c r="W199" i="46"/>
  <c r="L497" i="28" s="1"/>
  <c r="W151" i="46"/>
  <c r="L449" i="28" s="1"/>
  <c r="W127" i="46"/>
  <c r="L425" i="28" s="1"/>
  <c r="W103" i="46"/>
  <c r="L401" i="28" s="1"/>
  <c r="W194" i="46"/>
  <c r="L492" i="28" s="1"/>
  <c r="W98" i="46"/>
  <c r="L396" i="28" s="1"/>
  <c r="W164" i="46"/>
  <c r="L462" i="28" s="1"/>
  <c r="W14" i="46"/>
  <c r="L312" i="28" s="1"/>
  <c r="W169" i="46"/>
  <c r="L467" i="28" s="1"/>
  <c r="W137" i="46"/>
  <c r="L435" i="28" s="1"/>
  <c r="W105" i="46"/>
  <c r="L403" i="28" s="1"/>
  <c r="W77" i="46"/>
  <c r="L375" i="28" s="1"/>
  <c r="W53" i="46"/>
  <c r="L351" i="28" s="1"/>
  <c r="W128" i="46"/>
  <c r="L426" i="28" s="1"/>
  <c r="W44" i="46"/>
  <c r="L342" i="28" s="1"/>
  <c r="W16" i="46"/>
  <c r="L314" i="28" s="1"/>
  <c r="W11" i="46"/>
  <c r="L309" i="28" s="1"/>
  <c r="W176" i="46"/>
  <c r="L474" i="28" s="1"/>
  <c r="W140" i="46"/>
  <c r="L438" i="28" s="1"/>
  <c r="W108" i="46"/>
  <c r="L406" i="28" s="1"/>
  <c r="W58" i="46"/>
  <c r="L356" i="28" s="1"/>
  <c r="W83" i="46"/>
  <c r="L381" i="28" s="1"/>
  <c r="W43" i="46"/>
  <c r="L341" i="28" s="1"/>
  <c r="W71" i="46"/>
  <c r="L369" i="28" s="1"/>
  <c r="W31" i="46"/>
  <c r="L329" i="28" s="1"/>
  <c r="W166" i="46"/>
  <c r="L464" i="28" s="1"/>
  <c r="W154" i="46"/>
  <c r="L452" i="28" s="1"/>
  <c r="W138" i="46"/>
  <c r="L436" i="28" s="1"/>
  <c r="W122" i="46"/>
  <c r="L420" i="28" s="1"/>
  <c r="W153" i="46"/>
  <c r="L451" i="28" s="1"/>
  <c r="W60" i="46"/>
  <c r="L358" i="28" s="1"/>
  <c r="W124" i="46"/>
  <c r="L422" i="28" s="1"/>
  <c r="W135" i="46"/>
  <c r="L433" i="28" s="1"/>
  <c r="W186" i="46"/>
  <c r="L484" i="28" s="1"/>
  <c r="W146" i="46"/>
  <c r="L444" i="28" s="1"/>
  <c r="W189" i="46"/>
  <c r="L487" i="28" s="1"/>
  <c r="W73" i="46"/>
  <c r="L371" i="28" s="1"/>
  <c r="W37" i="46"/>
  <c r="L335" i="28" s="1"/>
  <c r="W70" i="46"/>
  <c r="L368" i="28" s="1"/>
  <c r="W165" i="46"/>
  <c r="L463" i="28" s="1"/>
  <c r="W141" i="46"/>
  <c r="L439" i="28" s="1"/>
  <c r="W109" i="46"/>
  <c r="L407" i="28" s="1"/>
  <c r="W49" i="46"/>
  <c r="L347" i="28" s="1"/>
  <c r="W25" i="46"/>
  <c r="L323" i="28" s="1"/>
  <c r="W22" i="46"/>
  <c r="L320" i="28" s="1"/>
  <c r="W168" i="46"/>
  <c r="L466" i="28" s="1"/>
  <c r="W156" i="46"/>
  <c r="L454" i="28" s="1"/>
  <c r="W64" i="46"/>
  <c r="L362" i="28" s="1"/>
  <c r="W28" i="46"/>
  <c r="L326" i="28" s="1"/>
  <c r="W27" i="46"/>
  <c r="L325" i="28" s="1"/>
  <c r="W195" i="46"/>
  <c r="L493" i="28" s="1"/>
  <c r="W175" i="46"/>
  <c r="L473" i="28" s="1"/>
  <c r="W147" i="46"/>
  <c r="L445" i="28" s="1"/>
  <c r="W115" i="46"/>
  <c r="L413" i="28" s="1"/>
  <c r="W66" i="46"/>
  <c r="L364" i="28" s="1"/>
  <c r="W179" i="46"/>
  <c r="L477" i="28" s="1"/>
  <c r="W143" i="46"/>
  <c r="L441" i="28" s="1"/>
  <c r="W95" i="46"/>
  <c r="L393" i="28" s="1"/>
  <c r="W18" i="46"/>
  <c r="L316" i="28" s="1"/>
  <c r="W190" i="46"/>
  <c r="L488" i="28" s="1"/>
  <c r="W178" i="46"/>
  <c r="L476" i="28" s="1"/>
  <c r="W110" i="46"/>
  <c r="L408" i="28" s="1"/>
  <c r="W82" i="46"/>
  <c r="L380" i="28" s="1"/>
  <c r="W34" i="46"/>
  <c r="L332" i="28" s="1"/>
  <c r="W19" i="46"/>
  <c r="L317" i="28" s="1"/>
  <c r="W185" i="46"/>
  <c r="L483" i="28" s="1"/>
  <c r="W161" i="46"/>
  <c r="L459" i="28" s="1"/>
  <c r="W129" i="46"/>
  <c r="L427" i="28" s="1"/>
  <c r="W97" i="46"/>
  <c r="L395" i="28" s="1"/>
  <c r="W65" i="46"/>
  <c r="L363" i="28" s="1"/>
  <c r="W29" i="46"/>
  <c r="L327" i="28" s="1"/>
  <c r="W17" i="46"/>
  <c r="L315" i="28" s="1"/>
  <c r="W120" i="46"/>
  <c r="L418" i="28" s="1"/>
  <c r="W96" i="46"/>
  <c r="L394" i="28" s="1"/>
  <c r="W68" i="46"/>
  <c r="L366" i="28" s="1"/>
  <c r="W40" i="46"/>
  <c r="L338" i="28" s="1"/>
  <c r="W8" i="46"/>
  <c r="L306" i="28" s="1"/>
  <c r="W204" i="46"/>
  <c r="L502" i="28" s="1"/>
  <c r="W188" i="46"/>
  <c r="L486" i="28" s="1"/>
  <c r="W132" i="46"/>
  <c r="L430" i="28" s="1"/>
  <c r="W100" i="46"/>
  <c r="L398" i="28" s="1"/>
  <c r="W75" i="46"/>
  <c r="L373" i="28" s="1"/>
  <c r="W35" i="46"/>
  <c r="L333" i="28" s="1"/>
  <c r="W119" i="46"/>
  <c r="L417" i="28" s="1"/>
  <c r="W63" i="46"/>
  <c r="L361" i="28" s="1"/>
  <c r="W15" i="46"/>
  <c r="L313" i="28" s="1"/>
  <c r="W150" i="46"/>
  <c r="L448" i="28" s="1"/>
  <c r="W134" i="46"/>
  <c r="L432" i="28" s="1"/>
  <c r="W57" i="46"/>
  <c r="L355" i="28" s="1"/>
  <c r="W41" i="46"/>
  <c r="L339" i="28" s="1"/>
  <c r="W47" i="46"/>
  <c r="L345" i="28" s="1"/>
  <c r="W92" i="46"/>
  <c r="L390" i="28" s="1"/>
  <c r="W111" i="46"/>
  <c r="L409" i="28" s="1"/>
  <c r="W130" i="46"/>
  <c r="L428" i="28" s="1"/>
  <c r="W26" i="46"/>
  <c r="L324" i="28" s="1"/>
  <c r="W157" i="46"/>
  <c r="L455" i="28" s="1"/>
  <c r="W133" i="46"/>
  <c r="L431" i="28" s="1"/>
  <c r="W101" i="46"/>
  <c r="L399" i="28" s="1"/>
  <c r="W172" i="46"/>
  <c r="L470" i="28" s="1"/>
  <c r="W88" i="46"/>
  <c r="L386" i="28" s="1"/>
  <c r="W90" i="46"/>
  <c r="L388" i="28" s="1"/>
  <c r="W200" i="46"/>
  <c r="L498" i="28" s="1"/>
  <c r="W184" i="46"/>
  <c r="L482" i="28" s="1"/>
  <c r="W152" i="46"/>
  <c r="L450" i="28" s="1"/>
  <c r="W56" i="46"/>
  <c r="L354" i="28" s="1"/>
  <c r="W20" i="46"/>
  <c r="L318" i="28" s="1"/>
  <c r="W7" i="46"/>
  <c r="L305" i="28" s="1"/>
  <c r="W42" i="46"/>
  <c r="L340" i="28" s="1"/>
  <c r="W191" i="46"/>
  <c r="L489" i="28" s="1"/>
  <c r="W171" i="46"/>
  <c r="L469" i="28" s="1"/>
  <c r="W139" i="46"/>
  <c r="L437" i="28" s="1"/>
  <c r="W107" i="46"/>
  <c r="L405" i="28" s="1"/>
  <c r="W38" i="46"/>
  <c r="L336" i="28" s="1"/>
  <c r="W167" i="46"/>
  <c r="L465" i="28" s="1"/>
  <c r="W87" i="46"/>
  <c r="L385" i="28" s="1"/>
  <c r="W202" i="46"/>
  <c r="L500" i="28" s="1"/>
  <c r="W174" i="46"/>
  <c r="L472" i="28" s="1"/>
  <c r="W162" i="46"/>
  <c r="L460" i="28" s="1"/>
  <c r="W118" i="46"/>
  <c r="L416" i="28" s="1"/>
  <c r="W106" i="46"/>
  <c r="L404" i="28" s="1"/>
  <c r="W6" i="46"/>
  <c r="L304" i="28" s="1"/>
  <c r="W5" i="46"/>
  <c r="L303" i="28" s="1"/>
  <c r="AB5" i="27"/>
  <c r="Y3" i="27" l="1"/>
  <c r="AD3" i="27" s="1"/>
  <c r="AD5" i="27"/>
  <c r="M7" i="46"/>
  <c r="O7" i="46" s="1"/>
  <c r="R7" i="46" s="1"/>
  <c r="Q203" i="28"/>
  <c r="M6" i="46"/>
  <c r="G304" i="28" s="1"/>
  <c r="G428" i="28"/>
  <c r="O130" i="46"/>
  <c r="R130" i="46" s="1"/>
  <c r="G364" i="28"/>
  <c r="O66" i="46"/>
  <c r="R66" i="46" s="1"/>
  <c r="G493" i="28"/>
  <c r="O195" i="46"/>
  <c r="R195" i="46" s="1"/>
  <c r="G344" i="28"/>
  <c r="O46" i="46"/>
  <c r="R46" i="46" s="1"/>
  <c r="G330" i="28"/>
  <c r="O32" i="46"/>
  <c r="R32" i="46" s="1"/>
  <c r="G362" i="28"/>
  <c r="O64" i="46"/>
  <c r="R64" i="46" s="1"/>
  <c r="G401" i="28"/>
  <c r="O103" i="46"/>
  <c r="R103" i="46" s="1"/>
  <c r="G335" i="28"/>
  <c r="O37" i="46"/>
  <c r="R37" i="46" s="1"/>
  <c r="G495" i="28"/>
  <c r="O197" i="46"/>
  <c r="R197" i="46" s="1"/>
  <c r="O201" i="46"/>
  <c r="R201" i="46" s="1"/>
  <c r="G499" i="28"/>
  <c r="G420" i="28"/>
  <c r="O122" i="46"/>
  <c r="R122" i="46" s="1"/>
  <c r="G484" i="28"/>
  <c r="O186" i="46"/>
  <c r="R186" i="46" s="1"/>
  <c r="G457" i="28"/>
  <c r="O159" i="46"/>
  <c r="R159" i="46" s="1"/>
  <c r="G423" i="28"/>
  <c r="O125" i="46"/>
  <c r="R125" i="46" s="1"/>
  <c r="G466" i="28"/>
  <c r="O168" i="46"/>
  <c r="R168" i="46" s="1"/>
  <c r="G474" i="28"/>
  <c r="O176" i="46"/>
  <c r="R176" i="46" s="1"/>
  <c r="G399" i="28"/>
  <c r="O101" i="46"/>
  <c r="R101" i="46" s="1"/>
  <c r="G418" i="28"/>
  <c r="O120" i="46"/>
  <c r="R120" i="46" s="1"/>
  <c r="G492" i="28"/>
  <c r="O194" i="46"/>
  <c r="R194" i="46" s="1"/>
  <c r="G478" i="28"/>
  <c r="O180" i="46"/>
  <c r="R180" i="46" s="1"/>
  <c r="G407" i="28"/>
  <c r="O109" i="46"/>
  <c r="R109" i="46" s="1"/>
  <c r="G337" i="28"/>
  <c r="O39" i="46"/>
  <c r="R39" i="46" s="1"/>
  <c r="G384" i="28"/>
  <c r="O86" i="46"/>
  <c r="R86" i="46" s="1"/>
  <c r="G432" i="28"/>
  <c r="O134" i="46"/>
  <c r="R134" i="46" s="1"/>
  <c r="G453" i="28"/>
  <c r="O155" i="46"/>
  <c r="R155" i="46" s="1"/>
  <c r="G394" i="28"/>
  <c r="O96" i="46"/>
  <c r="R96" i="46" s="1"/>
  <c r="G383" i="28"/>
  <c r="O85" i="46"/>
  <c r="R85" i="46" s="1"/>
  <c r="G319" i="28"/>
  <c r="O21" i="46"/>
  <c r="R21" i="46" s="1"/>
  <c r="G403" i="28"/>
  <c r="O105" i="46"/>
  <c r="R105" i="46" s="1"/>
  <c r="G353" i="28"/>
  <c r="O55" i="46"/>
  <c r="R55" i="46" s="1"/>
  <c r="G382" i="28"/>
  <c r="O84" i="46"/>
  <c r="R84" i="46" s="1"/>
  <c r="G338" i="28"/>
  <c r="O40" i="46"/>
  <c r="R40" i="46" s="1"/>
  <c r="G387" i="28"/>
  <c r="O89" i="46"/>
  <c r="R89" i="46" s="1"/>
  <c r="G363" i="28"/>
  <c r="O65" i="46"/>
  <c r="R65" i="46" s="1"/>
  <c r="G315" i="28"/>
  <c r="O17" i="46"/>
  <c r="R17" i="46" s="1"/>
  <c r="G436" i="28"/>
  <c r="O138" i="46"/>
  <c r="R138" i="46" s="1"/>
  <c r="G308" i="28"/>
  <c r="O10" i="46"/>
  <c r="R10" i="46" s="1"/>
  <c r="G485" i="28"/>
  <c r="O187" i="46"/>
  <c r="R187" i="46" s="1"/>
  <c r="G309" i="28"/>
  <c r="O11" i="46"/>
  <c r="R11" i="46" s="1"/>
  <c r="G325" i="28"/>
  <c r="O27" i="46"/>
  <c r="R27" i="46" s="1"/>
  <c r="G313" i="28"/>
  <c r="O15" i="46"/>
  <c r="R15" i="46" s="1"/>
  <c r="G312" i="28"/>
  <c r="O14" i="46"/>
  <c r="R14" i="46" s="1"/>
  <c r="G314" i="28"/>
  <c r="O16" i="46"/>
  <c r="R16" i="46" s="1"/>
  <c r="G395" i="28"/>
  <c r="O97" i="46"/>
  <c r="R97" i="46" s="1"/>
  <c r="G328" i="28"/>
  <c r="O30" i="46"/>
  <c r="R30" i="46" s="1"/>
  <c r="G408" i="28"/>
  <c r="O110" i="46"/>
  <c r="R110" i="46" s="1"/>
  <c r="G472" i="28"/>
  <c r="O174" i="46"/>
  <c r="R174" i="46" s="1"/>
  <c r="G433" i="28"/>
  <c r="O135" i="46"/>
  <c r="R135" i="46" s="1"/>
  <c r="G437" i="28"/>
  <c r="O139" i="46"/>
  <c r="R139" i="46" s="1"/>
  <c r="G398" i="28"/>
  <c r="O100" i="46"/>
  <c r="R100" i="46" s="1"/>
  <c r="G307" i="28"/>
  <c r="O9" i="46"/>
  <c r="R9" i="46" s="1"/>
  <c r="G431" i="28"/>
  <c r="O133" i="46"/>
  <c r="R133" i="46" s="1"/>
  <c r="G371" i="28"/>
  <c r="O73" i="46"/>
  <c r="R73" i="46" s="1"/>
  <c r="G343" i="28"/>
  <c r="O45" i="46"/>
  <c r="R45" i="46" s="1"/>
  <c r="G332" i="28"/>
  <c r="O34" i="46"/>
  <c r="R34" i="46" s="1"/>
  <c r="G444" i="28"/>
  <c r="O146" i="46"/>
  <c r="R146" i="46" s="1"/>
  <c r="G413" i="28"/>
  <c r="O115" i="46"/>
  <c r="R115" i="46" s="1"/>
  <c r="G356" i="28"/>
  <c r="O58" i="46"/>
  <c r="R58" i="46" s="1"/>
  <c r="G439" i="28"/>
  <c r="O141" i="46"/>
  <c r="R141" i="46" s="1"/>
  <c r="G341" i="28"/>
  <c r="O43" i="46"/>
  <c r="R43" i="46" s="1"/>
  <c r="G480" i="28"/>
  <c r="O182" i="46"/>
  <c r="R182" i="46" s="1"/>
  <c r="G306" i="28"/>
  <c r="O8" i="46"/>
  <c r="R8" i="46" s="1"/>
  <c r="O169" i="46"/>
  <c r="R169" i="46" s="1"/>
  <c r="G467" i="28"/>
  <c r="G450" i="28"/>
  <c r="O152" i="46"/>
  <c r="R152" i="46" s="1"/>
  <c r="G496" i="28"/>
  <c r="O198" i="46"/>
  <c r="R198" i="46" s="1"/>
  <c r="G497" i="28"/>
  <c r="O199" i="46"/>
  <c r="R199" i="46" s="1"/>
  <c r="G414" i="28"/>
  <c r="O116" i="46"/>
  <c r="R116" i="46" s="1"/>
  <c r="G329" i="28"/>
  <c r="O31" i="46"/>
  <c r="R31" i="46" s="1"/>
  <c r="G500" i="28"/>
  <c r="O202" i="46"/>
  <c r="R202" i="46" s="1"/>
  <c r="G486" i="28"/>
  <c r="O188" i="46"/>
  <c r="R188" i="46" s="1"/>
  <c r="G455" i="28"/>
  <c r="O157" i="46"/>
  <c r="R157" i="46" s="1"/>
  <c r="G359" i="28"/>
  <c r="O61" i="46"/>
  <c r="R61" i="46" s="1"/>
  <c r="G345" i="28"/>
  <c r="O47" i="46"/>
  <c r="R47" i="46" s="1"/>
  <c r="G490" i="28"/>
  <c r="O192" i="46"/>
  <c r="R192" i="46" s="1"/>
  <c r="G409" i="28"/>
  <c r="O111" i="46"/>
  <c r="R111" i="46" s="1"/>
  <c r="G494" i="28"/>
  <c r="O196" i="46"/>
  <c r="R196" i="46" s="1"/>
  <c r="G377" i="28"/>
  <c r="O79" i="46"/>
  <c r="R79" i="46" s="1"/>
  <c r="G375" i="28"/>
  <c r="O77" i="46"/>
  <c r="R77" i="46" s="1"/>
  <c r="G449" i="28"/>
  <c r="O151" i="46"/>
  <c r="R151" i="46" s="1"/>
  <c r="G380" i="28"/>
  <c r="O82" i="46"/>
  <c r="R82" i="46" s="1"/>
  <c r="G348" i="28"/>
  <c r="O50" i="46"/>
  <c r="R50" i="46" s="1"/>
  <c r="G448" i="28"/>
  <c r="O150" i="46"/>
  <c r="R150" i="46" s="1"/>
  <c r="G385" i="28"/>
  <c r="O87" i="46"/>
  <c r="R87" i="46" s="1"/>
  <c r="G392" i="28"/>
  <c r="O94" i="46"/>
  <c r="R94" i="46" s="1"/>
  <c r="G320" i="28"/>
  <c r="O22" i="46"/>
  <c r="R22" i="46" s="1"/>
  <c r="G373" i="28"/>
  <c r="O75" i="46"/>
  <c r="R75" i="46" s="1"/>
  <c r="G358" i="28"/>
  <c r="O60" i="46"/>
  <c r="R60" i="46" s="1"/>
  <c r="G357" i="28"/>
  <c r="O59" i="46"/>
  <c r="R59" i="46" s="1"/>
  <c r="G366" i="28"/>
  <c r="O68" i="46"/>
  <c r="R68" i="46" s="1"/>
  <c r="G326" i="28"/>
  <c r="O28" i="46"/>
  <c r="R28" i="46" s="1"/>
  <c r="G372" i="28"/>
  <c r="O74" i="46"/>
  <c r="R74" i="46" s="1"/>
  <c r="G452" i="28"/>
  <c r="O154" i="46"/>
  <c r="R154" i="46" s="1"/>
  <c r="G397" i="28"/>
  <c r="O99" i="46"/>
  <c r="R99" i="46" s="1"/>
  <c r="G390" i="28"/>
  <c r="O92" i="46"/>
  <c r="R92" i="46" s="1"/>
  <c r="G324" i="28"/>
  <c r="O26" i="46"/>
  <c r="R26" i="46" s="1"/>
  <c r="G342" i="28"/>
  <c r="O44" i="46"/>
  <c r="R44" i="46" s="1"/>
  <c r="G427" i="28"/>
  <c r="O129" i="46"/>
  <c r="R129" i="46" s="1"/>
  <c r="G322" i="28"/>
  <c r="O24" i="46"/>
  <c r="R24" i="46" s="1"/>
  <c r="G347" i="28"/>
  <c r="O49" i="46"/>
  <c r="R49" i="46" s="1"/>
  <c r="G361" i="28"/>
  <c r="O63" i="46"/>
  <c r="R63" i="46" s="1"/>
  <c r="G374" i="28"/>
  <c r="O76" i="46"/>
  <c r="R76" i="46" s="1"/>
  <c r="G459" i="28"/>
  <c r="O161" i="46"/>
  <c r="R161" i="46" s="1"/>
  <c r="G424" i="28"/>
  <c r="O126" i="46"/>
  <c r="R126" i="46" s="1"/>
  <c r="G469" i="28"/>
  <c r="O171" i="46"/>
  <c r="R171" i="46" s="1"/>
  <c r="G430" i="28"/>
  <c r="O132" i="46"/>
  <c r="R132" i="46" s="1"/>
  <c r="G339" i="28"/>
  <c r="O41" i="46"/>
  <c r="R41" i="46" s="1"/>
  <c r="G378" i="28"/>
  <c r="O80" i="46"/>
  <c r="R80" i="46" s="1"/>
  <c r="G396" i="28"/>
  <c r="O98" i="46"/>
  <c r="R98" i="46" s="1"/>
  <c r="G460" i="28"/>
  <c r="O162" i="46"/>
  <c r="R162" i="46" s="1"/>
  <c r="G441" i="28"/>
  <c r="O143" i="46"/>
  <c r="R143" i="46" s="1"/>
  <c r="G445" i="28"/>
  <c r="O147" i="46"/>
  <c r="R147" i="46" s="1"/>
  <c r="G352" i="28"/>
  <c r="O54" i="46"/>
  <c r="R54" i="46" s="1"/>
  <c r="G381" i="28"/>
  <c r="O83" i="46"/>
  <c r="R83" i="46" s="1"/>
  <c r="G370" i="28"/>
  <c r="O72" i="46"/>
  <c r="R72" i="46" s="1"/>
  <c r="G388" i="28"/>
  <c r="O90" i="46"/>
  <c r="R90" i="46" s="1"/>
  <c r="G376" i="28"/>
  <c r="O78" i="46"/>
  <c r="R78" i="46" s="1"/>
  <c r="G318" i="28"/>
  <c r="O20" i="46"/>
  <c r="R20" i="46" s="1"/>
  <c r="G331" i="28"/>
  <c r="O33" i="46"/>
  <c r="R33" i="46" s="1"/>
  <c r="G456" i="28"/>
  <c r="O158" i="46"/>
  <c r="R158" i="46" s="1"/>
  <c r="G481" i="28"/>
  <c r="O183" i="46"/>
  <c r="R183" i="46" s="1"/>
  <c r="G446" i="28"/>
  <c r="O148" i="46"/>
  <c r="R148" i="46" s="1"/>
  <c r="G415" i="28"/>
  <c r="O117" i="46"/>
  <c r="R117" i="46" s="1"/>
  <c r="G479" i="28"/>
  <c r="O181" i="46"/>
  <c r="R181" i="46" s="1"/>
  <c r="G482" i="28"/>
  <c r="O184" i="46"/>
  <c r="R184" i="46" s="1"/>
  <c r="G419" i="28"/>
  <c r="O121" i="46"/>
  <c r="R121" i="46" s="1"/>
  <c r="O185" i="46"/>
  <c r="R185" i="46" s="1"/>
  <c r="G483" i="28"/>
  <c r="O177" i="46"/>
  <c r="R177" i="46" s="1"/>
  <c r="G475" i="28"/>
  <c r="G393" i="28"/>
  <c r="O95" i="46"/>
  <c r="R95" i="46" s="1"/>
  <c r="G502" i="28"/>
  <c r="O204" i="46"/>
  <c r="R204" i="46" s="1"/>
  <c r="G410" i="28"/>
  <c r="O112" i="46"/>
  <c r="R112" i="46" s="1"/>
  <c r="G488" i="28"/>
  <c r="O190" i="46"/>
  <c r="R190" i="46" s="1"/>
  <c r="G465" i="28"/>
  <c r="O167" i="46"/>
  <c r="R167" i="46" s="1"/>
  <c r="G463" i="28"/>
  <c r="O165" i="46"/>
  <c r="R165" i="46" s="1"/>
  <c r="G487" i="28"/>
  <c r="O189" i="46"/>
  <c r="R189" i="46" s="1"/>
  <c r="G406" i="28"/>
  <c r="O108" i="46"/>
  <c r="R108" i="46" s="1"/>
  <c r="G471" i="28"/>
  <c r="O173" i="46"/>
  <c r="R173" i="46" s="1"/>
  <c r="G411" i="28"/>
  <c r="O113" i="46"/>
  <c r="R113" i="46" s="1"/>
  <c r="G421" i="28"/>
  <c r="O123" i="46"/>
  <c r="R123" i="46" s="1"/>
  <c r="G351" i="28"/>
  <c r="O53" i="46"/>
  <c r="R53" i="46" s="1"/>
  <c r="G442" i="28"/>
  <c r="O144" i="46"/>
  <c r="R144" i="46" s="1"/>
  <c r="G346" i="28"/>
  <c r="O48" i="46"/>
  <c r="R48" i="46" s="1"/>
  <c r="G355" i="28"/>
  <c r="O57" i="46"/>
  <c r="R57" i="46" s="1"/>
  <c r="G365" i="28"/>
  <c r="O67" i="46"/>
  <c r="R67" i="46" s="1"/>
  <c r="O145" i="46"/>
  <c r="R145" i="46" s="1"/>
  <c r="G443" i="28"/>
  <c r="G405" i="28"/>
  <c r="O107" i="46"/>
  <c r="R107" i="46" s="1"/>
  <c r="G333" i="28"/>
  <c r="O35" i="46"/>
  <c r="R35" i="46" s="1"/>
  <c r="G400" i="28"/>
  <c r="O102" i="46"/>
  <c r="R102" i="46" s="1"/>
  <c r="G464" i="28"/>
  <c r="O166" i="46"/>
  <c r="R166" i="46" s="1"/>
  <c r="G389" i="28"/>
  <c r="O91" i="46"/>
  <c r="R91" i="46" s="1"/>
  <c r="G501" i="28"/>
  <c r="O203" i="46"/>
  <c r="R203" i="46" s="1"/>
  <c r="G323" i="28"/>
  <c r="O25" i="46"/>
  <c r="R25" i="46" s="1"/>
  <c r="G327" i="28"/>
  <c r="O29" i="46"/>
  <c r="R29" i="46" s="1"/>
  <c r="G310" i="28"/>
  <c r="O12" i="46"/>
  <c r="R12" i="46" s="1"/>
  <c r="G426" i="28"/>
  <c r="O128" i="46"/>
  <c r="R128" i="46" s="1"/>
  <c r="O153" i="46"/>
  <c r="R153" i="46" s="1"/>
  <c r="G451" i="28"/>
  <c r="G350" i="28"/>
  <c r="O52" i="46"/>
  <c r="R52" i="46" s="1"/>
  <c r="G404" i="28"/>
  <c r="O106" i="46"/>
  <c r="R106" i="46" s="1"/>
  <c r="G468" i="28"/>
  <c r="O170" i="46"/>
  <c r="R170" i="46" s="1"/>
  <c r="G425" i="28"/>
  <c r="O127" i="46"/>
  <c r="R127" i="46" s="1"/>
  <c r="G429" i="28"/>
  <c r="O131" i="46"/>
  <c r="R131" i="46" s="1"/>
  <c r="G402" i="28"/>
  <c r="O104" i="46"/>
  <c r="R104" i="46" s="1"/>
  <c r="G435" i="28"/>
  <c r="O137" i="46"/>
  <c r="R137" i="46" s="1"/>
  <c r="G379" i="28"/>
  <c r="O81" i="46"/>
  <c r="R81" i="46" s="1"/>
  <c r="G317" i="28"/>
  <c r="O19" i="46"/>
  <c r="R19" i="46" s="1"/>
  <c r="G354" i="28"/>
  <c r="O56" i="46"/>
  <c r="R56" i="46" s="1"/>
  <c r="G434" i="28"/>
  <c r="O136" i="46"/>
  <c r="R136" i="46" s="1"/>
  <c r="G386" i="28"/>
  <c r="O88" i="46"/>
  <c r="R88" i="46" s="1"/>
  <c r="G440" i="28"/>
  <c r="O142" i="46"/>
  <c r="R142" i="46" s="1"/>
  <c r="G316" i="28"/>
  <c r="O18" i="46"/>
  <c r="R18" i="46" s="1"/>
  <c r="G336" i="28"/>
  <c r="O38" i="46"/>
  <c r="R38" i="46" s="1"/>
  <c r="G368" i="28"/>
  <c r="O70" i="46"/>
  <c r="R70" i="46" s="1"/>
  <c r="G458" i="28"/>
  <c r="O160" i="46"/>
  <c r="R160" i="46" s="1"/>
  <c r="G412" i="28"/>
  <c r="O114" i="46"/>
  <c r="R114" i="46" s="1"/>
  <c r="G476" i="28"/>
  <c r="O178" i="46"/>
  <c r="R178" i="46" s="1"/>
  <c r="G477" i="28"/>
  <c r="O179" i="46"/>
  <c r="R179" i="46" s="1"/>
  <c r="G334" i="28"/>
  <c r="O36" i="46"/>
  <c r="R36" i="46" s="1"/>
  <c r="G311" i="28"/>
  <c r="O13" i="46"/>
  <c r="R13" i="46" s="1"/>
  <c r="G416" i="28"/>
  <c r="O118" i="46"/>
  <c r="R118" i="46" s="1"/>
  <c r="G461" i="28"/>
  <c r="O163" i="46"/>
  <c r="R163" i="46" s="1"/>
  <c r="G360" i="28"/>
  <c r="O62" i="46"/>
  <c r="R62" i="46" s="1"/>
  <c r="G349" i="28"/>
  <c r="O51" i="46"/>
  <c r="R51" i="46" s="1"/>
  <c r="G340" i="28"/>
  <c r="O42" i="46"/>
  <c r="R42" i="46" s="1"/>
  <c r="G417" i="28"/>
  <c r="O119" i="46"/>
  <c r="R119" i="46" s="1"/>
  <c r="G462" i="28"/>
  <c r="O164" i="46"/>
  <c r="R164" i="46" s="1"/>
  <c r="G447" i="28"/>
  <c r="O149" i="46"/>
  <c r="R149" i="46" s="1"/>
  <c r="G321" i="28"/>
  <c r="O23" i="46"/>
  <c r="R23" i="46" s="1"/>
  <c r="G498" i="28"/>
  <c r="O200" i="46"/>
  <c r="R200" i="46" s="1"/>
  <c r="G491" i="28"/>
  <c r="O193" i="46"/>
  <c r="R193" i="46" s="1"/>
  <c r="G422" i="28"/>
  <c r="O124" i="46"/>
  <c r="R124" i="46" s="1"/>
  <c r="G391" i="28"/>
  <c r="O93" i="46"/>
  <c r="R93" i="46" s="1"/>
  <c r="M5" i="46"/>
  <c r="G303" i="28" s="1"/>
  <c r="G489" i="28"/>
  <c r="O191" i="46"/>
  <c r="R191" i="46" s="1"/>
  <c r="G454" i="28"/>
  <c r="O156" i="46"/>
  <c r="R156" i="46" s="1"/>
  <c r="G367" i="28"/>
  <c r="O69" i="46"/>
  <c r="R69" i="46" s="1"/>
  <c r="G369" i="28"/>
  <c r="O71" i="46"/>
  <c r="R71" i="46" s="1"/>
  <c r="G473" i="28"/>
  <c r="O175" i="46"/>
  <c r="R175" i="46" s="1"/>
  <c r="G438" i="28"/>
  <c r="O140" i="46"/>
  <c r="R140" i="46" s="1"/>
  <c r="G470" i="28"/>
  <c r="O172" i="46"/>
  <c r="R172" i="46" s="1"/>
  <c r="N3" i="46"/>
  <c r="E5" i="51" s="1"/>
  <c r="D19" i="26" s="1"/>
  <c r="AA1453" i="42"/>
  <c r="AA1452" i="42"/>
  <c r="AA1451" i="42"/>
  <c r="AA1450" i="42"/>
  <c r="AA1449" i="42"/>
  <c r="AA1448" i="42"/>
  <c r="AA1447" i="42"/>
  <c r="AA1446" i="42"/>
  <c r="AA1445" i="42"/>
  <c r="AA1444" i="42"/>
  <c r="AA1443" i="42"/>
  <c r="AA1442" i="42"/>
  <c r="AA1395" i="42"/>
  <c r="AA1394" i="42"/>
  <c r="AA1393" i="42"/>
  <c r="AA1392" i="42"/>
  <c r="AA1391" i="42"/>
  <c r="AA1390" i="42"/>
  <c r="AA1389" i="42"/>
  <c r="AA1388" i="42"/>
  <c r="AA1387" i="42"/>
  <c r="AA1386" i="42"/>
  <c r="AA1385" i="42"/>
  <c r="AA1384" i="42"/>
  <c r="AA1383" i="42"/>
  <c r="AA1382" i="42"/>
  <c r="AA1381" i="42"/>
  <c r="AA1380" i="42"/>
  <c r="AA1379" i="42"/>
  <c r="AA1378" i="42"/>
  <c r="AA1377" i="42"/>
  <c r="AA1376" i="42"/>
  <c r="AA1375" i="42"/>
  <c r="AA1374" i="42"/>
  <c r="AA1373" i="42"/>
  <c r="AA1372" i="42"/>
  <c r="AA1371" i="42"/>
  <c r="AA1370" i="42"/>
  <c r="AA1369" i="42"/>
  <c r="AA1368" i="42"/>
  <c r="AA1367" i="42"/>
  <c r="AA1366" i="42"/>
  <c r="AA1365" i="42"/>
  <c r="AA1364" i="42"/>
  <c r="AA1363" i="42"/>
  <c r="AA1362" i="42"/>
  <c r="AA1361" i="42"/>
  <c r="AA1360" i="42"/>
  <c r="AA1359" i="42"/>
  <c r="AA1358" i="42"/>
  <c r="AA1357" i="42"/>
  <c r="AA1356" i="42"/>
  <c r="AA1355" i="42"/>
  <c r="AA1354" i="42"/>
  <c r="AA1353" i="42"/>
  <c r="AA1352" i="42"/>
  <c r="AA1351" i="42"/>
  <c r="AA1350" i="42"/>
  <c r="AA1349" i="42"/>
  <c r="AA1316" i="42"/>
  <c r="AA1315" i="42"/>
  <c r="AA1314" i="42"/>
  <c r="AA1313" i="42"/>
  <c r="AA1312" i="42"/>
  <c r="AA1311" i="42"/>
  <c r="AA1310" i="42"/>
  <c r="AA1309" i="42"/>
  <c r="AA1308" i="42"/>
  <c r="AA1307" i="42"/>
  <c r="AA1306" i="42"/>
  <c r="AA1305" i="42"/>
  <c r="AA1304" i="42"/>
  <c r="AA1303" i="42"/>
  <c r="AA1299" i="42"/>
  <c r="AA1298" i="42"/>
  <c r="AA1297" i="42"/>
  <c r="AA1296" i="42"/>
  <c r="AA1295" i="42"/>
  <c r="AA1294" i="42"/>
  <c r="AA1293" i="42"/>
  <c r="AA1292" i="42"/>
  <c r="AA1291" i="42"/>
  <c r="AA1290" i="42"/>
  <c r="AA1289" i="42"/>
  <c r="AA1288" i="42"/>
  <c r="AA1287" i="42"/>
  <c r="AA1286" i="42"/>
  <c r="AA1285" i="42"/>
  <c r="AA1284" i="42"/>
  <c r="AA1283" i="42"/>
  <c r="AA1282" i="42"/>
  <c r="AA1280" i="42"/>
  <c r="AA1279" i="42"/>
  <c r="AA1278" i="42"/>
  <c r="AA1277" i="42"/>
  <c r="AA1276" i="42"/>
  <c r="AA1275" i="42"/>
  <c r="AA1247" i="42"/>
  <c r="AA1246" i="42"/>
  <c r="AA1245" i="42"/>
  <c r="AA1244" i="42"/>
  <c r="AA1243" i="42"/>
  <c r="AA1242" i="42"/>
  <c r="AA1241" i="42"/>
  <c r="AA1240" i="42"/>
  <c r="G305" i="28" l="1"/>
  <c r="O6" i="46"/>
  <c r="R6" i="46" s="1"/>
  <c r="O5" i="46"/>
  <c r="M3" i="46"/>
  <c r="D5" i="51" s="1"/>
  <c r="C19" i="26" s="1"/>
  <c r="O3" i="46" l="1"/>
  <c r="T204" i="1"/>
  <c r="T203" i="1"/>
  <c r="T202" i="1"/>
  <c r="T201" i="1"/>
  <c r="T200" i="1"/>
  <c r="T199" i="1"/>
  <c r="T198" i="1"/>
  <c r="T197" i="1"/>
  <c r="T196" i="1"/>
  <c r="T195" i="1"/>
  <c r="T194" i="1"/>
  <c r="T193" i="1"/>
  <c r="T192" i="1"/>
  <c r="T191" i="1"/>
  <c r="T190" i="1"/>
  <c r="T189" i="1"/>
  <c r="T188" i="1"/>
  <c r="T187" i="1"/>
  <c r="T186" i="1"/>
  <c r="T185" i="1"/>
  <c r="T184" i="1"/>
  <c r="T183" i="1"/>
  <c r="T182" i="1"/>
  <c r="T181" i="1"/>
  <c r="T180" i="1"/>
  <c r="T179" i="1"/>
  <c r="T178" i="1"/>
  <c r="T177" i="1"/>
  <c r="T176" i="1"/>
  <c r="T175" i="1"/>
  <c r="T174" i="1"/>
  <c r="T173" i="1"/>
  <c r="T172" i="1"/>
  <c r="T171" i="1"/>
  <c r="T170" i="1"/>
  <c r="T169" i="1"/>
  <c r="T168" i="1"/>
  <c r="T167" i="1"/>
  <c r="T166" i="1"/>
  <c r="T165" i="1"/>
  <c r="T164" i="1"/>
  <c r="T163" i="1"/>
  <c r="T162" i="1"/>
  <c r="T161" i="1"/>
  <c r="T160" i="1"/>
  <c r="T159" i="1"/>
  <c r="T158" i="1"/>
  <c r="T157" i="1"/>
  <c r="T156" i="1"/>
  <c r="T155" i="1"/>
  <c r="T154" i="1"/>
  <c r="T153" i="1"/>
  <c r="T152" i="1"/>
  <c r="T151" i="1"/>
  <c r="T150" i="1"/>
  <c r="T149" i="1"/>
  <c r="T148" i="1"/>
  <c r="T147" i="1"/>
  <c r="T146" i="1"/>
  <c r="T145" i="1"/>
  <c r="T144" i="1"/>
  <c r="T143" i="1"/>
  <c r="T142" i="1"/>
  <c r="T141" i="1"/>
  <c r="T140" i="1"/>
  <c r="T139" i="1"/>
  <c r="T138" i="1"/>
  <c r="T137" i="1"/>
  <c r="T136" i="1"/>
  <c r="T135" i="1"/>
  <c r="T134" i="1"/>
  <c r="T133" i="1"/>
  <c r="T132" i="1"/>
  <c r="T131" i="1"/>
  <c r="T130" i="1"/>
  <c r="T129" i="1"/>
  <c r="T128" i="1"/>
  <c r="T127" i="1"/>
  <c r="T126" i="1"/>
  <c r="T125" i="1"/>
  <c r="T124" i="1"/>
  <c r="T123" i="1"/>
  <c r="T122" i="1"/>
  <c r="T121" i="1"/>
  <c r="T120" i="1"/>
  <c r="T119" i="1"/>
  <c r="T118" i="1"/>
  <c r="T117" i="1"/>
  <c r="T116" i="1"/>
  <c r="T115" i="1"/>
  <c r="T114" i="1"/>
  <c r="T113" i="1"/>
  <c r="T112" i="1"/>
  <c r="T111" i="1"/>
  <c r="T110" i="1"/>
  <c r="T109" i="1"/>
  <c r="T108" i="1"/>
  <c r="T107" i="1"/>
  <c r="T106" i="1"/>
  <c r="T105" i="1"/>
  <c r="T104" i="1"/>
  <c r="T103" i="1"/>
  <c r="T102" i="1"/>
  <c r="T101" i="1"/>
  <c r="T100" i="1"/>
  <c r="T99" i="1"/>
  <c r="T98" i="1"/>
  <c r="T97" i="1"/>
  <c r="T96" i="1"/>
  <c r="T95" i="1"/>
  <c r="T94" i="1"/>
  <c r="T93" i="1"/>
  <c r="T92" i="1"/>
  <c r="T91" i="1"/>
  <c r="T90" i="1"/>
  <c r="T89" i="1"/>
  <c r="T88" i="1"/>
  <c r="T87" i="1"/>
  <c r="T86" i="1"/>
  <c r="T85" i="1"/>
  <c r="T84" i="1"/>
  <c r="T83" i="1"/>
  <c r="T82" i="1"/>
  <c r="T81" i="1"/>
  <c r="T80" i="1"/>
  <c r="T79" i="1"/>
  <c r="T78" i="1"/>
  <c r="T77" i="1"/>
  <c r="T76" i="1"/>
  <c r="T75" i="1"/>
  <c r="T74" i="1"/>
  <c r="T73" i="1"/>
  <c r="T72" i="1"/>
  <c r="T71" i="1"/>
  <c r="T70" i="1"/>
  <c r="T69" i="1"/>
  <c r="T68" i="1"/>
  <c r="T67" i="1"/>
  <c r="T66" i="1"/>
  <c r="T65" i="1"/>
  <c r="T64" i="1"/>
  <c r="T63" i="1"/>
  <c r="T62" i="1"/>
  <c r="T61" i="1"/>
  <c r="T60" i="1"/>
  <c r="T59" i="1"/>
  <c r="T58" i="1"/>
  <c r="T57" i="1"/>
  <c r="T56" i="1"/>
  <c r="T55" i="1"/>
  <c r="T54" i="1"/>
  <c r="T53" i="1"/>
  <c r="T52" i="1"/>
  <c r="T51" i="1"/>
  <c r="T50" i="1"/>
  <c r="T49" i="1"/>
  <c r="T48" i="1"/>
  <c r="T47" i="1"/>
  <c r="T46" i="1"/>
  <c r="T45" i="1"/>
  <c r="T44" i="1"/>
  <c r="T43" i="1"/>
  <c r="T42" i="1"/>
  <c r="T41" i="1"/>
  <c r="T40" i="1"/>
  <c r="T39" i="1"/>
  <c r="T38" i="1"/>
  <c r="T37" i="1"/>
  <c r="T36" i="1"/>
  <c r="T35" i="1"/>
  <c r="T34" i="1"/>
  <c r="T33" i="1"/>
  <c r="T32" i="1"/>
  <c r="T31" i="1"/>
  <c r="T7" i="1"/>
  <c r="U7" i="1" s="1"/>
  <c r="T8" i="1"/>
  <c r="T9" i="1"/>
  <c r="T10" i="1"/>
  <c r="T11" i="1"/>
  <c r="T12" i="1"/>
  <c r="T13" i="1"/>
  <c r="T14" i="1"/>
  <c r="T15" i="1"/>
  <c r="T16" i="1"/>
  <c r="T17" i="1"/>
  <c r="T18" i="1"/>
  <c r="T19" i="1"/>
  <c r="T20" i="1"/>
  <c r="T21" i="1"/>
  <c r="T22" i="1"/>
  <c r="T23" i="1"/>
  <c r="T24" i="1"/>
  <c r="T25" i="1"/>
  <c r="T26" i="1"/>
  <c r="T27" i="1"/>
  <c r="T28" i="1"/>
  <c r="T29" i="1"/>
  <c r="T30" i="1"/>
  <c r="F5" i="51" l="1"/>
  <c r="C26" i="26" s="1"/>
  <c r="AY6" i="1"/>
  <c r="G33" i="1"/>
  <c r="G97" i="1"/>
  <c r="U97" i="1" s="1"/>
  <c r="Z97" i="1" s="1"/>
  <c r="G129" i="1"/>
  <c r="U129" i="1" s="1"/>
  <c r="Z129" i="1" s="1"/>
  <c r="G153" i="1"/>
  <c r="U153" i="1" s="1"/>
  <c r="Z153" i="1" s="1"/>
  <c r="G161" i="1"/>
  <c r="G169" i="1"/>
  <c r="U169" i="1" s="1"/>
  <c r="Z169" i="1" s="1"/>
  <c r="G177" i="1"/>
  <c r="U177" i="1" s="1"/>
  <c r="Z177" i="1" s="1"/>
  <c r="G185" i="1"/>
  <c r="U185" i="1" s="1"/>
  <c r="Z185" i="1" s="1"/>
  <c r="G193" i="1"/>
  <c r="U193" i="1" s="1"/>
  <c r="Z193" i="1" s="1"/>
  <c r="G201" i="1"/>
  <c r="U201" i="1" s="1"/>
  <c r="Z201" i="1" s="1"/>
  <c r="G57" i="1"/>
  <c r="U57" i="1" s="1"/>
  <c r="Z57" i="1" s="1"/>
  <c r="G121" i="1"/>
  <c r="U121" i="1" s="1"/>
  <c r="Z121" i="1" s="1"/>
  <c r="G26" i="1"/>
  <c r="G18" i="1"/>
  <c r="U18" i="1" s="1"/>
  <c r="Z18" i="1" s="1"/>
  <c r="G10" i="1"/>
  <c r="U10" i="1" s="1"/>
  <c r="Z10" i="1" s="1"/>
  <c r="G34" i="1"/>
  <c r="U34" i="1" s="1"/>
  <c r="Z34" i="1" s="1"/>
  <c r="G42" i="1"/>
  <c r="G50" i="1"/>
  <c r="G58" i="1"/>
  <c r="U58" i="1" s="1"/>
  <c r="Z58" i="1" s="1"/>
  <c r="G66" i="1"/>
  <c r="U66" i="1" s="1"/>
  <c r="Z66" i="1" s="1"/>
  <c r="G74" i="1"/>
  <c r="G82" i="1"/>
  <c r="U82" i="1" s="1"/>
  <c r="Z82" i="1" s="1"/>
  <c r="G90" i="1"/>
  <c r="U90" i="1" s="1"/>
  <c r="Z90" i="1" s="1"/>
  <c r="G98" i="1"/>
  <c r="U98" i="1" s="1"/>
  <c r="Z98" i="1" s="1"/>
  <c r="G106" i="1"/>
  <c r="G114" i="1"/>
  <c r="U114" i="1" s="1"/>
  <c r="Z114" i="1" s="1"/>
  <c r="G122" i="1"/>
  <c r="U122" i="1" s="1"/>
  <c r="Z122" i="1" s="1"/>
  <c r="G130" i="1"/>
  <c r="U130" i="1" s="1"/>
  <c r="Z130" i="1" s="1"/>
  <c r="G138" i="1"/>
  <c r="U138" i="1" s="1"/>
  <c r="Z138" i="1" s="1"/>
  <c r="G146" i="1"/>
  <c r="U146" i="1" s="1"/>
  <c r="Z146" i="1" s="1"/>
  <c r="G154" i="1"/>
  <c r="U154" i="1" s="1"/>
  <c r="Z154" i="1" s="1"/>
  <c r="G162" i="1"/>
  <c r="U162" i="1" s="1"/>
  <c r="Z162" i="1" s="1"/>
  <c r="G170" i="1"/>
  <c r="G178" i="1"/>
  <c r="U178" i="1" s="1"/>
  <c r="Z178" i="1" s="1"/>
  <c r="G186" i="1"/>
  <c r="U186" i="1" s="1"/>
  <c r="Z186" i="1" s="1"/>
  <c r="G194" i="1"/>
  <c r="U194" i="1" s="1"/>
  <c r="Z194" i="1" s="1"/>
  <c r="G202" i="1"/>
  <c r="U202" i="1" s="1"/>
  <c r="Z202" i="1" s="1"/>
  <c r="G65" i="1"/>
  <c r="G145" i="1"/>
  <c r="U145" i="1" s="1"/>
  <c r="Z145" i="1" s="1"/>
  <c r="G25" i="1"/>
  <c r="U25" i="1" s="1"/>
  <c r="Z25" i="1" s="1"/>
  <c r="G17" i="1"/>
  <c r="U17" i="1" s="1"/>
  <c r="Z17" i="1" s="1"/>
  <c r="G9" i="1"/>
  <c r="U9" i="1" s="1"/>
  <c r="Z9" i="1" s="1"/>
  <c r="G35" i="1"/>
  <c r="U35" i="1" s="1"/>
  <c r="Z35" i="1" s="1"/>
  <c r="G43" i="1"/>
  <c r="U43" i="1" s="1"/>
  <c r="Z43" i="1" s="1"/>
  <c r="G51" i="1"/>
  <c r="G59" i="1"/>
  <c r="G67" i="1"/>
  <c r="U67" i="1" s="1"/>
  <c r="Z67" i="1" s="1"/>
  <c r="G75" i="1"/>
  <c r="U75" i="1" s="1"/>
  <c r="Z75" i="1" s="1"/>
  <c r="G83" i="1"/>
  <c r="G91" i="1"/>
  <c r="U91" i="1" s="1"/>
  <c r="Z91" i="1" s="1"/>
  <c r="G99" i="1"/>
  <c r="U99" i="1" s="1"/>
  <c r="Z99" i="1" s="1"/>
  <c r="G107" i="1"/>
  <c r="U107" i="1" s="1"/>
  <c r="Z107" i="1" s="1"/>
  <c r="G115" i="1"/>
  <c r="U115" i="1" s="1"/>
  <c r="Z115" i="1" s="1"/>
  <c r="G123" i="1"/>
  <c r="U123" i="1" s="1"/>
  <c r="Z123" i="1" s="1"/>
  <c r="G131" i="1"/>
  <c r="U131" i="1" s="1"/>
  <c r="Z131" i="1" s="1"/>
  <c r="G139" i="1"/>
  <c r="U139" i="1" s="1"/>
  <c r="Z139" i="1" s="1"/>
  <c r="G147" i="1"/>
  <c r="G155" i="1"/>
  <c r="U155" i="1" s="1"/>
  <c r="Z155" i="1" s="1"/>
  <c r="G163" i="1"/>
  <c r="U163" i="1" s="1"/>
  <c r="Z163" i="1" s="1"/>
  <c r="G171" i="1"/>
  <c r="U171" i="1" s="1"/>
  <c r="Z171" i="1" s="1"/>
  <c r="G179" i="1"/>
  <c r="G187" i="1"/>
  <c r="U187" i="1" s="1"/>
  <c r="Z187" i="1" s="1"/>
  <c r="G195" i="1"/>
  <c r="U195" i="1" s="1"/>
  <c r="Z195" i="1" s="1"/>
  <c r="G203" i="1"/>
  <c r="U203" i="1" s="1"/>
  <c r="Z203" i="1" s="1"/>
  <c r="G27" i="1"/>
  <c r="G73" i="1"/>
  <c r="U73" i="1" s="1"/>
  <c r="Z73" i="1" s="1"/>
  <c r="G137" i="1"/>
  <c r="U137" i="1" s="1"/>
  <c r="Z137" i="1" s="1"/>
  <c r="G24" i="1"/>
  <c r="U24" i="1" s="1"/>
  <c r="Z24" i="1" s="1"/>
  <c r="G16" i="1"/>
  <c r="G8" i="1"/>
  <c r="U8" i="1" s="1"/>
  <c r="Z8" i="1" s="1"/>
  <c r="G36" i="1"/>
  <c r="U36" i="1" s="1"/>
  <c r="Z36" i="1" s="1"/>
  <c r="G44" i="1"/>
  <c r="U44" i="1" s="1"/>
  <c r="Z44" i="1" s="1"/>
  <c r="G52" i="1"/>
  <c r="G60" i="1"/>
  <c r="U60" i="1" s="1"/>
  <c r="Z60" i="1" s="1"/>
  <c r="G68" i="1"/>
  <c r="U68" i="1" s="1"/>
  <c r="Z68" i="1" s="1"/>
  <c r="G76" i="1"/>
  <c r="U76" i="1" s="1"/>
  <c r="Z76" i="1" s="1"/>
  <c r="G84" i="1"/>
  <c r="U84" i="1" s="1"/>
  <c r="Z84" i="1" s="1"/>
  <c r="G92" i="1"/>
  <c r="U92" i="1" s="1"/>
  <c r="Z92" i="1" s="1"/>
  <c r="G100" i="1"/>
  <c r="U100" i="1" s="1"/>
  <c r="Z100" i="1" s="1"/>
  <c r="G108" i="1"/>
  <c r="U108" i="1" s="1"/>
  <c r="Z108" i="1" s="1"/>
  <c r="G116" i="1"/>
  <c r="G124" i="1"/>
  <c r="U124" i="1" s="1"/>
  <c r="Z124" i="1" s="1"/>
  <c r="G132" i="1"/>
  <c r="U132" i="1" s="1"/>
  <c r="Z132" i="1" s="1"/>
  <c r="G140" i="1"/>
  <c r="U140" i="1" s="1"/>
  <c r="Z140" i="1" s="1"/>
  <c r="G148" i="1"/>
  <c r="G156" i="1"/>
  <c r="U156" i="1" s="1"/>
  <c r="Z156" i="1" s="1"/>
  <c r="G164" i="1"/>
  <c r="U164" i="1" s="1"/>
  <c r="Z164" i="1" s="1"/>
  <c r="G172" i="1"/>
  <c r="U172" i="1" s="1"/>
  <c r="Z172" i="1" s="1"/>
  <c r="G180" i="1"/>
  <c r="U180" i="1" s="1"/>
  <c r="Z180" i="1" s="1"/>
  <c r="G188" i="1"/>
  <c r="U188" i="1" s="1"/>
  <c r="Z188" i="1" s="1"/>
  <c r="G196" i="1"/>
  <c r="U196" i="1" s="1"/>
  <c r="Z196" i="1" s="1"/>
  <c r="G204" i="1"/>
  <c r="U204" i="1" s="1"/>
  <c r="Z204" i="1" s="1"/>
  <c r="G11" i="1"/>
  <c r="G89" i="1"/>
  <c r="U89" i="1" s="1"/>
  <c r="Z89" i="1" s="1"/>
  <c r="G37" i="1"/>
  <c r="U37" i="1" s="1"/>
  <c r="Z37" i="1" s="1"/>
  <c r="G45" i="1"/>
  <c r="U45" i="1" s="1"/>
  <c r="Z45" i="1" s="1"/>
  <c r="G53" i="1"/>
  <c r="G61" i="1"/>
  <c r="U61" i="1" s="1"/>
  <c r="Z61" i="1" s="1"/>
  <c r="G69" i="1"/>
  <c r="U69" i="1" s="1"/>
  <c r="Z69" i="1" s="1"/>
  <c r="G77" i="1"/>
  <c r="U77" i="1" s="1"/>
  <c r="Z77" i="1" s="1"/>
  <c r="G85" i="1"/>
  <c r="G93" i="1"/>
  <c r="U93" i="1" s="1"/>
  <c r="Z93" i="1" s="1"/>
  <c r="G101" i="1"/>
  <c r="U101" i="1" s="1"/>
  <c r="Z101" i="1" s="1"/>
  <c r="G109" i="1"/>
  <c r="U109" i="1" s="1"/>
  <c r="Z109" i="1" s="1"/>
  <c r="G117" i="1"/>
  <c r="G125" i="1"/>
  <c r="U125" i="1" s="1"/>
  <c r="Z125" i="1" s="1"/>
  <c r="G133" i="1"/>
  <c r="U133" i="1" s="1"/>
  <c r="Z133" i="1" s="1"/>
  <c r="G141" i="1"/>
  <c r="U141" i="1" s="1"/>
  <c r="Z141" i="1" s="1"/>
  <c r="G149" i="1"/>
  <c r="U149" i="1" s="1"/>
  <c r="Z149" i="1" s="1"/>
  <c r="G157" i="1"/>
  <c r="U157" i="1" s="1"/>
  <c r="Z157" i="1" s="1"/>
  <c r="G165" i="1"/>
  <c r="U165" i="1" s="1"/>
  <c r="Z165" i="1" s="1"/>
  <c r="G173" i="1"/>
  <c r="U173" i="1" s="1"/>
  <c r="Z173" i="1" s="1"/>
  <c r="G181" i="1"/>
  <c r="U181" i="1" s="1"/>
  <c r="Z181" i="1" s="1"/>
  <c r="G189" i="1"/>
  <c r="U189" i="1" s="1"/>
  <c r="Z189" i="1" s="1"/>
  <c r="G197" i="1"/>
  <c r="U197" i="1" s="1"/>
  <c r="Z197" i="1" s="1"/>
  <c r="G41" i="1"/>
  <c r="U41" i="1" s="1"/>
  <c r="Z41" i="1" s="1"/>
  <c r="G105" i="1"/>
  <c r="U105" i="1" s="1"/>
  <c r="Z105" i="1" s="1"/>
  <c r="G15" i="1"/>
  <c r="U15" i="1" s="1"/>
  <c r="Z15" i="1" s="1"/>
  <c r="G30" i="1"/>
  <c r="U30" i="1" s="1"/>
  <c r="Z30" i="1" s="1"/>
  <c r="G22" i="1"/>
  <c r="U22" i="1" s="1"/>
  <c r="Z22" i="1" s="1"/>
  <c r="G14" i="1"/>
  <c r="U14" i="1" s="1"/>
  <c r="Z14" i="1" s="1"/>
  <c r="G6" i="1"/>
  <c r="G38" i="1"/>
  <c r="U38" i="1" s="1"/>
  <c r="Z38" i="1" s="1"/>
  <c r="G46" i="1"/>
  <c r="U46" i="1" s="1"/>
  <c r="Z46" i="1" s="1"/>
  <c r="G54" i="1"/>
  <c r="U54" i="1" s="1"/>
  <c r="Z54" i="1" s="1"/>
  <c r="G62" i="1"/>
  <c r="U62" i="1" s="1"/>
  <c r="Z62" i="1" s="1"/>
  <c r="G70" i="1"/>
  <c r="U70" i="1" s="1"/>
  <c r="Z70" i="1" s="1"/>
  <c r="G78" i="1"/>
  <c r="U78" i="1" s="1"/>
  <c r="Z78" i="1" s="1"/>
  <c r="G86" i="1"/>
  <c r="U86" i="1" s="1"/>
  <c r="Z86" i="1" s="1"/>
  <c r="G94" i="1"/>
  <c r="U94" i="1" s="1"/>
  <c r="Z94" i="1" s="1"/>
  <c r="G102" i="1"/>
  <c r="U102" i="1" s="1"/>
  <c r="Z102" i="1" s="1"/>
  <c r="G110" i="1"/>
  <c r="U110" i="1" s="1"/>
  <c r="Z110" i="1" s="1"/>
  <c r="G118" i="1"/>
  <c r="U118" i="1" s="1"/>
  <c r="Z118" i="1" s="1"/>
  <c r="G126" i="1"/>
  <c r="U126" i="1" s="1"/>
  <c r="Z126" i="1" s="1"/>
  <c r="G134" i="1"/>
  <c r="U134" i="1" s="1"/>
  <c r="Z134" i="1" s="1"/>
  <c r="G142" i="1"/>
  <c r="U142" i="1" s="1"/>
  <c r="Z142" i="1" s="1"/>
  <c r="G150" i="1"/>
  <c r="U150" i="1" s="1"/>
  <c r="Z150" i="1" s="1"/>
  <c r="G158" i="1"/>
  <c r="U158" i="1" s="1"/>
  <c r="Z158" i="1" s="1"/>
  <c r="G166" i="1"/>
  <c r="U166" i="1" s="1"/>
  <c r="Z166" i="1" s="1"/>
  <c r="G174" i="1"/>
  <c r="U174" i="1" s="1"/>
  <c r="Z174" i="1" s="1"/>
  <c r="G182" i="1"/>
  <c r="U182" i="1" s="1"/>
  <c r="Z182" i="1" s="1"/>
  <c r="G190" i="1"/>
  <c r="U190" i="1" s="1"/>
  <c r="Z190" i="1" s="1"/>
  <c r="G198" i="1"/>
  <c r="U198" i="1" s="1"/>
  <c r="Z198" i="1" s="1"/>
  <c r="G19" i="1"/>
  <c r="U19" i="1" s="1"/>
  <c r="Z19" i="1" s="1"/>
  <c r="G81" i="1"/>
  <c r="U81" i="1" s="1"/>
  <c r="Z81" i="1" s="1"/>
  <c r="G23" i="1"/>
  <c r="U23" i="1" s="1"/>
  <c r="Z23" i="1" s="1"/>
  <c r="G29" i="1"/>
  <c r="U29" i="1" s="1"/>
  <c r="Z29" i="1" s="1"/>
  <c r="G21" i="1"/>
  <c r="U21" i="1" s="1"/>
  <c r="Z21" i="1" s="1"/>
  <c r="G13" i="1"/>
  <c r="U13" i="1" s="1"/>
  <c r="Z13" i="1" s="1"/>
  <c r="G31" i="1"/>
  <c r="U31" i="1" s="1"/>
  <c r="Z31" i="1" s="1"/>
  <c r="G39" i="1"/>
  <c r="U39" i="1" s="1"/>
  <c r="Z39" i="1" s="1"/>
  <c r="G47" i="1"/>
  <c r="U47" i="1" s="1"/>
  <c r="Z47" i="1" s="1"/>
  <c r="G55" i="1"/>
  <c r="U55" i="1" s="1"/>
  <c r="Z55" i="1" s="1"/>
  <c r="G63" i="1"/>
  <c r="U63" i="1" s="1"/>
  <c r="Z63" i="1" s="1"/>
  <c r="G71" i="1"/>
  <c r="U71" i="1" s="1"/>
  <c r="Z71" i="1" s="1"/>
  <c r="G79" i="1"/>
  <c r="U79" i="1" s="1"/>
  <c r="Z79" i="1" s="1"/>
  <c r="G87" i="1"/>
  <c r="U87" i="1" s="1"/>
  <c r="Z87" i="1" s="1"/>
  <c r="G95" i="1"/>
  <c r="U95" i="1" s="1"/>
  <c r="Z95" i="1" s="1"/>
  <c r="G103" i="1"/>
  <c r="U103" i="1" s="1"/>
  <c r="Z103" i="1" s="1"/>
  <c r="G111" i="1"/>
  <c r="U111" i="1" s="1"/>
  <c r="Z111" i="1" s="1"/>
  <c r="G119" i="1"/>
  <c r="U119" i="1" s="1"/>
  <c r="Z119" i="1" s="1"/>
  <c r="G127" i="1"/>
  <c r="U127" i="1" s="1"/>
  <c r="Z127" i="1" s="1"/>
  <c r="G135" i="1"/>
  <c r="U135" i="1" s="1"/>
  <c r="Z135" i="1" s="1"/>
  <c r="G143" i="1"/>
  <c r="U143" i="1" s="1"/>
  <c r="Z143" i="1" s="1"/>
  <c r="G151" i="1"/>
  <c r="G159" i="1"/>
  <c r="U159" i="1" s="1"/>
  <c r="Z159" i="1" s="1"/>
  <c r="G167" i="1"/>
  <c r="U167" i="1" s="1"/>
  <c r="Z167" i="1" s="1"/>
  <c r="G175" i="1"/>
  <c r="U175" i="1" s="1"/>
  <c r="Z175" i="1" s="1"/>
  <c r="G183" i="1"/>
  <c r="U183" i="1" s="1"/>
  <c r="Z183" i="1" s="1"/>
  <c r="G191" i="1"/>
  <c r="U191" i="1" s="1"/>
  <c r="Z191" i="1" s="1"/>
  <c r="G199" i="1"/>
  <c r="U199" i="1" s="1"/>
  <c r="Z199" i="1" s="1"/>
  <c r="G49" i="1"/>
  <c r="U49" i="1" s="1"/>
  <c r="Z49" i="1" s="1"/>
  <c r="G113" i="1"/>
  <c r="U113" i="1" s="1"/>
  <c r="Z113" i="1" s="1"/>
  <c r="Z7" i="1"/>
  <c r="G28" i="1"/>
  <c r="U28" i="1" s="1"/>
  <c r="Z28" i="1" s="1"/>
  <c r="G20" i="1"/>
  <c r="U20" i="1" s="1"/>
  <c r="Z20" i="1" s="1"/>
  <c r="G12" i="1"/>
  <c r="U12" i="1" s="1"/>
  <c r="Z12" i="1" s="1"/>
  <c r="G32" i="1"/>
  <c r="U32" i="1" s="1"/>
  <c r="Z32" i="1" s="1"/>
  <c r="G40" i="1"/>
  <c r="U40" i="1" s="1"/>
  <c r="Z40" i="1" s="1"/>
  <c r="G48" i="1"/>
  <c r="U48" i="1" s="1"/>
  <c r="Z48" i="1" s="1"/>
  <c r="G56" i="1"/>
  <c r="U56" i="1" s="1"/>
  <c r="Z56" i="1" s="1"/>
  <c r="G64" i="1"/>
  <c r="U64" i="1" s="1"/>
  <c r="Z64" i="1" s="1"/>
  <c r="G72" i="1"/>
  <c r="U72" i="1" s="1"/>
  <c r="Z72" i="1" s="1"/>
  <c r="G80" i="1"/>
  <c r="U80" i="1" s="1"/>
  <c r="Z80" i="1" s="1"/>
  <c r="G88" i="1"/>
  <c r="U88" i="1" s="1"/>
  <c r="Z88" i="1" s="1"/>
  <c r="G96" i="1"/>
  <c r="U96" i="1" s="1"/>
  <c r="Z96" i="1" s="1"/>
  <c r="G104" i="1"/>
  <c r="U104" i="1" s="1"/>
  <c r="Z104" i="1" s="1"/>
  <c r="G112" i="1"/>
  <c r="U112" i="1" s="1"/>
  <c r="Z112" i="1" s="1"/>
  <c r="G120" i="1"/>
  <c r="U120" i="1" s="1"/>
  <c r="Z120" i="1" s="1"/>
  <c r="G128" i="1"/>
  <c r="U128" i="1" s="1"/>
  <c r="Z128" i="1" s="1"/>
  <c r="G136" i="1"/>
  <c r="U136" i="1" s="1"/>
  <c r="Z136" i="1" s="1"/>
  <c r="G144" i="1"/>
  <c r="U144" i="1" s="1"/>
  <c r="Z144" i="1" s="1"/>
  <c r="G152" i="1"/>
  <c r="U152" i="1" s="1"/>
  <c r="Z152" i="1" s="1"/>
  <c r="G160" i="1"/>
  <c r="U160" i="1" s="1"/>
  <c r="Z160" i="1" s="1"/>
  <c r="G168" i="1"/>
  <c r="U168" i="1" s="1"/>
  <c r="Z168" i="1" s="1"/>
  <c r="G176" i="1"/>
  <c r="U176" i="1" s="1"/>
  <c r="Z176" i="1" s="1"/>
  <c r="G184" i="1"/>
  <c r="U184" i="1" s="1"/>
  <c r="Z184" i="1" s="1"/>
  <c r="G192" i="1"/>
  <c r="U192" i="1" s="1"/>
  <c r="Z192" i="1" s="1"/>
  <c r="G200" i="1"/>
  <c r="U200" i="1" s="1"/>
  <c r="Z200" i="1" s="1"/>
  <c r="D31" i="28"/>
  <c r="F31" i="28" s="1"/>
  <c r="D79" i="28"/>
  <c r="F79" i="28" s="1"/>
  <c r="D135" i="28"/>
  <c r="F135" i="28" s="1"/>
  <c r="D191" i="28"/>
  <c r="F191" i="28" s="1"/>
  <c r="D28" i="28"/>
  <c r="D12" i="28"/>
  <c r="D44" i="28"/>
  <c r="D27" i="28"/>
  <c r="D11" i="28"/>
  <c r="D37" i="28"/>
  <c r="D53" i="28"/>
  <c r="D61" i="28"/>
  <c r="F61" i="28" s="1"/>
  <c r="D69" i="28"/>
  <c r="F69" i="28" s="1"/>
  <c r="D77" i="28"/>
  <c r="F77" i="28" s="1"/>
  <c r="D85" i="28"/>
  <c r="F85" i="28" s="1"/>
  <c r="D93" i="28"/>
  <c r="F93" i="28" s="1"/>
  <c r="D101" i="28"/>
  <c r="F101" i="28" s="1"/>
  <c r="D109" i="28"/>
  <c r="F109" i="28" s="1"/>
  <c r="D117" i="28"/>
  <c r="F117" i="28" s="1"/>
  <c r="D125" i="28"/>
  <c r="F125" i="28" s="1"/>
  <c r="D133" i="28"/>
  <c r="F133" i="28" s="1"/>
  <c r="D141" i="28"/>
  <c r="F141" i="28" s="1"/>
  <c r="D149" i="28"/>
  <c r="F149" i="28" s="1"/>
  <c r="D157" i="28"/>
  <c r="F157" i="28" s="1"/>
  <c r="D165" i="28"/>
  <c r="F165" i="28" s="1"/>
  <c r="D173" i="28"/>
  <c r="F173" i="28" s="1"/>
  <c r="D181" i="28"/>
  <c r="F181" i="28" s="1"/>
  <c r="D189" i="28"/>
  <c r="F189" i="28" s="1"/>
  <c r="D197" i="28"/>
  <c r="F197" i="28" s="1"/>
  <c r="D39" i="28"/>
  <c r="D95" i="28"/>
  <c r="F95" i="28" s="1"/>
  <c r="D143" i="28"/>
  <c r="F143" i="28" s="1"/>
  <c r="D199" i="28"/>
  <c r="F199" i="28" s="1"/>
  <c r="D20" i="28"/>
  <c r="D36" i="28"/>
  <c r="D60" i="28"/>
  <c r="F60" i="28" s="1"/>
  <c r="D19" i="28"/>
  <c r="D29" i="28"/>
  <c r="D45" i="28"/>
  <c r="D26" i="28"/>
  <c r="D18" i="28"/>
  <c r="D10" i="28"/>
  <c r="D30" i="28"/>
  <c r="D38" i="28"/>
  <c r="D46" i="28"/>
  <c r="D54" i="28"/>
  <c r="D62" i="28"/>
  <c r="F62" i="28" s="1"/>
  <c r="D70" i="28"/>
  <c r="F70" i="28" s="1"/>
  <c r="D78" i="28"/>
  <c r="F78" i="28" s="1"/>
  <c r="D86" i="28"/>
  <c r="F86" i="28" s="1"/>
  <c r="D94" i="28"/>
  <c r="F94" i="28" s="1"/>
  <c r="D102" i="28"/>
  <c r="F102" i="28" s="1"/>
  <c r="D110" i="28"/>
  <c r="F110" i="28" s="1"/>
  <c r="D118" i="28"/>
  <c r="F118" i="28" s="1"/>
  <c r="D126" i="28"/>
  <c r="F126" i="28" s="1"/>
  <c r="D134" i="28"/>
  <c r="F134" i="28" s="1"/>
  <c r="D142" i="28"/>
  <c r="F142" i="28" s="1"/>
  <c r="D150" i="28"/>
  <c r="F150" i="28" s="1"/>
  <c r="D158" i="28"/>
  <c r="F158" i="28" s="1"/>
  <c r="D166" i="28"/>
  <c r="F166" i="28" s="1"/>
  <c r="D174" i="28"/>
  <c r="F174" i="28" s="1"/>
  <c r="D182" i="28"/>
  <c r="F182" i="28" s="1"/>
  <c r="D190" i="28"/>
  <c r="F190" i="28" s="1"/>
  <c r="D198" i="28"/>
  <c r="F198" i="28" s="1"/>
  <c r="D17" i="28"/>
  <c r="D55" i="28"/>
  <c r="F55" i="28" s="1"/>
  <c r="D111" i="28"/>
  <c r="F111" i="28" s="1"/>
  <c r="D159" i="28"/>
  <c r="F159" i="28" s="1"/>
  <c r="D8" i="28"/>
  <c r="D40" i="28"/>
  <c r="F40" i="28" s="1"/>
  <c r="D56" i="28"/>
  <c r="F56" i="28" s="1"/>
  <c r="D64" i="28"/>
  <c r="F64" i="28" s="1"/>
  <c r="D72" i="28"/>
  <c r="F72" i="28" s="1"/>
  <c r="D80" i="28"/>
  <c r="F80" i="28" s="1"/>
  <c r="D88" i="28"/>
  <c r="F88" i="28" s="1"/>
  <c r="D96" i="28"/>
  <c r="F96" i="28" s="1"/>
  <c r="D104" i="28"/>
  <c r="F104" i="28" s="1"/>
  <c r="D112" i="28"/>
  <c r="F112" i="28" s="1"/>
  <c r="D120" i="28"/>
  <c r="F120" i="28" s="1"/>
  <c r="D128" i="28"/>
  <c r="F128" i="28" s="1"/>
  <c r="D136" i="28"/>
  <c r="F136" i="28" s="1"/>
  <c r="D144" i="28"/>
  <c r="F144" i="28" s="1"/>
  <c r="D152" i="28"/>
  <c r="F152" i="28" s="1"/>
  <c r="D160" i="28"/>
  <c r="F160" i="28" s="1"/>
  <c r="D168" i="28"/>
  <c r="F168" i="28" s="1"/>
  <c r="D176" i="28"/>
  <c r="F176" i="28" s="1"/>
  <c r="D184" i="28"/>
  <c r="F184" i="28" s="1"/>
  <c r="D192" i="28"/>
  <c r="F192" i="28" s="1"/>
  <c r="D200" i="28"/>
  <c r="F200" i="28" s="1"/>
  <c r="D25" i="28"/>
  <c r="D47" i="28"/>
  <c r="D103" i="28"/>
  <c r="F103" i="28" s="1"/>
  <c r="D167" i="28"/>
  <c r="F167" i="28" s="1"/>
  <c r="D24" i="28"/>
  <c r="F24" i="28" s="1"/>
  <c r="D32" i="28"/>
  <c r="D23" i="28"/>
  <c r="D7" i="28"/>
  <c r="D41" i="28"/>
  <c r="D57" i="28"/>
  <c r="F57" i="28" s="1"/>
  <c r="D65" i="28"/>
  <c r="F65" i="28" s="1"/>
  <c r="D81" i="28"/>
  <c r="F81" i="28" s="1"/>
  <c r="D89" i="28"/>
  <c r="F89" i="28" s="1"/>
  <c r="D97" i="28"/>
  <c r="F97" i="28" s="1"/>
  <c r="D105" i="28"/>
  <c r="F105" i="28" s="1"/>
  <c r="D113" i="28"/>
  <c r="F113" i="28" s="1"/>
  <c r="D121" i="28"/>
  <c r="F121" i="28" s="1"/>
  <c r="D129" i="28"/>
  <c r="F129" i="28" s="1"/>
  <c r="D137" i="28"/>
  <c r="F137" i="28" s="1"/>
  <c r="D145" i="28"/>
  <c r="F145" i="28" s="1"/>
  <c r="D153" i="28"/>
  <c r="F153" i="28" s="1"/>
  <c r="D161" i="28"/>
  <c r="F161" i="28" s="1"/>
  <c r="D169" i="28"/>
  <c r="F169" i="28" s="1"/>
  <c r="D177" i="28"/>
  <c r="F177" i="28" s="1"/>
  <c r="D185" i="28"/>
  <c r="F185" i="28" s="1"/>
  <c r="D193" i="28"/>
  <c r="F193" i="28" s="1"/>
  <c r="D201" i="28"/>
  <c r="F201" i="28" s="1"/>
  <c r="D71" i="28"/>
  <c r="F71" i="28" s="1"/>
  <c r="D151" i="28"/>
  <c r="F151" i="28" s="1"/>
  <c r="D16" i="28"/>
  <c r="D48" i="28"/>
  <c r="D15" i="28"/>
  <c r="D33" i="28"/>
  <c r="D49" i="28"/>
  <c r="F49" i="28" s="1"/>
  <c r="D73" i="28"/>
  <c r="F73" i="28" s="1"/>
  <c r="D22" i="28"/>
  <c r="D14" i="28"/>
  <c r="D6" i="28"/>
  <c r="D34" i="28"/>
  <c r="D42" i="28"/>
  <c r="D50" i="28"/>
  <c r="D58" i="28"/>
  <c r="F58" i="28" s="1"/>
  <c r="D66" i="28"/>
  <c r="F66" i="28" s="1"/>
  <c r="D74" i="28"/>
  <c r="F74" i="28" s="1"/>
  <c r="D82" i="28"/>
  <c r="F82" i="28" s="1"/>
  <c r="D90" i="28"/>
  <c r="F90" i="28" s="1"/>
  <c r="D98" i="28"/>
  <c r="F98" i="28" s="1"/>
  <c r="D106" i="28"/>
  <c r="F106" i="28" s="1"/>
  <c r="D114" i="28"/>
  <c r="F114" i="28" s="1"/>
  <c r="D122" i="28"/>
  <c r="F122" i="28" s="1"/>
  <c r="D130" i="28"/>
  <c r="F130" i="28" s="1"/>
  <c r="D138" i="28"/>
  <c r="F138" i="28" s="1"/>
  <c r="D146" i="28"/>
  <c r="F146" i="28" s="1"/>
  <c r="D154" i="28"/>
  <c r="F154" i="28" s="1"/>
  <c r="D162" i="28"/>
  <c r="F162" i="28" s="1"/>
  <c r="D170" i="28"/>
  <c r="F170" i="28" s="1"/>
  <c r="D178" i="28"/>
  <c r="F178" i="28" s="1"/>
  <c r="D186" i="28"/>
  <c r="F186" i="28" s="1"/>
  <c r="D194" i="28"/>
  <c r="F194" i="28" s="1"/>
  <c r="D202" i="28"/>
  <c r="F202" i="28" s="1"/>
  <c r="D9" i="28"/>
  <c r="D87" i="28"/>
  <c r="F87" i="28" s="1"/>
  <c r="D127" i="28"/>
  <c r="F127" i="28" s="1"/>
  <c r="D183" i="28"/>
  <c r="F183" i="28" s="1"/>
  <c r="D21" i="28"/>
  <c r="D13" i="28"/>
  <c r="D5" i="28"/>
  <c r="D35" i="28"/>
  <c r="D43" i="28"/>
  <c r="D51" i="28"/>
  <c r="D59" i="28"/>
  <c r="F59" i="28" s="1"/>
  <c r="D67" i="28"/>
  <c r="F67" i="28" s="1"/>
  <c r="D75" i="28"/>
  <c r="F75" i="28" s="1"/>
  <c r="D83" i="28"/>
  <c r="F83" i="28" s="1"/>
  <c r="D91" i="28"/>
  <c r="F91" i="28" s="1"/>
  <c r="D99" i="28"/>
  <c r="F99" i="28" s="1"/>
  <c r="D107" i="28"/>
  <c r="F107" i="28" s="1"/>
  <c r="D115" i="28"/>
  <c r="F115" i="28" s="1"/>
  <c r="D123" i="28"/>
  <c r="F123" i="28" s="1"/>
  <c r="D131" i="28"/>
  <c r="F131" i="28" s="1"/>
  <c r="D139" i="28"/>
  <c r="F139" i="28" s="1"/>
  <c r="D147" i="28"/>
  <c r="F147" i="28" s="1"/>
  <c r="D155" i="28"/>
  <c r="F155" i="28" s="1"/>
  <c r="D163" i="28"/>
  <c r="F163" i="28" s="1"/>
  <c r="D171" i="28"/>
  <c r="F171" i="28" s="1"/>
  <c r="D179" i="28"/>
  <c r="F179" i="28" s="1"/>
  <c r="D187" i="28"/>
  <c r="F187" i="28" s="1"/>
  <c r="D195" i="28"/>
  <c r="F195" i="28" s="1"/>
  <c r="D63" i="28"/>
  <c r="F63" i="28" s="1"/>
  <c r="D119" i="28"/>
  <c r="F119" i="28" s="1"/>
  <c r="D175" i="28"/>
  <c r="F175" i="28" s="1"/>
  <c r="D4" i="28"/>
  <c r="D52" i="28"/>
  <c r="D68" i="28"/>
  <c r="F68" i="28" s="1"/>
  <c r="D76" i="28"/>
  <c r="F76" i="28" s="1"/>
  <c r="D84" i="28"/>
  <c r="F84" i="28" s="1"/>
  <c r="D92" i="28"/>
  <c r="F92" i="28" s="1"/>
  <c r="D100" i="28"/>
  <c r="F100" i="28" s="1"/>
  <c r="D108" i="28"/>
  <c r="F108" i="28" s="1"/>
  <c r="D116" i="28"/>
  <c r="F116" i="28" s="1"/>
  <c r="D124" i="28"/>
  <c r="F124" i="28" s="1"/>
  <c r="D132" i="28"/>
  <c r="F132" i="28" s="1"/>
  <c r="D140" i="28"/>
  <c r="F140" i="28" s="1"/>
  <c r="D148" i="28"/>
  <c r="F148" i="28" s="1"/>
  <c r="D156" i="28"/>
  <c r="F156" i="28" s="1"/>
  <c r="D164" i="28"/>
  <c r="F164" i="28" s="1"/>
  <c r="D172" i="28"/>
  <c r="F172" i="28" s="1"/>
  <c r="D180" i="28"/>
  <c r="F180" i="28" s="1"/>
  <c r="D188" i="28"/>
  <c r="F188" i="28" s="1"/>
  <c r="D196" i="28"/>
  <c r="F196" i="28" s="1"/>
  <c r="AF31" i="1"/>
  <c r="AU31" i="1" s="1"/>
  <c r="G5" i="1"/>
  <c r="AG5" i="1"/>
  <c r="AF23" i="1"/>
  <c r="AU23" i="1" s="1"/>
  <c r="AF15" i="1"/>
  <c r="AU15" i="1" s="1"/>
  <c r="AF7" i="1"/>
  <c r="AU7" i="1" s="1"/>
  <c r="AF36" i="1"/>
  <c r="AU36" i="1" s="1"/>
  <c r="AF38" i="1"/>
  <c r="AU38" i="1" s="1"/>
  <c r="AF40" i="1"/>
  <c r="AU40" i="1" s="1"/>
  <c r="AF42" i="1"/>
  <c r="AU42" i="1" s="1"/>
  <c r="AF44" i="1"/>
  <c r="AU44" i="1" s="1"/>
  <c r="AF46" i="1"/>
  <c r="AU46" i="1" s="1"/>
  <c r="AF48" i="1"/>
  <c r="AU48" i="1" s="1"/>
  <c r="AF50" i="1"/>
  <c r="AU50" i="1" s="1"/>
  <c r="AF52" i="1"/>
  <c r="AU52" i="1" s="1"/>
  <c r="AF54" i="1"/>
  <c r="AU54" i="1" s="1"/>
  <c r="AF56" i="1"/>
  <c r="AU56" i="1" s="1"/>
  <c r="AF58" i="1"/>
  <c r="AU58" i="1" s="1"/>
  <c r="AF60" i="1"/>
  <c r="AU60" i="1" s="1"/>
  <c r="AF62" i="1"/>
  <c r="AU62" i="1" s="1"/>
  <c r="AF64" i="1"/>
  <c r="AU64" i="1" s="1"/>
  <c r="AF66" i="1"/>
  <c r="AU66" i="1" s="1"/>
  <c r="AF68" i="1"/>
  <c r="AU68" i="1" s="1"/>
  <c r="AF70" i="1"/>
  <c r="AU70" i="1" s="1"/>
  <c r="AF72" i="1"/>
  <c r="AU72" i="1" s="1"/>
  <c r="AF74" i="1"/>
  <c r="AU74" i="1" s="1"/>
  <c r="AF76" i="1"/>
  <c r="AU76" i="1" s="1"/>
  <c r="AF78" i="1"/>
  <c r="AU78" i="1" s="1"/>
  <c r="AF80" i="1"/>
  <c r="AU80" i="1" s="1"/>
  <c r="AF82" i="1"/>
  <c r="AU82" i="1" s="1"/>
  <c r="AF84" i="1"/>
  <c r="AU84" i="1" s="1"/>
  <c r="AF86" i="1"/>
  <c r="AU86" i="1" s="1"/>
  <c r="AF88" i="1"/>
  <c r="AU88" i="1" s="1"/>
  <c r="AF90" i="1"/>
  <c r="AU90" i="1" s="1"/>
  <c r="AF92" i="1"/>
  <c r="AU92" i="1" s="1"/>
  <c r="AF94" i="1"/>
  <c r="AU94" i="1" s="1"/>
  <c r="AF96" i="1"/>
  <c r="AU96" i="1" s="1"/>
  <c r="AF98" i="1"/>
  <c r="AU98" i="1" s="1"/>
  <c r="AF100" i="1"/>
  <c r="AU100" i="1" s="1"/>
  <c r="AF102" i="1"/>
  <c r="AU102" i="1" s="1"/>
  <c r="AF104" i="1"/>
  <c r="AU104" i="1" s="1"/>
  <c r="AF106" i="1"/>
  <c r="AU106" i="1" s="1"/>
  <c r="AF108" i="1"/>
  <c r="AU108" i="1" s="1"/>
  <c r="AF110" i="1"/>
  <c r="AU110" i="1" s="1"/>
  <c r="AF112" i="1"/>
  <c r="AU112" i="1" s="1"/>
  <c r="AF114" i="1"/>
  <c r="AU114" i="1" s="1"/>
  <c r="AF116" i="1"/>
  <c r="AU116" i="1" s="1"/>
  <c r="AF118" i="1"/>
  <c r="AU118" i="1" s="1"/>
  <c r="AF120" i="1"/>
  <c r="AU120" i="1" s="1"/>
  <c r="AF122" i="1"/>
  <c r="AU122" i="1" s="1"/>
  <c r="AF124" i="1"/>
  <c r="AU124" i="1" s="1"/>
  <c r="AF126" i="1"/>
  <c r="AU126" i="1" s="1"/>
  <c r="AF128" i="1"/>
  <c r="AU128" i="1" s="1"/>
  <c r="AF130" i="1"/>
  <c r="AU130" i="1" s="1"/>
  <c r="AF132" i="1"/>
  <c r="AU132" i="1" s="1"/>
  <c r="AF134" i="1"/>
  <c r="AU134" i="1" s="1"/>
  <c r="AF136" i="1"/>
  <c r="AU136" i="1" s="1"/>
  <c r="AF138" i="1"/>
  <c r="AU138" i="1" s="1"/>
  <c r="AF140" i="1"/>
  <c r="AU140" i="1" s="1"/>
  <c r="AF142" i="1"/>
  <c r="AU142" i="1" s="1"/>
  <c r="AF144" i="1"/>
  <c r="AU144" i="1" s="1"/>
  <c r="AF146" i="1"/>
  <c r="AU146" i="1" s="1"/>
  <c r="AF148" i="1"/>
  <c r="AU148" i="1" s="1"/>
  <c r="AF150" i="1"/>
  <c r="AU150" i="1" s="1"/>
  <c r="AF152" i="1"/>
  <c r="AU152" i="1" s="1"/>
  <c r="AF154" i="1"/>
  <c r="AU154" i="1" s="1"/>
  <c r="AF156" i="1"/>
  <c r="AU156" i="1" s="1"/>
  <c r="AF158" i="1"/>
  <c r="AU158" i="1" s="1"/>
  <c r="AF160" i="1"/>
  <c r="AU160" i="1" s="1"/>
  <c r="AF162" i="1"/>
  <c r="AU162" i="1" s="1"/>
  <c r="AF164" i="1"/>
  <c r="AU164" i="1" s="1"/>
  <c r="AF166" i="1"/>
  <c r="AU166" i="1" s="1"/>
  <c r="AF168" i="1"/>
  <c r="AU168" i="1" s="1"/>
  <c r="AF170" i="1"/>
  <c r="AU170" i="1" s="1"/>
  <c r="AF172" i="1"/>
  <c r="AU172" i="1" s="1"/>
  <c r="AF174" i="1"/>
  <c r="AU174" i="1" s="1"/>
  <c r="AF176" i="1"/>
  <c r="AU176" i="1" s="1"/>
  <c r="AF178" i="1"/>
  <c r="AU178" i="1" s="1"/>
  <c r="AF180" i="1"/>
  <c r="AU180" i="1" s="1"/>
  <c r="AF182" i="1"/>
  <c r="AU182" i="1" s="1"/>
  <c r="AF184" i="1"/>
  <c r="AU184" i="1" s="1"/>
  <c r="AF186" i="1"/>
  <c r="AU186" i="1" s="1"/>
  <c r="AF188" i="1"/>
  <c r="AU188" i="1" s="1"/>
  <c r="AF190" i="1"/>
  <c r="AU190" i="1" s="1"/>
  <c r="AF192" i="1"/>
  <c r="AU192" i="1" s="1"/>
  <c r="AF194" i="1"/>
  <c r="AU194" i="1" s="1"/>
  <c r="AF196" i="1"/>
  <c r="AU196" i="1" s="1"/>
  <c r="AF198" i="1"/>
  <c r="AU198" i="1" s="1"/>
  <c r="AF200" i="1"/>
  <c r="AU200" i="1" s="1"/>
  <c r="AF202" i="1"/>
  <c r="AU202" i="1" s="1"/>
  <c r="AF204" i="1"/>
  <c r="AU204" i="1" s="1"/>
  <c r="AF17" i="1"/>
  <c r="AU17" i="1" s="1"/>
  <c r="AF22" i="1"/>
  <c r="AU22" i="1" s="1"/>
  <c r="AF9" i="1"/>
  <c r="AU9" i="1" s="1"/>
  <c r="AF24" i="1"/>
  <c r="AU24" i="1" s="1"/>
  <c r="AF30" i="1"/>
  <c r="AU30" i="1" s="1"/>
  <c r="AF14" i="1"/>
  <c r="AU14" i="1" s="1"/>
  <c r="AF32" i="1"/>
  <c r="AU32" i="1" s="1"/>
  <c r="AF29" i="1"/>
  <c r="AU29" i="1" s="1"/>
  <c r="AF21" i="1"/>
  <c r="AU21" i="1" s="1"/>
  <c r="AF13" i="1"/>
  <c r="AU13" i="1" s="1"/>
  <c r="AF6" i="1"/>
  <c r="AU6" i="1" s="1"/>
  <c r="AF28" i="1"/>
  <c r="AU28" i="1" s="1"/>
  <c r="AF20" i="1"/>
  <c r="AU20" i="1" s="1"/>
  <c r="AF12" i="1"/>
  <c r="AU12" i="1" s="1"/>
  <c r="AF8" i="1"/>
  <c r="AU8" i="1" s="1"/>
  <c r="AF19" i="1"/>
  <c r="AU19" i="1" s="1"/>
  <c r="AF37" i="1"/>
  <c r="AU37" i="1" s="1"/>
  <c r="AF41" i="1"/>
  <c r="AU41" i="1" s="1"/>
  <c r="AF45" i="1"/>
  <c r="AU45" i="1" s="1"/>
  <c r="AF47" i="1"/>
  <c r="AU47" i="1" s="1"/>
  <c r="AF51" i="1"/>
  <c r="AU51" i="1" s="1"/>
  <c r="AF55" i="1"/>
  <c r="AU55" i="1" s="1"/>
  <c r="AF59" i="1"/>
  <c r="AU59" i="1" s="1"/>
  <c r="AF63" i="1"/>
  <c r="AU63" i="1" s="1"/>
  <c r="AF67" i="1"/>
  <c r="AU67" i="1" s="1"/>
  <c r="AF71" i="1"/>
  <c r="AU71" i="1" s="1"/>
  <c r="AF77" i="1"/>
  <c r="AU77" i="1" s="1"/>
  <c r="AF81" i="1"/>
  <c r="AU81" i="1" s="1"/>
  <c r="AF85" i="1"/>
  <c r="AU85" i="1" s="1"/>
  <c r="AF87" i="1"/>
  <c r="AU87" i="1" s="1"/>
  <c r="AF91" i="1"/>
  <c r="AU91" i="1" s="1"/>
  <c r="AF95" i="1"/>
  <c r="AU95" i="1" s="1"/>
  <c r="AF99" i="1"/>
  <c r="AU99" i="1" s="1"/>
  <c r="AF107" i="1"/>
  <c r="AU107" i="1" s="1"/>
  <c r="AF111" i="1"/>
  <c r="AU111" i="1" s="1"/>
  <c r="AF115" i="1"/>
  <c r="AU115" i="1" s="1"/>
  <c r="AF119" i="1"/>
  <c r="AU119" i="1" s="1"/>
  <c r="AF121" i="1"/>
  <c r="AU121" i="1" s="1"/>
  <c r="AF123" i="1"/>
  <c r="AU123" i="1" s="1"/>
  <c r="AF125" i="1"/>
  <c r="AU125" i="1" s="1"/>
  <c r="AF127" i="1"/>
  <c r="AU127" i="1" s="1"/>
  <c r="AF129" i="1"/>
  <c r="AU129" i="1" s="1"/>
  <c r="AF131" i="1"/>
  <c r="AU131" i="1" s="1"/>
  <c r="AF133" i="1"/>
  <c r="AU133" i="1" s="1"/>
  <c r="AF135" i="1"/>
  <c r="AU135" i="1" s="1"/>
  <c r="AF137" i="1"/>
  <c r="AU137" i="1" s="1"/>
  <c r="AF139" i="1"/>
  <c r="AU139" i="1" s="1"/>
  <c r="AF141" i="1"/>
  <c r="AU141" i="1" s="1"/>
  <c r="AF143" i="1"/>
  <c r="AU143" i="1" s="1"/>
  <c r="AF145" i="1"/>
  <c r="AU145" i="1" s="1"/>
  <c r="AF147" i="1"/>
  <c r="AU147" i="1" s="1"/>
  <c r="AF149" i="1"/>
  <c r="AU149" i="1" s="1"/>
  <c r="AF151" i="1"/>
  <c r="AU151" i="1" s="1"/>
  <c r="AF153" i="1"/>
  <c r="AU153" i="1" s="1"/>
  <c r="AF155" i="1"/>
  <c r="AU155" i="1" s="1"/>
  <c r="AF157" i="1"/>
  <c r="AU157" i="1" s="1"/>
  <c r="AF159" i="1"/>
  <c r="AU159" i="1" s="1"/>
  <c r="AF161" i="1"/>
  <c r="AU161" i="1" s="1"/>
  <c r="AF163" i="1"/>
  <c r="AU163" i="1" s="1"/>
  <c r="AF165" i="1"/>
  <c r="AU165" i="1" s="1"/>
  <c r="AF167" i="1"/>
  <c r="AU167" i="1" s="1"/>
  <c r="AF169" i="1"/>
  <c r="AU169" i="1" s="1"/>
  <c r="AF171" i="1"/>
  <c r="AU171" i="1" s="1"/>
  <c r="AF173" i="1"/>
  <c r="AU173" i="1" s="1"/>
  <c r="AF175" i="1"/>
  <c r="AU175" i="1" s="1"/>
  <c r="AF177" i="1"/>
  <c r="AU177" i="1" s="1"/>
  <c r="AF179" i="1"/>
  <c r="AU179" i="1" s="1"/>
  <c r="AF181" i="1"/>
  <c r="AU181" i="1" s="1"/>
  <c r="AF183" i="1"/>
  <c r="AU183" i="1" s="1"/>
  <c r="AF185" i="1"/>
  <c r="AU185" i="1" s="1"/>
  <c r="AF187" i="1"/>
  <c r="AU187" i="1" s="1"/>
  <c r="AF189" i="1"/>
  <c r="AU189" i="1" s="1"/>
  <c r="AF191" i="1"/>
  <c r="AU191" i="1" s="1"/>
  <c r="AF193" i="1"/>
  <c r="AU193" i="1" s="1"/>
  <c r="AF195" i="1"/>
  <c r="AU195" i="1" s="1"/>
  <c r="AF197" i="1"/>
  <c r="AU197" i="1" s="1"/>
  <c r="AF199" i="1"/>
  <c r="AU199" i="1" s="1"/>
  <c r="AF201" i="1"/>
  <c r="AU201" i="1" s="1"/>
  <c r="AF203" i="1"/>
  <c r="AU203" i="1" s="1"/>
  <c r="AF25" i="1"/>
  <c r="AU25" i="1" s="1"/>
  <c r="AF16" i="1"/>
  <c r="AU16" i="1" s="1"/>
  <c r="AF34" i="1"/>
  <c r="AU34" i="1" s="1"/>
  <c r="AF27" i="1"/>
  <c r="AU27" i="1" s="1"/>
  <c r="AF11" i="1"/>
  <c r="AU11" i="1" s="1"/>
  <c r="AF33" i="1"/>
  <c r="AU33" i="1" s="1"/>
  <c r="AF35" i="1"/>
  <c r="AU35" i="1" s="1"/>
  <c r="AF39" i="1"/>
  <c r="AU39" i="1" s="1"/>
  <c r="AF43" i="1"/>
  <c r="AU43" i="1" s="1"/>
  <c r="AF49" i="1"/>
  <c r="AU49" i="1" s="1"/>
  <c r="AF53" i="1"/>
  <c r="AU53" i="1" s="1"/>
  <c r="AF57" i="1"/>
  <c r="AU57" i="1" s="1"/>
  <c r="AF61" i="1"/>
  <c r="AU61" i="1" s="1"/>
  <c r="AF65" i="1"/>
  <c r="AU65" i="1" s="1"/>
  <c r="AF69" i="1"/>
  <c r="AU69" i="1" s="1"/>
  <c r="AF73" i="1"/>
  <c r="AU73" i="1" s="1"/>
  <c r="AF75" i="1"/>
  <c r="AU75" i="1" s="1"/>
  <c r="AF79" i="1"/>
  <c r="AU79" i="1" s="1"/>
  <c r="AF83" i="1"/>
  <c r="AU83" i="1" s="1"/>
  <c r="AF89" i="1"/>
  <c r="AU89" i="1" s="1"/>
  <c r="AF93" i="1"/>
  <c r="AU93" i="1" s="1"/>
  <c r="AF97" i="1"/>
  <c r="AU97" i="1" s="1"/>
  <c r="AF101" i="1"/>
  <c r="AU101" i="1" s="1"/>
  <c r="AF103" i="1"/>
  <c r="AU103" i="1" s="1"/>
  <c r="AF105" i="1"/>
  <c r="AU105" i="1" s="1"/>
  <c r="AF109" i="1"/>
  <c r="AU109" i="1" s="1"/>
  <c r="AF113" i="1"/>
  <c r="AU113" i="1" s="1"/>
  <c r="AF117" i="1"/>
  <c r="AU117" i="1" s="1"/>
  <c r="AF26" i="1"/>
  <c r="AU26" i="1" s="1"/>
  <c r="AF18" i="1"/>
  <c r="AU18" i="1" s="1"/>
  <c r="AF10" i="1"/>
  <c r="AU10" i="1" s="1"/>
  <c r="AD39" i="1"/>
  <c r="AE47" i="1"/>
  <c r="AE63" i="1"/>
  <c r="AE71" i="1"/>
  <c r="AE79" i="1"/>
  <c r="AD95" i="1"/>
  <c r="AD103" i="1"/>
  <c r="AE127" i="1"/>
  <c r="AE135" i="1"/>
  <c r="AE143" i="1"/>
  <c r="AE151" i="1"/>
  <c r="AE159" i="1"/>
  <c r="AE167" i="1"/>
  <c r="AE175" i="1"/>
  <c r="AE183" i="1"/>
  <c r="AE191" i="1"/>
  <c r="AD199" i="1"/>
  <c r="AD36" i="1"/>
  <c r="AE44" i="1"/>
  <c r="AE60" i="1"/>
  <c r="AD108" i="1"/>
  <c r="AD116" i="1"/>
  <c r="AD124" i="1"/>
  <c r="AE132" i="1"/>
  <c r="AE140" i="1"/>
  <c r="AE148" i="1"/>
  <c r="AE156" i="1"/>
  <c r="AD164" i="1"/>
  <c r="AE172" i="1"/>
  <c r="AE180" i="1"/>
  <c r="AE188" i="1"/>
  <c r="AE196" i="1"/>
  <c r="AE204" i="1"/>
  <c r="AE41" i="1"/>
  <c r="AE49" i="1"/>
  <c r="AE57" i="1"/>
  <c r="AD129" i="1"/>
  <c r="AD137" i="1"/>
  <c r="AD145" i="1"/>
  <c r="AD153" i="1"/>
  <c r="AE38" i="1"/>
  <c r="AE46" i="1"/>
  <c r="AE54" i="1"/>
  <c r="AE62" i="1"/>
  <c r="AE94" i="1"/>
  <c r="AE102" i="1"/>
  <c r="AD110" i="1"/>
  <c r="AD118" i="1"/>
  <c r="AD166" i="1"/>
  <c r="AE35" i="1"/>
  <c r="AE51" i="1"/>
  <c r="AD59" i="1"/>
  <c r="AD131" i="1"/>
  <c r="AE147" i="1"/>
  <c r="AE155" i="1"/>
  <c r="AE163" i="1"/>
  <c r="AE171" i="1"/>
  <c r="AE179" i="1"/>
  <c r="AE187" i="1"/>
  <c r="AE195" i="1"/>
  <c r="AD203" i="1"/>
  <c r="AE40" i="1"/>
  <c r="AD56" i="1"/>
  <c r="AD64" i="1"/>
  <c r="AD112" i="1"/>
  <c r="AE128" i="1"/>
  <c r="AE136" i="1"/>
  <c r="AE144" i="1"/>
  <c r="AD160" i="1"/>
  <c r="AD168" i="1"/>
  <c r="AE176" i="1"/>
  <c r="AE184" i="1"/>
  <c r="AE192" i="1"/>
  <c r="AE200" i="1"/>
  <c r="AE37" i="1"/>
  <c r="AE45" i="1"/>
  <c r="AE53" i="1"/>
  <c r="AE61" i="1"/>
  <c r="AD133" i="1"/>
  <c r="AD141" i="1"/>
  <c r="AD149" i="1"/>
  <c r="AD157" i="1"/>
  <c r="AE42" i="1"/>
  <c r="AE50" i="1"/>
  <c r="AE58" i="1"/>
  <c r="AE66" i="1"/>
  <c r="AD106" i="1"/>
  <c r="AD114" i="1"/>
  <c r="AD122" i="1"/>
  <c r="AD162" i="1"/>
  <c r="AE5" i="1"/>
  <c r="AE168" i="1"/>
  <c r="AE39" i="1"/>
  <c r="AD109" i="1"/>
  <c r="AD117" i="1"/>
  <c r="AD92" i="1"/>
  <c r="AD30" i="1"/>
  <c r="AD163" i="1"/>
  <c r="AE56" i="1"/>
  <c r="AD83" i="1"/>
  <c r="AE109" i="1"/>
  <c r="AD167" i="1"/>
  <c r="AD171" i="1"/>
  <c r="AE32" i="1"/>
  <c r="AE34" i="1"/>
  <c r="AE59" i="1"/>
  <c r="AE118" i="1"/>
  <c r="AD159" i="1"/>
  <c r="AE105" i="1"/>
  <c r="AD155" i="1"/>
  <c r="AE170" i="1"/>
  <c r="AD34" i="1"/>
  <c r="AE117" i="1"/>
  <c r="AD151" i="1"/>
  <c r="AD179" i="1"/>
  <c r="AD191" i="1"/>
  <c r="AE182" i="1"/>
  <c r="AD47" i="1"/>
  <c r="AE30" i="1"/>
  <c r="AE64" i="1"/>
  <c r="AD78" i="1"/>
  <c r="AE101" i="1"/>
  <c r="AD105" i="1"/>
  <c r="AE194" i="1"/>
  <c r="AE26" i="1"/>
  <c r="AE97" i="1"/>
  <c r="AE106" i="1"/>
  <c r="AE164" i="1"/>
  <c r="AD175" i="1"/>
  <c r="AD46" i="1"/>
  <c r="AD51" i="1"/>
  <c r="AD76" i="1"/>
  <c r="AE174" i="1"/>
  <c r="AD183" i="1"/>
  <c r="AD32" i="1"/>
  <c r="AD50" i="1"/>
  <c r="AD113" i="1"/>
  <c r="AD135" i="1"/>
  <c r="AE178" i="1"/>
  <c r="AD187" i="1"/>
  <c r="AE199" i="1"/>
  <c r="AD28" i="1"/>
  <c r="AE36" i="1"/>
  <c r="AD121" i="1"/>
  <c r="AD44" i="1"/>
  <c r="AD66" i="1"/>
  <c r="AE67" i="1"/>
  <c r="AD125" i="1"/>
  <c r="AD142" i="1"/>
  <c r="AD154" i="1"/>
  <c r="AE186" i="1"/>
  <c r="AD195" i="1"/>
  <c r="AE33" i="1"/>
  <c r="AE27" i="1"/>
  <c r="AD86" i="1"/>
  <c r="AD97" i="1"/>
  <c r="AD147" i="1"/>
  <c r="AE190" i="1"/>
  <c r="AE203" i="1"/>
  <c r="AD27" i="1"/>
  <c r="AD74" i="1"/>
  <c r="AE78" i="1"/>
  <c r="AD82" i="1"/>
  <c r="AE89" i="1"/>
  <c r="AD101" i="1"/>
  <c r="AE110" i="1"/>
  <c r="AE142" i="1"/>
  <c r="AE160" i="1"/>
  <c r="AE31" i="1"/>
  <c r="AE29" i="1"/>
  <c r="AD48" i="1"/>
  <c r="AE75" i="1"/>
  <c r="AD87" i="1"/>
  <c r="AD93" i="1"/>
  <c r="AD100" i="1"/>
  <c r="AE125" i="1"/>
  <c r="AD139" i="1"/>
  <c r="AD143" i="1"/>
  <c r="AD42" i="1"/>
  <c r="AD43" i="1"/>
  <c r="AD52" i="1"/>
  <c r="AD54" i="1"/>
  <c r="AD55" i="1"/>
  <c r="AE74" i="1"/>
  <c r="AE81" i="1"/>
  <c r="AD29" i="1"/>
  <c r="AD33" i="1"/>
  <c r="AD31" i="1"/>
  <c r="AD26" i="1"/>
  <c r="AD38" i="1"/>
  <c r="AD40" i="1"/>
  <c r="AE48" i="1"/>
  <c r="AD58" i="1"/>
  <c r="AE93" i="1"/>
  <c r="AE114" i="1"/>
  <c r="AD120" i="1"/>
  <c r="AE122" i="1"/>
  <c r="AD130" i="1"/>
  <c r="AE139" i="1"/>
  <c r="AE154" i="1"/>
  <c r="AD198" i="1"/>
  <c r="AD202" i="1"/>
  <c r="AE131" i="1"/>
  <c r="AE28" i="1"/>
  <c r="AD35" i="1"/>
  <c r="AE43" i="1"/>
  <c r="AE52" i="1"/>
  <c r="AE55" i="1"/>
  <c r="AD60" i="1"/>
  <c r="AD62" i="1"/>
  <c r="AD63" i="1"/>
  <c r="AD70" i="1"/>
  <c r="AE113" i="1"/>
  <c r="AE121" i="1"/>
  <c r="AD134" i="1"/>
  <c r="AE130" i="1"/>
  <c r="AD170" i="1"/>
  <c r="AD174" i="1"/>
  <c r="AD178" i="1"/>
  <c r="AD182" i="1"/>
  <c r="AD186" i="1"/>
  <c r="AD190" i="1"/>
  <c r="AD194" i="1"/>
  <c r="AE198" i="1"/>
  <c r="AE202" i="1"/>
  <c r="AE25" i="1"/>
  <c r="AD25" i="1"/>
  <c r="AE70" i="1"/>
  <c r="AD89" i="1"/>
  <c r="AE134" i="1"/>
  <c r="AE68" i="1"/>
  <c r="AE73" i="1"/>
  <c r="AD90" i="1"/>
  <c r="AE91" i="1"/>
  <c r="AD98" i="1"/>
  <c r="AE99" i="1"/>
  <c r="AE85" i="1"/>
  <c r="AE115" i="1"/>
  <c r="AD115" i="1"/>
  <c r="AD71" i="1"/>
  <c r="AE76" i="1"/>
  <c r="AD79" i="1"/>
  <c r="AE82" i="1"/>
  <c r="AE86" i="1"/>
  <c r="AE92" i="1"/>
  <c r="AE100" i="1"/>
  <c r="AE169" i="1"/>
  <c r="AD169" i="1"/>
  <c r="AE185" i="1"/>
  <c r="AD185" i="1"/>
  <c r="AE111" i="1"/>
  <c r="AD111" i="1"/>
  <c r="AD65" i="1"/>
  <c r="AD69" i="1"/>
  <c r="AD77" i="1"/>
  <c r="AD138" i="1"/>
  <c r="AE138" i="1"/>
  <c r="AE119" i="1"/>
  <c r="AD119" i="1"/>
  <c r="AD67" i="1"/>
  <c r="AD72" i="1"/>
  <c r="AD80" i="1"/>
  <c r="AE83" i="1"/>
  <c r="AD84" i="1"/>
  <c r="AE87" i="1"/>
  <c r="AD88" i="1"/>
  <c r="AD96" i="1"/>
  <c r="AD104" i="1"/>
  <c r="AE107" i="1"/>
  <c r="AD107" i="1"/>
  <c r="AD37" i="1"/>
  <c r="AD41" i="1"/>
  <c r="AD45" i="1"/>
  <c r="AD49" i="1"/>
  <c r="AD53" i="1"/>
  <c r="AD57" i="1"/>
  <c r="AD61" i="1"/>
  <c r="AE65" i="1"/>
  <c r="AE69" i="1"/>
  <c r="AE77" i="1"/>
  <c r="AD94" i="1"/>
  <c r="AE95" i="1"/>
  <c r="AD102" i="1"/>
  <c r="AE103" i="1"/>
  <c r="AE72" i="1"/>
  <c r="AE80" i="1"/>
  <c r="AD81" i="1"/>
  <c r="AE84" i="1"/>
  <c r="AD85" i="1"/>
  <c r="AE88" i="1"/>
  <c r="AE96" i="1"/>
  <c r="AE104" i="1"/>
  <c r="AE123" i="1"/>
  <c r="AD123" i="1"/>
  <c r="AD126" i="1"/>
  <c r="AE126" i="1"/>
  <c r="AD75" i="1"/>
  <c r="AD68" i="1"/>
  <c r="AD73" i="1"/>
  <c r="AE90" i="1"/>
  <c r="AD91" i="1"/>
  <c r="AE98" i="1"/>
  <c r="AD99" i="1"/>
  <c r="AE108" i="1"/>
  <c r="AE112" i="1"/>
  <c r="AE116" i="1"/>
  <c r="AE124" i="1"/>
  <c r="AD152" i="1"/>
  <c r="AE153" i="1"/>
  <c r="AE120" i="1"/>
  <c r="AE161" i="1"/>
  <c r="AD161" i="1"/>
  <c r="AE162" i="1"/>
  <c r="AE173" i="1"/>
  <c r="AD173" i="1"/>
  <c r="AE189" i="1"/>
  <c r="AD189" i="1"/>
  <c r="AD127" i="1"/>
  <c r="AD150" i="1"/>
  <c r="AD148" i="1"/>
  <c r="AE149" i="1"/>
  <c r="AE177" i="1"/>
  <c r="AD177" i="1"/>
  <c r="AE193" i="1"/>
  <c r="AD193" i="1"/>
  <c r="AD144" i="1"/>
  <c r="AE145" i="1"/>
  <c r="AD146" i="1"/>
  <c r="AE150" i="1"/>
  <c r="AD158" i="1"/>
  <c r="AE165" i="1"/>
  <c r="AD165" i="1"/>
  <c r="AE166" i="1"/>
  <c r="AD140" i="1"/>
  <c r="AE141" i="1"/>
  <c r="AD156" i="1"/>
  <c r="AE157" i="1"/>
  <c r="AE181" i="1"/>
  <c r="AD181" i="1"/>
  <c r="AE197" i="1"/>
  <c r="AD197" i="1"/>
  <c r="AE201" i="1"/>
  <c r="AD201" i="1"/>
  <c r="AD128" i="1"/>
  <c r="AE129" i="1"/>
  <c r="AD132" i="1"/>
  <c r="AE133" i="1"/>
  <c r="AD136" i="1"/>
  <c r="AE137" i="1"/>
  <c r="AE146" i="1"/>
  <c r="AE152" i="1"/>
  <c r="AE158" i="1"/>
  <c r="AD172" i="1"/>
  <c r="AD176" i="1"/>
  <c r="AD180" i="1"/>
  <c r="AD184" i="1"/>
  <c r="AD188" i="1"/>
  <c r="AD192" i="1"/>
  <c r="AD196" i="1"/>
  <c r="AD200" i="1"/>
  <c r="AD204" i="1"/>
  <c r="AX53" i="1" l="1"/>
  <c r="U53" i="1"/>
  <c r="Z53" i="1" s="1"/>
  <c r="AX148" i="1"/>
  <c r="U148" i="1"/>
  <c r="Z148" i="1" s="1"/>
  <c r="AX147" i="1"/>
  <c r="U147" i="1"/>
  <c r="Z147" i="1" s="1"/>
  <c r="AX5" i="1"/>
  <c r="AX117" i="1"/>
  <c r="U117" i="1"/>
  <c r="Z117" i="1" s="1"/>
  <c r="AX85" i="1"/>
  <c r="U85" i="1"/>
  <c r="Z85" i="1" s="1"/>
  <c r="U11" i="1"/>
  <c r="Z11" i="1" s="1"/>
  <c r="AX11" i="1"/>
  <c r="AX116" i="1"/>
  <c r="U116" i="1"/>
  <c r="Z116" i="1" s="1"/>
  <c r="AX52" i="1"/>
  <c r="U52" i="1"/>
  <c r="Z52" i="1" s="1"/>
  <c r="AX16" i="1"/>
  <c r="U16" i="1"/>
  <c r="Z16" i="1" s="1"/>
  <c r="AX27" i="1"/>
  <c r="U27" i="1"/>
  <c r="Z27" i="1" s="1"/>
  <c r="AX179" i="1"/>
  <c r="U179" i="1"/>
  <c r="Z179" i="1" s="1"/>
  <c r="AX83" i="1"/>
  <c r="U83" i="1"/>
  <c r="Z83" i="1" s="1"/>
  <c r="AX51" i="1"/>
  <c r="U51" i="1"/>
  <c r="Z51" i="1" s="1"/>
  <c r="AX170" i="1"/>
  <c r="U170" i="1"/>
  <c r="Z170" i="1" s="1"/>
  <c r="AX106" i="1"/>
  <c r="U106" i="1"/>
  <c r="Z106" i="1" s="1"/>
  <c r="AX74" i="1"/>
  <c r="U74" i="1"/>
  <c r="Z74" i="1" s="1"/>
  <c r="AX42" i="1"/>
  <c r="U42" i="1"/>
  <c r="Z42" i="1" s="1"/>
  <c r="AX26" i="1"/>
  <c r="U26" i="1"/>
  <c r="Z26" i="1" s="1"/>
  <c r="AX161" i="1"/>
  <c r="U161" i="1"/>
  <c r="Z161" i="1" s="1"/>
  <c r="AX33" i="1"/>
  <c r="U33" i="1"/>
  <c r="Z33" i="1" s="1"/>
  <c r="AX151" i="1"/>
  <c r="U151" i="1"/>
  <c r="Z151" i="1" s="1"/>
  <c r="AX59" i="1"/>
  <c r="U59" i="1"/>
  <c r="Z59" i="1" s="1"/>
  <c r="AX65" i="1"/>
  <c r="U65" i="1"/>
  <c r="Z65" i="1" s="1"/>
  <c r="AX50" i="1"/>
  <c r="U50" i="1"/>
  <c r="Z50" i="1" s="1"/>
  <c r="AO5" i="1"/>
  <c r="AT5" i="1"/>
  <c r="E146" i="28"/>
  <c r="E168" i="28"/>
  <c r="E104" i="28"/>
  <c r="E72" i="28"/>
  <c r="E40" i="28"/>
  <c r="E81" i="28"/>
  <c r="E115" i="28"/>
  <c r="E177" i="28"/>
  <c r="E159" i="28"/>
  <c r="E24" i="28"/>
  <c r="E31" i="28"/>
  <c r="E14" i="28"/>
  <c r="E50" i="28"/>
  <c r="E49" i="28"/>
  <c r="E25" i="28"/>
  <c r="AP61" i="1"/>
  <c r="AW61" i="1" s="1"/>
  <c r="AP119" i="1"/>
  <c r="AW119" i="1" s="1"/>
  <c r="AP198" i="1"/>
  <c r="AW198" i="1" s="1"/>
  <c r="AP118" i="1"/>
  <c r="AW118" i="1" s="1"/>
  <c r="AP38" i="1"/>
  <c r="E149" i="28"/>
  <c r="AP117" i="1"/>
  <c r="AW117" i="1" s="1"/>
  <c r="AP89" i="1"/>
  <c r="AW89" i="1" s="1"/>
  <c r="AP57" i="1"/>
  <c r="AW57" i="1" s="1"/>
  <c r="AP27" i="1"/>
  <c r="AP195" i="1"/>
  <c r="AW195" i="1" s="1"/>
  <c r="AP179" i="1"/>
  <c r="AW179" i="1" s="1"/>
  <c r="AP163" i="1"/>
  <c r="AW163" i="1" s="1"/>
  <c r="AP149" i="1"/>
  <c r="AW149" i="1" s="1"/>
  <c r="AP133" i="1"/>
  <c r="AW133" i="1" s="1"/>
  <c r="AP115" i="1"/>
  <c r="AW115" i="1" s="1"/>
  <c r="AP81" i="1"/>
  <c r="AW81" i="1" s="1"/>
  <c r="AP47" i="1"/>
  <c r="AP28" i="1"/>
  <c r="AP24" i="1"/>
  <c r="AP196" i="1"/>
  <c r="AW196" i="1" s="1"/>
  <c r="AP180" i="1"/>
  <c r="AW180" i="1" s="1"/>
  <c r="AP164" i="1"/>
  <c r="AW164" i="1" s="1"/>
  <c r="AP148" i="1"/>
  <c r="AW148" i="1" s="1"/>
  <c r="AP132" i="1"/>
  <c r="AW132" i="1" s="1"/>
  <c r="AP116" i="1"/>
  <c r="AW116" i="1" s="1"/>
  <c r="AP100" i="1"/>
  <c r="AW100" i="1" s="1"/>
  <c r="AP84" i="1"/>
  <c r="AW84" i="1" s="1"/>
  <c r="AP68" i="1"/>
  <c r="AW68" i="1" s="1"/>
  <c r="AP52" i="1"/>
  <c r="AP36" i="1"/>
  <c r="F14" i="28"/>
  <c r="AP197" i="1"/>
  <c r="AW197" i="1" s="1"/>
  <c r="AP51" i="1"/>
  <c r="AP166" i="1"/>
  <c r="AW166" i="1" s="1"/>
  <c r="AP86" i="1"/>
  <c r="AW86" i="1" s="1"/>
  <c r="AP113" i="1"/>
  <c r="AW113" i="1" s="1"/>
  <c r="AP83" i="1"/>
  <c r="AW83" i="1" s="1"/>
  <c r="AP53" i="1"/>
  <c r="AP34" i="1"/>
  <c r="AP193" i="1"/>
  <c r="AW193" i="1" s="1"/>
  <c r="AP177" i="1"/>
  <c r="AW177" i="1" s="1"/>
  <c r="AP161" i="1"/>
  <c r="AW161" i="1" s="1"/>
  <c r="AP147" i="1"/>
  <c r="AW147" i="1" s="1"/>
  <c r="AP131" i="1"/>
  <c r="AW131" i="1" s="1"/>
  <c r="AP111" i="1"/>
  <c r="AW111" i="1" s="1"/>
  <c r="AP77" i="1"/>
  <c r="AW77" i="1" s="1"/>
  <c r="AP45" i="1"/>
  <c r="AP6" i="1"/>
  <c r="AW6" i="1" s="1"/>
  <c r="AP9" i="1"/>
  <c r="AW9" i="1" s="1"/>
  <c r="AP194" i="1"/>
  <c r="AW194" i="1" s="1"/>
  <c r="AP178" i="1"/>
  <c r="AW178" i="1" s="1"/>
  <c r="AP162" i="1"/>
  <c r="AW162" i="1" s="1"/>
  <c r="AP146" i="1"/>
  <c r="AW146" i="1" s="1"/>
  <c r="AP130" i="1"/>
  <c r="AW130" i="1" s="1"/>
  <c r="AP114" i="1"/>
  <c r="AW114" i="1" s="1"/>
  <c r="AP98" i="1"/>
  <c r="AW98" i="1" s="1"/>
  <c r="AP82" i="1"/>
  <c r="AW82" i="1" s="1"/>
  <c r="AP66" i="1"/>
  <c r="AW66" i="1" s="1"/>
  <c r="AP50" i="1"/>
  <c r="AW50" i="1" s="1"/>
  <c r="AP7" i="1"/>
  <c r="AW7" i="1" s="1"/>
  <c r="AP93" i="1"/>
  <c r="AW93" i="1" s="1"/>
  <c r="AP165" i="1"/>
  <c r="AW165" i="1" s="1"/>
  <c r="AP20" i="1"/>
  <c r="AP150" i="1"/>
  <c r="AW150" i="1" s="1"/>
  <c r="AP70" i="1"/>
  <c r="AW70" i="1" s="1"/>
  <c r="AP109" i="1"/>
  <c r="AW109" i="1" s="1"/>
  <c r="AP79" i="1"/>
  <c r="AW79" i="1" s="1"/>
  <c r="AP49" i="1"/>
  <c r="AP16" i="1"/>
  <c r="AP191" i="1"/>
  <c r="AW191" i="1" s="1"/>
  <c r="AP175" i="1"/>
  <c r="AW175" i="1" s="1"/>
  <c r="AP145" i="1"/>
  <c r="AW145" i="1" s="1"/>
  <c r="AP129" i="1"/>
  <c r="AW129" i="1" s="1"/>
  <c r="AP107" i="1"/>
  <c r="AW107" i="1" s="1"/>
  <c r="AP71" i="1"/>
  <c r="AW71" i="1" s="1"/>
  <c r="AP41" i="1"/>
  <c r="AP13" i="1"/>
  <c r="AP22" i="1"/>
  <c r="AW22" i="1" s="1"/>
  <c r="AP192" i="1"/>
  <c r="AW192" i="1" s="1"/>
  <c r="AP176" i="1"/>
  <c r="AW176" i="1" s="1"/>
  <c r="AP160" i="1"/>
  <c r="AW160" i="1" s="1"/>
  <c r="AP144" i="1"/>
  <c r="AW144" i="1" s="1"/>
  <c r="AP128" i="1"/>
  <c r="AW128" i="1" s="1"/>
  <c r="AP112" i="1"/>
  <c r="AW112" i="1" s="1"/>
  <c r="AP96" i="1"/>
  <c r="AW96" i="1" s="1"/>
  <c r="AP80" i="1"/>
  <c r="AW80" i="1" s="1"/>
  <c r="AP64" i="1"/>
  <c r="AW64" i="1" s="1"/>
  <c r="AP48" i="1"/>
  <c r="AP15" i="1"/>
  <c r="AP26" i="1"/>
  <c r="AP151" i="1"/>
  <c r="AW151" i="1" s="1"/>
  <c r="AP30" i="1"/>
  <c r="AP134" i="1"/>
  <c r="AW134" i="1" s="1"/>
  <c r="AP54" i="1"/>
  <c r="AW54" i="1" s="1"/>
  <c r="AP105" i="1"/>
  <c r="AW105" i="1" s="1"/>
  <c r="AP75" i="1"/>
  <c r="AW75" i="1" s="1"/>
  <c r="AP43" i="1"/>
  <c r="AP25" i="1"/>
  <c r="AP189" i="1"/>
  <c r="AW189" i="1" s="1"/>
  <c r="AP173" i="1"/>
  <c r="AW173" i="1" s="1"/>
  <c r="AP159" i="1"/>
  <c r="AW159" i="1" s="1"/>
  <c r="AP143" i="1"/>
  <c r="AW143" i="1" s="1"/>
  <c r="AP127" i="1"/>
  <c r="AW127" i="1" s="1"/>
  <c r="AP99" i="1"/>
  <c r="AW99" i="1" s="1"/>
  <c r="AP67" i="1"/>
  <c r="AW67" i="1" s="1"/>
  <c r="AP37" i="1"/>
  <c r="AP21" i="1"/>
  <c r="AW21" i="1" s="1"/>
  <c r="AP17" i="1"/>
  <c r="AP190" i="1"/>
  <c r="AW190" i="1" s="1"/>
  <c r="AP174" i="1"/>
  <c r="AW174" i="1" s="1"/>
  <c r="AP158" i="1"/>
  <c r="AW158" i="1" s="1"/>
  <c r="AP142" i="1"/>
  <c r="AW142" i="1" s="1"/>
  <c r="AP126" i="1"/>
  <c r="AW126" i="1" s="1"/>
  <c r="AP110" i="1"/>
  <c r="AW110" i="1" s="1"/>
  <c r="AP94" i="1"/>
  <c r="AW94" i="1" s="1"/>
  <c r="AP78" i="1"/>
  <c r="AW78" i="1" s="1"/>
  <c r="AP62" i="1"/>
  <c r="AW62" i="1" s="1"/>
  <c r="AP46" i="1"/>
  <c r="AP23" i="1"/>
  <c r="AP11" i="1"/>
  <c r="AW11" i="1" s="1"/>
  <c r="AP85" i="1"/>
  <c r="AW85" i="1" s="1"/>
  <c r="AP182" i="1"/>
  <c r="AW182" i="1" s="1"/>
  <c r="AP102" i="1"/>
  <c r="AW102" i="1" s="1"/>
  <c r="AP103" i="1"/>
  <c r="AW103" i="1" s="1"/>
  <c r="AP73" i="1"/>
  <c r="AW73" i="1" s="1"/>
  <c r="AP39" i="1"/>
  <c r="AP203" i="1"/>
  <c r="AW203" i="1" s="1"/>
  <c r="AP187" i="1"/>
  <c r="AW187" i="1" s="1"/>
  <c r="AP171" i="1"/>
  <c r="AW171" i="1" s="1"/>
  <c r="AP157" i="1"/>
  <c r="AW157" i="1" s="1"/>
  <c r="AP141" i="1"/>
  <c r="AW141" i="1" s="1"/>
  <c r="AP125" i="1"/>
  <c r="AW125" i="1" s="1"/>
  <c r="AP95" i="1"/>
  <c r="AW95" i="1" s="1"/>
  <c r="AP63" i="1"/>
  <c r="AW63" i="1" s="1"/>
  <c r="AP19" i="1"/>
  <c r="AP29" i="1"/>
  <c r="AP204" i="1"/>
  <c r="AW204" i="1" s="1"/>
  <c r="AP188" i="1"/>
  <c r="AW188" i="1" s="1"/>
  <c r="AP172" i="1"/>
  <c r="AW172" i="1" s="1"/>
  <c r="AP156" i="1"/>
  <c r="AW156" i="1" s="1"/>
  <c r="AP140" i="1"/>
  <c r="AW140" i="1" s="1"/>
  <c r="AP124" i="1"/>
  <c r="AW124" i="1" s="1"/>
  <c r="AP108" i="1"/>
  <c r="AW108" i="1" s="1"/>
  <c r="AP92" i="1"/>
  <c r="AW92" i="1" s="1"/>
  <c r="AP76" i="1"/>
  <c r="AW76" i="1" s="1"/>
  <c r="AP60" i="1"/>
  <c r="AW60" i="1" s="1"/>
  <c r="AP44" i="1"/>
  <c r="AP135" i="1"/>
  <c r="AW135" i="1" s="1"/>
  <c r="AP10" i="1"/>
  <c r="AW10" i="1" s="1"/>
  <c r="AP101" i="1"/>
  <c r="AW101" i="1" s="1"/>
  <c r="AP69" i="1"/>
  <c r="AW69" i="1" s="1"/>
  <c r="AP35" i="1"/>
  <c r="AP201" i="1"/>
  <c r="AW201" i="1" s="1"/>
  <c r="AP185" i="1"/>
  <c r="AW185" i="1" s="1"/>
  <c r="AP169" i="1"/>
  <c r="AW169" i="1" s="1"/>
  <c r="AP155" i="1"/>
  <c r="AW155" i="1" s="1"/>
  <c r="AP139" i="1"/>
  <c r="AW139" i="1" s="1"/>
  <c r="AP123" i="1"/>
  <c r="AW123" i="1" s="1"/>
  <c r="AP91" i="1"/>
  <c r="AW91" i="1" s="1"/>
  <c r="AP59" i="1"/>
  <c r="AW59" i="1" s="1"/>
  <c r="AP8" i="1"/>
  <c r="AW8" i="1" s="1"/>
  <c r="AP32" i="1"/>
  <c r="AP202" i="1"/>
  <c r="AW202" i="1" s="1"/>
  <c r="AP186" i="1"/>
  <c r="AW186" i="1" s="1"/>
  <c r="AP170" i="1"/>
  <c r="AW170" i="1" s="1"/>
  <c r="AP154" i="1"/>
  <c r="AW154" i="1" s="1"/>
  <c r="AP138" i="1"/>
  <c r="AW138" i="1" s="1"/>
  <c r="AP122" i="1"/>
  <c r="AW122" i="1" s="1"/>
  <c r="AP106" i="1"/>
  <c r="AW106" i="1" s="1"/>
  <c r="AP90" i="1"/>
  <c r="AW90" i="1" s="1"/>
  <c r="AP74" i="1"/>
  <c r="AW74" i="1" s="1"/>
  <c r="AP58" i="1"/>
  <c r="AW58" i="1" s="1"/>
  <c r="AP42" i="1"/>
  <c r="AP181" i="1"/>
  <c r="AW181" i="1" s="1"/>
  <c r="AP18" i="1"/>
  <c r="AP97" i="1"/>
  <c r="AW97" i="1" s="1"/>
  <c r="AP65" i="1"/>
  <c r="AW65" i="1" s="1"/>
  <c r="AP33" i="1"/>
  <c r="AP199" i="1"/>
  <c r="AW199" i="1" s="1"/>
  <c r="AP183" i="1"/>
  <c r="AW183" i="1" s="1"/>
  <c r="AP167" i="1"/>
  <c r="AW167" i="1" s="1"/>
  <c r="AP153" i="1"/>
  <c r="AW153" i="1" s="1"/>
  <c r="AP137" i="1"/>
  <c r="AW137" i="1" s="1"/>
  <c r="AP121" i="1"/>
  <c r="AW121" i="1" s="1"/>
  <c r="AP87" i="1"/>
  <c r="AW87" i="1" s="1"/>
  <c r="AP55" i="1"/>
  <c r="AP12" i="1"/>
  <c r="AW12" i="1" s="1"/>
  <c r="AP14" i="1"/>
  <c r="AP200" i="1"/>
  <c r="AW200" i="1" s="1"/>
  <c r="AP184" i="1"/>
  <c r="AW184" i="1" s="1"/>
  <c r="AP168" i="1"/>
  <c r="AW168" i="1" s="1"/>
  <c r="AP152" i="1"/>
  <c r="AW152" i="1" s="1"/>
  <c r="AP136" i="1"/>
  <c r="AW136" i="1" s="1"/>
  <c r="AP120" i="1"/>
  <c r="AW120" i="1" s="1"/>
  <c r="AP104" i="1"/>
  <c r="AW104" i="1" s="1"/>
  <c r="AP88" i="1"/>
  <c r="AW88" i="1" s="1"/>
  <c r="AP72" i="1"/>
  <c r="AW72" i="1" s="1"/>
  <c r="AP56" i="1"/>
  <c r="AP40" i="1"/>
  <c r="AP31" i="1"/>
  <c r="E48" i="28"/>
  <c r="E57" i="28"/>
  <c r="E51" i="28"/>
  <c r="E145" i="28"/>
  <c r="E63" i="28"/>
  <c r="AG26" i="1"/>
  <c r="L24" i="28" s="1"/>
  <c r="AG30" i="1"/>
  <c r="L28" i="28" s="1"/>
  <c r="AG36" i="1"/>
  <c r="L34" i="28" s="1"/>
  <c r="AG53" i="1"/>
  <c r="AG34" i="1"/>
  <c r="AG45" i="1"/>
  <c r="AG6" i="1"/>
  <c r="AG9" i="1"/>
  <c r="AG50" i="1"/>
  <c r="AG7" i="1"/>
  <c r="L5" i="28" s="1"/>
  <c r="AG51" i="1"/>
  <c r="AG27" i="1"/>
  <c r="AG24" i="1"/>
  <c r="L22" i="28" s="1"/>
  <c r="AG52" i="1"/>
  <c r="AG49" i="1"/>
  <c r="AG16" i="1"/>
  <c r="AG41" i="1"/>
  <c r="AG13" i="1"/>
  <c r="L11" i="28" s="1"/>
  <c r="AG22" i="1"/>
  <c r="AG48" i="1"/>
  <c r="L46" i="28" s="1"/>
  <c r="AG15" i="1"/>
  <c r="AG43" i="1"/>
  <c r="AG37" i="1"/>
  <c r="L35" i="28" s="1"/>
  <c r="AG23" i="1"/>
  <c r="AG25" i="1"/>
  <c r="AG21" i="1"/>
  <c r="AG39" i="1"/>
  <c r="AG19" i="1"/>
  <c r="AG29" i="1"/>
  <c r="AG44" i="1"/>
  <c r="AG11" i="1"/>
  <c r="L9" i="28" s="1"/>
  <c r="AG20" i="1"/>
  <c r="AG38" i="1"/>
  <c r="AG28" i="1"/>
  <c r="L26" i="28" s="1"/>
  <c r="AG17" i="1"/>
  <c r="AG46" i="1"/>
  <c r="AG10" i="1"/>
  <c r="AG35" i="1"/>
  <c r="AG8" i="1"/>
  <c r="L6" i="28" s="1"/>
  <c r="AG32" i="1"/>
  <c r="AG42" i="1"/>
  <c r="AG54" i="1"/>
  <c r="AG47" i="1"/>
  <c r="AG18" i="1"/>
  <c r="AG33" i="1"/>
  <c r="AG55" i="1"/>
  <c r="AG12" i="1"/>
  <c r="L10" i="28" s="1"/>
  <c r="AG14" i="1"/>
  <c r="AG56" i="1"/>
  <c r="AG40" i="1"/>
  <c r="AG31" i="1"/>
  <c r="AG93" i="1"/>
  <c r="L91" i="28" s="1"/>
  <c r="AG61" i="1"/>
  <c r="AG197" i="1"/>
  <c r="L195" i="28" s="1"/>
  <c r="AG181" i="1"/>
  <c r="AG165" i="1"/>
  <c r="AG151" i="1"/>
  <c r="AG135" i="1"/>
  <c r="AG119" i="1"/>
  <c r="L117" i="28" s="1"/>
  <c r="AG85" i="1"/>
  <c r="AG198" i="1"/>
  <c r="L196" i="28" s="1"/>
  <c r="AG182" i="1"/>
  <c r="AG166" i="1"/>
  <c r="AG150" i="1"/>
  <c r="AG134" i="1"/>
  <c r="AG118" i="1"/>
  <c r="AG102" i="1"/>
  <c r="AG86" i="1"/>
  <c r="L84" i="28" s="1"/>
  <c r="AG70" i="1"/>
  <c r="AG117" i="1"/>
  <c r="AG89" i="1"/>
  <c r="AG57" i="1"/>
  <c r="AG195" i="1"/>
  <c r="AG179" i="1"/>
  <c r="AG163" i="1"/>
  <c r="AG149" i="1"/>
  <c r="AG133" i="1"/>
  <c r="AG115" i="1"/>
  <c r="AG81" i="1"/>
  <c r="AG196" i="1"/>
  <c r="AG180" i="1"/>
  <c r="AG164" i="1"/>
  <c r="AG148" i="1"/>
  <c r="AG132" i="1"/>
  <c r="AG116" i="1"/>
  <c r="AG100" i="1"/>
  <c r="AG84" i="1"/>
  <c r="AG68" i="1"/>
  <c r="AG113" i="1"/>
  <c r="AG83" i="1"/>
  <c r="AG193" i="1"/>
  <c r="AG177" i="1"/>
  <c r="L175" i="28" s="1"/>
  <c r="AG161" i="1"/>
  <c r="L159" i="28" s="1"/>
  <c r="AG147" i="1"/>
  <c r="AG131" i="1"/>
  <c r="L129" i="28" s="1"/>
  <c r="AG111" i="1"/>
  <c r="AG77" i="1"/>
  <c r="AG194" i="1"/>
  <c r="AG178" i="1"/>
  <c r="AG162" i="1"/>
  <c r="AG146" i="1"/>
  <c r="AG130" i="1"/>
  <c r="L128" i="28" s="1"/>
  <c r="AG114" i="1"/>
  <c r="AG98" i="1"/>
  <c r="AG82" i="1"/>
  <c r="AG66" i="1"/>
  <c r="AG109" i="1"/>
  <c r="AG79" i="1"/>
  <c r="AG191" i="1"/>
  <c r="AG175" i="1"/>
  <c r="AG145" i="1"/>
  <c r="L143" i="28" s="1"/>
  <c r="AG129" i="1"/>
  <c r="AG107" i="1"/>
  <c r="AG71" i="1"/>
  <c r="AG192" i="1"/>
  <c r="AG176" i="1"/>
  <c r="AG160" i="1"/>
  <c r="AG144" i="1"/>
  <c r="AG128" i="1"/>
  <c r="L126" i="28" s="1"/>
  <c r="AG112" i="1"/>
  <c r="AG96" i="1"/>
  <c r="AG80" i="1"/>
  <c r="AG64" i="1"/>
  <c r="AG105" i="1"/>
  <c r="L103" i="28" s="1"/>
  <c r="AG75" i="1"/>
  <c r="AG189" i="1"/>
  <c r="AG173" i="1"/>
  <c r="L171" i="28" s="1"/>
  <c r="AG159" i="1"/>
  <c r="AG143" i="1"/>
  <c r="AG127" i="1"/>
  <c r="AG99" i="1"/>
  <c r="AG67" i="1"/>
  <c r="L65" i="28" s="1"/>
  <c r="AG190" i="1"/>
  <c r="AG174" i="1"/>
  <c r="AG158" i="1"/>
  <c r="L156" i="28" s="1"/>
  <c r="AG142" i="1"/>
  <c r="AG126" i="1"/>
  <c r="AG110" i="1"/>
  <c r="L108" i="28" s="1"/>
  <c r="AG94" i="1"/>
  <c r="AG78" i="1"/>
  <c r="AG62" i="1"/>
  <c r="AG103" i="1"/>
  <c r="L101" i="28" s="1"/>
  <c r="AG73" i="1"/>
  <c r="AG203" i="1"/>
  <c r="AG187" i="1"/>
  <c r="AG171" i="1"/>
  <c r="AG157" i="1"/>
  <c r="AG141" i="1"/>
  <c r="AG125" i="1"/>
  <c r="AG95" i="1"/>
  <c r="AG63" i="1"/>
  <c r="L61" i="28" s="1"/>
  <c r="AG204" i="1"/>
  <c r="AG188" i="1"/>
  <c r="AG172" i="1"/>
  <c r="AG156" i="1"/>
  <c r="AG140" i="1"/>
  <c r="AG124" i="1"/>
  <c r="AG108" i="1"/>
  <c r="AG92" i="1"/>
  <c r="AG76" i="1"/>
  <c r="AG60" i="1"/>
  <c r="AG101" i="1"/>
  <c r="AG69" i="1"/>
  <c r="AG201" i="1"/>
  <c r="AG185" i="1"/>
  <c r="AG169" i="1"/>
  <c r="AG155" i="1"/>
  <c r="AG139" i="1"/>
  <c r="AG123" i="1"/>
  <c r="AG91" i="1"/>
  <c r="AG59" i="1"/>
  <c r="AG202" i="1"/>
  <c r="AG186" i="1"/>
  <c r="AG170" i="1"/>
  <c r="AG154" i="1"/>
  <c r="AG138" i="1"/>
  <c r="AG122" i="1"/>
  <c r="L120" i="28" s="1"/>
  <c r="AG106" i="1"/>
  <c r="AG90" i="1"/>
  <c r="AG74" i="1"/>
  <c r="AG58" i="1"/>
  <c r="AG97" i="1"/>
  <c r="AG65" i="1"/>
  <c r="AG199" i="1"/>
  <c r="AG183" i="1"/>
  <c r="AG167" i="1"/>
  <c r="AG153" i="1"/>
  <c r="AG137" i="1"/>
  <c r="AG121" i="1"/>
  <c r="AG87" i="1"/>
  <c r="AG200" i="1"/>
  <c r="L198" i="28" s="1"/>
  <c r="AG184" i="1"/>
  <c r="AG168" i="1"/>
  <c r="AG152" i="1"/>
  <c r="AG136" i="1"/>
  <c r="AG120" i="1"/>
  <c r="AG104" i="1"/>
  <c r="AG88" i="1"/>
  <c r="AG72" i="1"/>
  <c r="F51" i="28"/>
  <c r="F50" i="28"/>
  <c r="F25" i="28"/>
  <c r="F48" i="28"/>
  <c r="E140" i="28"/>
  <c r="AX142" i="1"/>
  <c r="E119" i="28"/>
  <c r="AX121" i="1"/>
  <c r="E142" i="28"/>
  <c r="AX144" i="1"/>
  <c r="E110" i="28"/>
  <c r="AX112" i="1"/>
  <c r="E78" i="28"/>
  <c r="AX80" i="1"/>
  <c r="E46" i="28"/>
  <c r="AX48" i="1"/>
  <c r="F46" i="28" s="1"/>
  <c r="E18" i="28"/>
  <c r="AX20" i="1"/>
  <c r="F18" i="28" s="1"/>
  <c r="E47" i="28"/>
  <c r="AX49" i="1"/>
  <c r="F47" i="28" s="1"/>
  <c r="E173" i="28"/>
  <c r="AX175" i="1"/>
  <c r="E141" i="28"/>
  <c r="AX143" i="1"/>
  <c r="E109" i="28"/>
  <c r="AX111" i="1"/>
  <c r="E45" i="28"/>
  <c r="AX47" i="1"/>
  <c r="F45" i="28" s="1"/>
  <c r="E17" i="28"/>
  <c r="AX19" i="1"/>
  <c r="F17" i="28" s="1"/>
  <c r="E172" i="28"/>
  <c r="AX174" i="1"/>
  <c r="E76" i="28"/>
  <c r="AX78" i="1"/>
  <c r="E44" i="28"/>
  <c r="AX46" i="1"/>
  <c r="F44" i="28" s="1"/>
  <c r="E20" i="28"/>
  <c r="AX22" i="1"/>
  <c r="F20" i="28" s="1"/>
  <c r="E39" i="28"/>
  <c r="AX41" i="1"/>
  <c r="F39" i="28" s="1"/>
  <c r="E171" i="28"/>
  <c r="AX173" i="1"/>
  <c r="E139" i="28"/>
  <c r="AX141" i="1"/>
  <c r="E107" i="28"/>
  <c r="AX109" i="1"/>
  <c r="E202" i="28"/>
  <c r="AX204" i="1"/>
  <c r="E170" i="28"/>
  <c r="AX172" i="1"/>
  <c r="E138" i="28"/>
  <c r="AX140" i="1"/>
  <c r="E106" i="28"/>
  <c r="AX108" i="1"/>
  <c r="E74" i="28"/>
  <c r="AX76" i="1"/>
  <c r="E42" i="28"/>
  <c r="AX44" i="1"/>
  <c r="F42" i="28" s="1"/>
  <c r="E22" i="28"/>
  <c r="AX24" i="1"/>
  <c r="F22" i="28" s="1"/>
  <c r="E169" i="28"/>
  <c r="AX171" i="1"/>
  <c r="E137" i="28"/>
  <c r="AX139" i="1"/>
  <c r="E73" i="28"/>
  <c r="AX75" i="1"/>
  <c r="E41" i="28"/>
  <c r="AX43" i="1"/>
  <c r="F41" i="28" s="1"/>
  <c r="E23" i="28"/>
  <c r="AX25" i="1"/>
  <c r="F23" i="28" s="1"/>
  <c r="E160" i="28"/>
  <c r="AX162" i="1"/>
  <c r="E128" i="28"/>
  <c r="AX130" i="1"/>
  <c r="E96" i="28"/>
  <c r="AX98" i="1"/>
  <c r="E64" i="28"/>
  <c r="AX66" i="1"/>
  <c r="E32" i="28"/>
  <c r="AX34" i="1"/>
  <c r="F32" i="28" s="1"/>
  <c r="E151" i="28"/>
  <c r="AX153" i="1"/>
  <c r="E174" i="28"/>
  <c r="AX176" i="1"/>
  <c r="E75" i="28"/>
  <c r="AX77" i="1"/>
  <c r="E198" i="28"/>
  <c r="AX200" i="1"/>
  <c r="E166" i="28"/>
  <c r="AX168" i="1"/>
  <c r="E69" i="28"/>
  <c r="AX71" i="1"/>
  <c r="E27" i="28"/>
  <c r="AX29" i="1"/>
  <c r="F27" i="28" s="1"/>
  <c r="E132" i="28"/>
  <c r="AX134" i="1"/>
  <c r="E67" i="28"/>
  <c r="AX69" i="1"/>
  <c r="E35" i="28"/>
  <c r="AX37" i="1"/>
  <c r="F35" i="28" s="1"/>
  <c r="E98" i="28"/>
  <c r="AX100" i="1"/>
  <c r="E135" i="28"/>
  <c r="AX137" i="1"/>
  <c r="E193" i="28"/>
  <c r="AX195" i="1"/>
  <c r="E129" i="28"/>
  <c r="AX131" i="1"/>
  <c r="E97" i="28"/>
  <c r="AX99" i="1"/>
  <c r="E143" i="28"/>
  <c r="AX145" i="1"/>
  <c r="E127" i="28"/>
  <c r="AX129" i="1"/>
  <c r="E43" i="28"/>
  <c r="AX45" i="1"/>
  <c r="F43" i="28" s="1"/>
  <c r="E183" i="28"/>
  <c r="AX185" i="1"/>
  <c r="E134" i="28"/>
  <c r="AX136" i="1"/>
  <c r="E102" i="28"/>
  <c r="AX104" i="1"/>
  <c r="E70" i="28"/>
  <c r="AX72" i="1"/>
  <c r="E38" i="28"/>
  <c r="AX40" i="1"/>
  <c r="F38" i="28" s="1"/>
  <c r="E26" i="28"/>
  <c r="AX28" i="1"/>
  <c r="F26" i="28" s="1"/>
  <c r="E197" i="28"/>
  <c r="AX199" i="1"/>
  <c r="E165" i="28"/>
  <c r="AX167" i="1"/>
  <c r="E133" i="28"/>
  <c r="AX135" i="1"/>
  <c r="E101" i="28"/>
  <c r="AX103" i="1"/>
  <c r="E37" i="28"/>
  <c r="AX39" i="1"/>
  <c r="F37" i="28" s="1"/>
  <c r="E196" i="28"/>
  <c r="AX198" i="1"/>
  <c r="E164" i="28"/>
  <c r="AX166" i="1"/>
  <c r="E100" i="28"/>
  <c r="AX102" i="1"/>
  <c r="E68" i="28"/>
  <c r="AX70" i="1"/>
  <c r="E36" i="28"/>
  <c r="AX38" i="1"/>
  <c r="F36" i="28" s="1"/>
  <c r="E28" i="28"/>
  <c r="AX30" i="1"/>
  <c r="F28" i="28" s="1"/>
  <c r="E195" i="28"/>
  <c r="AX197" i="1"/>
  <c r="E163" i="28"/>
  <c r="AX165" i="1"/>
  <c r="E131" i="28"/>
  <c r="AX133" i="1"/>
  <c r="E99" i="28"/>
  <c r="AX101" i="1"/>
  <c r="E194" i="28"/>
  <c r="AX196" i="1"/>
  <c r="E162" i="28"/>
  <c r="AX164" i="1"/>
  <c r="E130" i="28"/>
  <c r="AX132" i="1"/>
  <c r="E66" i="28"/>
  <c r="AX68" i="1"/>
  <c r="E34" i="28"/>
  <c r="AX36" i="1"/>
  <c r="F34" i="28" s="1"/>
  <c r="E161" i="28"/>
  <c r="AX163" i="1"/>
  <c r="E65" i="28"/>
  <c r="AX67" i="1"/>
  <c r="E33" i="28"/>
  <c r="AX35" i="1"/>
  <c r="F33" i="28" s="1"/>
  <c r="E184" i="28"/>
  <c r="AX186" i="1"/>
  <c r="E152" i="28"/>
  <c r="AX154" i="1"/>
  <c r="E120" i="28"/>
  <c r="AX122" i="1"/>
  <c r="E88" i="28"/>
  <c r="AX90" i="1"/>
  <c r="E56" i="28"/>
  <c r="AX58" i="1"/>
  <c r="E8" i="28"/>
  <c r="AX10" i="1"/>
  <c r="F8" i="28" s="1"/>
  <c r="E55" i="28"/>
  <c r="AX57" i="1"/>
  <c r="E175" i="28"/>
  <c r="AX177" i="1"/>
  <c r="E77" i="28"/>
  <c r="AX79" i="1"/>
  <c r="E201" i="28"/>
  <c r="AX203" i="1"/>
  <c r="E83" i="28"/>
  <c r="E158" i="28"/>
  <c r="AX160" i="1"/>
  <c r="E93" i="28"/>
  <c r="AX95" i="1"/>
  <c r="E156" i="28"/>
  <c r="AX158" i="1"/>
  <c r="E124" i="28"/>
  <c r="AX126" i="1"/>
  <c r="E187" i="28"/>
  <c r="AX189" i="1"/>
  <c r="E155" i="28"/>
  <c r="AX157" i="1"/>
  <c r="E59" i="28"/>
  <c r="AX61" i="1"/>
  <c r="E154" i="28"/>
  <c r="AX156" i="1"/>
  <c r="E71" i="28"/>
  <c r="AX73" i="1"/>
  <c r="E121" i="28"/>
  <c r="AX123" i="1"/>
  <c r="E80" i="28"/>
  <c r="AX82" i="1"/>
  <c r="E108" i="28"/>
  <c r="AX110" i="1"/>
  <c r="E192" i="28"/>
  <c r="AX194" i="1"/>
  <c r="E190" i="28"/>
  <c r="AX192" i="1"/>
  <c r="E126" i="28"/>
  <c r="AX128" i="1"/>
  <c r="E94" i="28"/>
  <c r="AX96" i="1"/>
  <c r="E62" i="28"/>
  <c r="AX64" i="1"/>
  <c r="E30" i="28"/>
  <c r="AX32" i="1"/>
  <c r="F30" i="28" s="1"/>
  <c r="E5" i="28"/>
  <c r="F5" i="28"/>
  <c r="E189" i="28"/>
  <c r="AX191" i="1"/>
  <c r="E157" i="28"/>
  <c r="AX159" i="1"/>
  <c r="E125" i="28"/>
  <c r="AX127" i="1"/>
  <c r="E61" i="28"/>
  <c r="AX63" i="1"/>
  <c r="E29" i="28"/>
  <c r="AX31" i="1"/>
  <c r="F29" i="28" s="1"/>
  <c r="E21" i="28"/>
  <c r="AX23" i="1"/>
  <c r="F21" i="28" s="1"/>
  <c r="E188" i="28"/>
  <c r="AX190" i="1"/>
  <c r="E92" i="28"/>
  <c r="AX94" i="1"/>
  <c r="E60" i="28"/>
  <c r="AX62" i="1"/>
  <c r="E4" i="28"/>
  <c r="AX6" i="1"/>
  <c r="F4" i="28" s="1"/>
  <c r="E13" i="28"/>
  <c r="AX15" i="1"/>
  <c r="F13" i="28" s="1"/>
  <c r="E123" i="28"/>
  <c r="AX125" i="1"/>
  <c r="E91" i="28"/>
  <c r="AX93" i="1"/>
  <c r="E87" i="28"/>
  <c r="AX89" i="1"/>
  <c r="E186" i="28"/>
  <c r="AX188" i="1"/>
  <c r="E122" i="28"/>
  <c r="AX124" i="1"/>
  <c r="E90" i="28"/>
  <c r="AX92" i="1"/>
  <c r="E58" i="28"/>
  <c r="AX60" i="1"/>
  <c r="E6" i="28"/>
  <c r="AX8" i="1"/>
  <c r="F6" i="28" s="1"/>
  <c r="E185" i="28"/>
  <c r="AX187" i="1"/>
  <c r="E153" i="28"/>
  <c r="AX155" i="1"/>
  <c r="E89" i="28"/>
  <c r="AX91" i="1"/>
  <c r="E7" i="28"/>
  <c r="AX9" i="1"/>
  <c r="F7" i="28" s="1"/>
  <c r="E176" i="28"/>
  <c r="AX178" i="1"/>
  <c r="E144" i="28"/>
  <c r="AX146" i="1"/>
  <c r="E112" i="28"/>
  <c r="AX114" i="1"/>
  <c r="E16" i="28"/>
  <c r="AX18" i="1"/>
  <c r="F16" i="28" s="1"/>
  <c r="E199" i="28"/>
  <c r="AX201" i="1"/>
  <c r="E167" i="28"/>
  <c r="AX169" i="1"/>
  <c r="E95" i="28"/>
  <c r="AX97" i="1"/>
  <c r="E19" i="28"/>
  <c r="AX21" i="1"/>
  <c r="F19" i="28" s="1"/>
  <c r="E105" i="28"/>
  <c r="AX107" i="1"/>
  <c r="E114" i="28"/>
  <c r="E182" i="28"/>
  <c r="AX184" i="1"/>
  <c r="E111" i="28"/>
  <c r="AX113" i="1"/>
  <c r="E85" i="28"/>
  <c r="AX87" i="1"/>
  <c r="E11" i="28"/>
  <c r="AX13" i="1"/>
  <c r="F11" i="28" s="1"/>
  <c r="E79" i="28"/>
  <c r="AX81" i="1"/>
  <c r="E148" i="28"/>
  <c r="AX150" i="1"/>
  <c r="E116" i="28"/>
  <c r="AX118" i="1"/>
  <c r="E103" i="28"/>
  <c r="AX105" i="1"/>
  <c r="E147" i="28"/>
  <c r="AX149" i="1"/>
  <c r="E113" i="28"/>
  <c r="AX115" i="1"/>
  <c r="E191" i="28"/>
  <c r="AX193" i="1"/>
  <c r="E3" i="28"/>
  <c r="E150" i="28"/>
  <c r="AX152" i="1"/>
  <c r="E118" i="28"/>
  <c r="AX120" i="1"/>
  <c r="E86" i="28"/>
  <c r="AX88" i="1"/>
  <c r="E54" i="28"/>
  <c r="AX56" i="1"/>
  <c r="F54" i="28" s="1"/>
  <c r="E10" i="28"/>
  <c r="AX12" i="1"/>
  <c r="F10" i="28" s="1"/>
  <c r="E181" i="28"/>
  <c r="AX183" i="1"/>
  <c r="E117" i="28"/>
  <c r="AX119" i="1"/>
  <c r="E53" i="28"/>
  <c r="AX55" i="1"/>
  <c r="F53" i="28" s="1"/>
  <c r="E180" i="28"/>
  <c r="AX182" i="1"/>
  <c r="E84" i="28"/>
  <c r="AX86" i="1"/>
  <c r="E52" i="28"/>
  <c r="AX54" i="1"/>
  <c r="F52" i="28" s="1"/>
  <c r="E12" i="28"/>
  <c r="AX14" i="1"/>
  <c r="F12" i="28" s="1"/>
  <c r="E179" i="28"/>
  <c r="AX181" i="1"/>
  <c r="E9" i="28"/>
  <c r="F9" i="28"/>
  <c r="E178" i="28"/>
  <c r="AX180" i="1"/>
  <c r="E82" i="28"/>
  <c r="AX84" i="1"/>
  <c r="E15" i="28"/>
  <c r="AX17" i="1"/>
  <c r="F15" i="28" s="1"/>
  <c r="E200" i="28"/>
  <c r="AX202" i="1"/>
  <c r="E136" i="28"/>
  <c r="AX138" i="1"/>
  <c r="Q187" i="28"/>
  <c r="Q155" i="28"/>
  <c r="Q124" i="28"/>
  <c r="Q144" i="28"/>
  <c r="Q80" i="28"/>
  <c r="Q147" i="28"/>
  <c r="Q59" i="28"/>
  <c r="Q97" i="28"/>
  <c r="Q95" i="28"/>
  <c r="Q6" i="28"/>
  <c r="Q167" i="28"/>
  <c r="Q79" i="28"/>
  <c r="Q148" i="28"/>
  <c r="Q11" i="28"/>
  <c r="Q67" i="28"/>
  <c r="Q135" i="28"/>
  <c r="Q127" i="28"/>
  <c r="Q193" i="28"/>
  <c r="Q98" i="28"/>
  <c r="Q129" i="28"/>
  <c r="Q75" i="28"/>
  <c r="Q43" i="28"/>
  <c r="Q108" i="28"/>
  <c r="Q199" i="28"/>
  <c r="Q119" i="28"/>
  <c r="Q183" i="28"/>
  <c r="Q186" i="28"/>
  <c r="Q188" i="28"/>
  <c r="Q179" i="28"/>
  <c r="Q5" i="28"/>
  <c r="Q122" i="28"/>
  <c r="Q103" i="28"/>
  <c r="Q169" i="28"/>
  <c r="Q21" i="28"/>
  <c r="Q201" i="28"/>
  <c r="Q105" i="28"/>
  <c r="Q189" i="28"/>
  <c r="Q106" i="28"/>
  <c r="Q18" i="28"/>
  <c r="Q44" i="28"/>
  <c r="Q13" i="28"/>
  <c r="Q87" i="28"/>
  <c r="Q139" i="28"/>
  <c r="Q140" i="28"/>
  <c r="Q19" i="28"/>
  <c r="Q91" i="28"/>
  <c r="Q151" i="28"/>
  <c r="Q171" i="28"/>
  <c r="Q66" i="28"/>
  <c r="Q110" i="28"/>
  <c r="Q138" i="28"/>
  <c r="Q22" i="28"/>
  <c r="Q176" i="28"/>
  <c r="Q170" i="28"/>
  <c r="Q42" i="28"/>
  <c r="Q73" i="28"/>
  <c r="Q16" i="28"/>
  <c r="Q137" i="28"/>
  <c r="Q23" i="28"/>
  <c r="Q112" i="28"/>
  <c r="Q60" i="28"/>
  <c r="Q157" i="28"/>
  <c r="Q165" i="28"/>
  <c r="Q8" i="28"/>
  <c r="Q190" i="28"/>
  <c r="Q123" i="28"/>
  <c r="Q194" i="28"/>
  <c r="Q120" i="28"/>
  <c r="Q161" i="28"/>
  <c r="Q65" i="28"/>
  <c r="Q152" i="28"/>
  <c r="Q56" i="28"/>
  <c r="Q55" i="28"/>
  <c r="Q184" i="28"/>
  <c r="Q28" i="28"/>
  <c r="Q92" i="28"/>
  <c r="Q163" i="28"/>
  <c r="Q35" i="28"/>
  <c r="Q100" i="28"/>
  <c r="Q74" i="28"/>
  <c r="Q41" i="28"/>
  <c r="Q131" i="28"/>
  <c r="Q36" i="28"/>
  <c r="Q12" i="28"/>
  <c r="Q107" i="28"/>
  <c r="Q39" i="28"/>
  <c r="Q202" i="28"/>
  <c r="Q130" i="28"/>
  <c r="Q33" i="28"/>
  <c r="Q47" i="28"/>
  <c r="Q88" i="28"/>
  <c r="Q17" i="28"/>
  <c r="Q20" i="28"/>
  <c r="Q99" i="28"/>
  <c r="Q76" i="28"/>
  <c r="Q162" i="28"/>
  <c r="Q58" i="28"/>
  <c r="Q94" i="28"/>
  <c r="Q195" i="28"/>
  <c r="Q141" i="28"/>
  <c r="Q82" i="28"/>
  <c r="Q84" i="28"/>
  <c r="Q164" i="28"/>
  <c r="Q101" i="28"/>
  <c r="Q117" i="28"/>
  <c r="Q10" i="28"/>
  <c r="Q118" i="28"/>
  <c r="Q37" i="28"/>
  <c r="Q132" i="28"/>
  <c r="Q102" i="28"/>
  <c r="Q166" i="28"/>
  <c r="Q197" i="28"/>
  <c r="Q69" i="28"/>
  <c r="Q27" i="28"/>
  <c r="Q126" i="28"/>
  <c r="Q181" i="28"/>
  <c r="Q77" i="28"/>
  <c r="Q158" i="28"/>
  <c r="Q86" i="28"/>
  <c r="Q54" i="28"/>
  <c r="Q133" i="28"/>
  <c r="Q85" i="28"/>
  <c r="Q34" i="28"/>
  <c r="Q116" i="28"/>
  <c r="Q182" i="28"/>
  <c r="Q150" i="28"/>
  <c r="Q78" i="28"/>
  <c r="Q46" i="28"/>
  <c r="Q109" i="28"/>
  <c r="Q53" i="28"/>
  <c r="Q180" i="28"/>
  <c r="Q174" i="28"/>
  <c r="Q142" i="28"/>
  <c r="Q70" i="28"/>
  <c r="Q45" i="28"/>
  <c r="Q30" i="28"/>
  <c r="Q156" i="28"/>
  <c r="Q29" i="28"/>
  <c r="Q173" i="28"/>
  <c r="Q172" i="28"/>
  <c r="Q52" i="28"/>
  <c r="Q62" i="28"/>
  <c r="Q196" i="28"/>
  <c r="Q89" i="28"/>
  <c r="Q159" i="28"/>
  <c r="Q153" i="28"/>
  <c r="Q7" i="28"/>
  <c r="Q111" i="28"/>
  <c r="Q160" i="28"/>
  <c r="Q68" i="28"/>
  <c r="Q178" i="28"/>
  <c r="Q26" i="28"/>
  <c r="Q125" i="28"/>
  <c r="Q96" i="28"/>
  <c r="Q198" i="28"/>
  <c r="Q136" i="28"/>
  <c r="Q191" i="28"/>
  <c r="Q134" i="28"/>
  <c r="Q38" i="28"/>
  <c r="Q128" i="28"/>
  <c r="Q64" i="28"/>
  <c r="Q93" i="28"/>
  <c r="Q143" i="28"/>
  <c r="Q192" i="28"/>
  <c r="Q61" i="28"/>
  <c r="Q71" i="28"/>
  <c r="Q90" i="28"/>
  <c r="Q113" i="28"/>
  <c r="Q15" i="28"/>
  <c r="Q185" i="28"/>
  <c r="Q121" i="28"/>
  <c r="Q200" i="28"/>
  <c r="Q32" i="28"/>
  <c r="Q175" i="28"/>
  <c r="Q154" i="28"/>
  <c r="M156" i="28"/>
  <c r="H156" i="28"/>
  <c r="N156" i="28"/>
  <c r="P156" i="28"/>
  <c r="G156" i="28"/>
  <c r="M171" i="28"/>
  <c r="H171" i="28"/>
  <c r="P171" i="28"/>
  <c r="G171" i="28"/>
  <c r="N171" i="28"/>
  <c r="P111" i="28"/>
  <c r="M111" i="28"/>
  <c r="G111" i="28"/>
  <c r="H111" i="28"/>
  <c r="N111" i="28"/>
  <c r="P35" i="28"/>
  <c r="M35" i="28"/>
  <c r="N35" i="28"/>
  <c r="M196" i="28"/>
  <c r="H196" i="28"/>
  <c r="G196" i="28"/>
  <c r="N196" i="28"/>
  <c r="P196" i="28"/>
  <c r="G164" i="28"/>
  <c r="P164" i="28"/>
  <c r="M164" i="28"/>
  <c r="H164" i="28"/>
  <c r="N164" i="28"/>
  <c r="M132" i="28"/>
  <c r="H132" i="28"/>
  <c r="N132" i="28"/>
  <c r="P132" i="28"/>
  <c r="G132" i="28"/>
  <c r="N100" i="28"/>
  <c r="M100" i="28"/>
  <c r="G100" i="28"/>
  <c r="H100" i="28"/>
  <c r="P100" i="28"/>
  <c r="M68" i="28"/>
  <c r="P68" i="28"/>
  <c r="H68" i="28"/>
  <c r="G68" i="28"/>
  <c r="N68" i="28"/>
  <c r="G119" i="28"/>
  <c r="P119" i="28"/>
  <c r="M119" i="28"/>
  <c r="N119" i="28"/>
  <c r="H119" i="28"/>
  <c r="M179" i="28"/>
  <c r="N179" i="28"/>
  <c r="P179" i="28"/>
  <c r="H179" i="28"/>
  <c r="G179" i="28"/>
  <c r="M147" i="28"/>
  <c r="P147" i="28"/>
  <c r="G147" i="28"/>
  <c r="N147" i="28"/>
  <c r="H147" i="28"/>
  <c r="P115" i="28"/>
  <c r="G115" i="28"/>
  <c r="M115" i="28"/>
  <c r="N115" i="28"/>
  <c r="H115" i="28"/>
  <c r="H83" i="28"/>
  <c r="P83" i="28"/>
  <c r="M83" i="28"/>
  <c r="N83" i="28"/>
  <c r="G83" i="28"/>
  <c r="N51" i="28"/>
  <c r="M51" i="28"/>
  <c r="P51" i="28"/>
  <c r="N13" i="28"/>
  <c r="P13" i="28"/>
  <c r="M13" i="28"/>
  <c r="G127" i="28"/>
  <c r="M127" i="28"/>
  <c r="N127" i="28"/>
  <c r="P127" i="28"/>
  <c r="H127" i="28"/>
  <c r="M194" i="28"/>
  <c r="H194" i="28"/>
  <c r="G194" i="28"/>
  <c r="N194" i="28"/>
  <c r="P194" i="28"/>
  <c r="P162" i="28"/>
  <c r="M162" i="28"/>
  <c r="H162" i="28"/>
  <c r="G162" i="28"/>
  <c r="N162" i="28"/>
  <c r="N130" i="28"/>
  <c r="M130" i="28"/>
  <c r="H130" i="28"/>
  <c r="G130" i="28"/>
  <c r="P130" i="28"/>
  <c r="M98" i="28"/>
  <c r="N98" i="28"/>
  <c r="G98" i="28"/>
  <c r="H98" i="28"/>
  <c r="P98" i="28"/>
  <c r="M66" i="28"/>
  <c r="H66" i="28"/>
  <c r="P66" i="28"/>
  <c r="N66" i="28"/>
  <c r="G66" i="28"/>
  <c r="P34" i="28"/>
  <c r="N34" i="28"/>
  <c r="M34" i="28"/>
  <c r="G73" i="28"/>
  <c r="M73" i="28"/>
  <c r="N73" i="28"/>
  <c r="H73" i="28"/>
  <c r="P73" i="28"/>
  <c r="M48" i="28"/>
  <c r="N48" i="28"/>
  <c r="P48" i="28"/>
  <c r="M201" i="28"/>
  <c r="H201" i="28"/>
  <c r="N201" i="28"/>
  <c r="P201" i="28"/>
  <c r="G201" i="28"/>
  <c r="N169" i="28"/>
  <c r="P169" i="28"/>
  <c r="G169" i="28"/>
  <c r="M169" i="28"/>
  <c r="H169" i="28"/>
  <c r="H137" i="28"/>
  <c r="M137" i="28"/>
  <c r="G137" i="28"/>
  <c r="N137" i="28"/>
  <c r="P137" i="28"/>
  <c r="H105" i="28"/>
  <c r="M105" i="28"/>
  <c r="G105" i="28"/>
  <c r="N105" i="28"/>
  <c r="P105" i="28"/>
  <c r="G65" i="28"/>
  <c r="H65" i="28"/>
  <c r="M65" i="28"/>
  <c r="P65" i="28"/>
  <c r="N65" i="28"/>
  <c r="M23" i="28"/>
  <c r="N23" i="28"/>
  <c r="P23" i="28"/>
  <c r="N103" i="28"/>
  <c r="M103" i="28"/>
  <c r="H103" i="28"/>
  <c r="G103" i="28"/>
  <c r="P103" i="28"/>
  <c r="M192" i="28"/>
  <c r="H192" i="28"/>
  <c r="G192" i="28"/>
  <c r="N192" i="28"/>
  <c r="P192" i="28"/>
  <c r="P160" i="28"/>
  <c r="H160" i="28"/>
  <c r="M160" i="28"/>
  <c r="N160" i="28"/>
  <c r="G160" i="28"/>
  <c r="M128" i="28"/>
  <c r="P128" i="28"/>
  <c r="H128" i="28"/>
  <c r="N128" i="28"/>
  <c r="G128" i="28"/>
  <c r="M96" i="28"/>
  <c r="N96" i="28"/>
  <c r="H96" i="28"/>
  <c r="G96" i="28"/>
  <c r="P96" i="28"/>
  <c r="N64" i="28"/>
  <c r="H64" i="28"/>
  <c r="M64" i="28"/>
  <c r="P64" i="28"/>
  <c r="G64" i="28"/>
  <c r="G159" i="28"/>
  <c r="M159" i="28"/>
  <c r="N159" i="28"/>
  <c r="H159" i="28"/>
  <c r="P159" i="28"/>
  <c r="M198" i="28"/>
  <c r="H198" i="28"/>
  <c r="G198" i="28"/>
  <c r="N198" i="28"/>
  <c r="P198" i="28"/>
  <c r="N166" i="28"/>
  <c r="H166" i="28"/>
  <c r="P166" i="28"/>
  <c r="M166" i="28"/>
  <c r="G166" i="28"/>
  <c r="N134" i="28"/>
  <c r="M134" i="28"/>
  <c r="G134" i="28"/>
  <c r="H134" i="28"/>
  <c r="P134" i="28"/>
  <c r="N102" i="28"/>
  <c r="H102" i="28"/>
  <c r="M102" i="28"/>
  <c r="P102" i="28"/>
  <c r="G102" i="28"/>
  <c r="G70" i="28"/>
  <c r="N70" i="28"/>
  <c r="M70" i="28"/>
  <c r="H70" i="28"/>
  <c r="P70" i="28"/>
  <c r="N38" i="28"/>
  <c r="P38" i="28"/>
  <c r="M38" i="28"/>
  <c r="M26" i="28"/>
  <c r="P26" i="28"/>
  <c r="N26" i="28"/>
  <c r="G60" i="28"/>
  <c r="H60" i="28"/>
  <c r="M60" i="28"/>
  <c r="P60" i="28"/>
  <c r="N60" i="28"/>
  <c r="M143" i="28"/>
  <c r="P143" i="28"/>
  <c r="G143" i="28"/>
  <c r="H143" i="28"/>
  <c r="N143" i="28"/>
  <c r="M189" i="28"/>
  <c r="P189" i="28"/>
  <c r="N189" i="28"/>
  <c r="G189" i="28"/>
  <c r="H189" i="28"/>
  <c r="M157" i="28"/>
  <c r="H157" i="28"/>
  <c r="P157" i="28"/>
  <c r="N157" i="28"/>
  <c r="G157" i="28"/>
  <c r="P125" i="28"/>
  <c r="H125" i="28"/>
  <c r="M125" i="28"/>
  <c r="G125" i="28"/>
  <c r="N125" i="28"/>
  <c r="M93" i="28"/>
  <c r="N93" i="28"/>
  <c r="H93" i="28"/>
  <c r="G93" i="28"/>
  <c r="P93" i="28"/>
  <c r="G61" i="28"/>
  <c r="N61" i="28"/>
  <c r="H61" i="28"/>
  <c r="M61" i="28"/>
  <c r="P61" i="28"/>
  <c r="P27" i="28"/>
  <c r="M27" i="28"/>
  <c r="N27" i="28"/>
  <c r="M191" i="28"/>
  <c r="N191" i="28"/>
  <c r="P191" i="28"/>
  <c r="H191" i="28"/>
  <c r="G191" i="28"/>
  <c r="M120" i="28"/>
  <c r="G120" i="28"/>
  <c r="H120" i="28"/>
  <c r="P120" i="28"/>
  <c r="N120" i="28"/>
  <c r="M124" i="28"/>
  <c r="G124" i="28"/>
  <c r="N124" i="28"/>
  <c r="P124" i="28"/>
  <c r="H124" i="28"/>
  <c r="P52" i="28"/>
  <c r="M52" i="28"/>
  <c r="N52" i="28"/>
  <c r="H63" i="28"/>
  <c r="P63" i="28"/>
  <c r="M63" i="28"/>
  <c r="G63" i="28"/>
  <c r="N63" i="28"/>
  <c r="M107" i="28"/>
  <c r="P107" i="28"/>
  <c r="G107" i="28"/>
  <c r="H107" i="28"/>
  <c r="N107" i="28"/>
  <c r="H75" i="28"/>
  <c r="P75" i="28"/>
  <c r="G75" i="28"/>
  <c r="N75" i="28"/>
  <c r="M75" i="28"/>
  <c r="M43" i="28"/>
  <c r="N43" i="28"/>
  <c r="P43" i="28"/>
  <c r="N21" i="28"/>
  <c r="M21" i="28"/>
  <c r="P21" i="28"/>
  <c r="G87" i="28"/>
  <c r="H87" i="28"/>
  <c r="M87" i="28"/>
  <c r="P87" i="28"/>
  <c r="N87" i="28"/>
  <c r="M186" i="28"/>
  <c r="H186" i="28"/>
  <c r="G186" i="28"/>
  <c r="N186" i="28"/>
  <c r="P186" i="28"/>
  <c r="M154" i="28"/>
  <c r="H154" i="28"/>
  <c r="N154" i="28"/>
  <c r="P154" i="28"/>
  <c r="G154" i="28"/>
  <c r="M122" i="28"/>
  <c r="H122" i="28"/>
  <c r="N122" i="28"/>
  <c r="P122" i="28"/>
  <c r="G122" i="28"/>
  <c r="N90" i="28"/>
  <c r="G90" i="28"/>
  <c r="H90" i="28"/>
  <c r="M90" i="28"/>
  <c r="P90" i="28"/>
  <c r="G58" i="28"/>
  <c r="P58" i="28"/>
  <c r="M58" i="28"/>
  <c r="H58" i="28"/>
  <c r="N58" i="28"/>
  <c r="M6" i="28"/>
  <c r="P6" i="28"/>
  <c r="N6" i="28"/>
  <c r="P49" i="28"/>
  <c r="M49" i="28"/>
  <c r="N49" i="28"/>
  <c r="P16" i="28"/>
  <c r="M16" i="28"/>
  <c r="N16" i="28"/>
  <c r="M193" i="28"/>
  <c r="H193" i="28"/>
  <c r="P193" i="28"/>
  <c r="G193" i="28"/>
  <c r="N193" i="28"/>
  <c r="H161" i="28"/>
  <c r="M161" i="28"/>
  <c r="P161" i="28"/>
  <c r="G161" i="28"/>
  <c r="N161" i="28"/>
  <c r="H97" i="28"/>
  <c r="N97" i="28"/>
  <c r="G97" i="28"/>
  <c r="M97" i="28"/>
  <c r="P97" i="28"/>
  <c r="G57" i="28"/>
  <c r="H57" i="28"/>
  <c r="N57" i="28"/>
  <c r="M57" i="28"/>
  <c r="P57" i="28"/>
  <c r="P32" i="28"/>
  <c r="N32" i="28"/>
  <c r="M32" i="28"/>
  <c r="M184" i="28"/>
  <c r="H184" i="28"/>
  <c r="G184" i="28"/>
  <c r="N184" i="28"/>
  <c r="P184" i="28"/>
  <c r="M152" i="28"/>
  <c r="P152" i="28"/>
  <c r="G152" i="28"/>
  <c r="H152" i="28"/>
  <c r="N152" i="28"/>
  <c r="G88" i="28"/>
  <c r="M88" i="28"/>
  <c r="P88" i="28"/>
  <c r="N88" i="28"/>
  <c r="H88" i="28"/>
  <c r="N56" i="28"/>
  <c r="P56" i="28"/>
  <c r="H56" i="28"/>
  <c r="G56" i="28"/>
  <c r="M56" i="28"/>
  <c r="M190" i="28"/>
  <c r="G190" i="28"/>
  <c r="N190" i="28"/>
  <c r="H190" i="28"/>
  <c r="P190" i="28"/>
  <c r="H158" i="28"/>
  <c r="N158" i="28"/>
  <c r="M158" i="28"/>
  <c r="P158" i="28"/>
  <c r="G158" i="28"/>
  <c r="M126" i="28"/>
  <c r="H126" i="28"/>
  <c r="N126" i="28"/>
  <c r="P126" i="28"/>
  <c r="G126" i="28"/>
  <c r="G94" i="28"/>
  <c r="M94" i="28"/>
  <c r="H94" i="28"/>
  <c r="N94" i="28"/>
  <c r="P94" i="28"/>
  <c r="H62" i="28"/>
  <c r="G62" i="28"/>
  <c r="M62" i="28"/>
  <c r="N62" i="28"/>
  <c r="P62" i="28"/>
  <c r="N30" i="28"/>
  <c r="M30" i="28"/>
  <c r="P30" i="28"/>
  <c r="N45" i="28"/>
  <c r="P45" i="28"/>
  <c r="M45" i="28"/>
  <c r="M36" i="28"/>
  <c r="P36" i="28"/>
  <c r="N36" i="28"/>
  <c r="M95" i="28"/>
  <c r="N95" i="28"/>
  <c r="G95" i="28"/>
  <c r="H95" i="28"/>
  <c r="P95" i="28"/>
  <c r="M181" i="28"/>
  <c r="P181" i="28"/>
  <c r="G181" i="28"/>
  <c r="H181" i="28"/>
  <c r="N181" i="28"/>
  <c r="H149" i="28"/>
  <c r="M149" i="28"/>
  <c r="N149" i="28"/>
  <c r="P149" i="28"/>
  <c r="G149" i="28"/>
  <c r="M117" i="28"/>
  <c r="H117" i="28"/>
  <c r="P117" i="28"/>
  <c r="G117" i="28"/>
  <c r="N117" i="28"/>
  <c r="M85" i="28"/>
  <c r="P85" i="28"/>
  <c r="H85" i="28"/>
  <c r="N85" i="28"/>
  <c r="G85" i="28"/>
  <c r="M53" i="28"/>
  <c r="N53" i="28"/>
  <c r="P53" i="28"/>
  <c r="M44" i="28"/>
  <c r="P44" i="28"/>
  <c r="N44" i="28"/>
  <c r="M135" i="28"/>
  <c r="P135" i="28"/>
  <c r="G135" i="28"/>
  <c r="N135" i="28"/>
  <c r="H135" i="28"/>
  <c r="M188" i="28"/>
  <c r="G188" i="28"/>
  <c r="H188" i="28"/>
  <c r="N188" i="28"/>
  <c r="P188" i="28"/>
  <c r="N92" i="28"/>
  <c r="M92" i="28"/>
  <c r="G92" i="28"/>
  <c r="H92" i="28"/>
  <c r="P92" i="28"/>
  <c r="P139" i="28"/>
  <c r="G139" i="28"/>
  <c r="M139" i="28"/>
  <c r="N139" i="28"/>
  <c r="H139" i="28"/>
  <c r="N47" i="28"/>
  <c r="P47" i="28"/>
  <c r="M47" i="28"/>
  <c r="H180" i="28"/>
  <c r="M180" i="28"/>
  <c r="G180" i="28"/>
  <c r="N180" i="28"/>
  <c r="P180" i="28"/>
  <c r="M148" i="28"/>
  <c r="G148" i="28"/>
  <c r="N148" i="28"/>
  <c r="H148" i="28"/>
  <c r="P148" i="28"/>
  <c r="H116" i="28"/>
  <c r="G116" i="28"/>
  <c r="P116" i="28"/>
  <c r="N116" i="28"/>
  <c r="M116" i="28"/>
  <c r="M84" i="28"/>
  <c r="N84" i="28"/>
  <c r="G84" i="28"/>
  <c r="H84" i="28"/>
  <c r="P84" i="28"/>
  <c r="P4" i="28"/>
  <c r="N4" i="28"/>
  <c r="M4" i="28"/>
  <c r="M195" i="28"/>
  <c r="N195" i="28"/>
  <c r="P195" i="28"/>
  <c r="H195" i="28"/>
  <c r="G195" i="28"/>
  <c r="H163" i="28"/>
  <c r="M163" i="28"/>
  <c r="N163" i="28"/>
  <c r="G163" i="28"/>
  <c r="P163" i="28"/>
  <c r="P131" i="28"/>
  <c r="M131" i="28"/>
  <c r="G131" i="28"/>
  <c r="N131" i="28"/>
  <c r="H131" i="28"/>
  <c r="M99" i="28"/>
  <c r="G99" i="28"/>
  <c r="N99" i="28"/>
  <c r="H99" i="28"/>
  <c r="P99" i="28"/>
  <c r="M9" i="28"/>
  <c r="P9" i="28"/>
  <c r="N9" i="28"/>
  <c r="H178" i="28"/>
  <c r="M178" i="28"/>
  <c r="G178" i="28"/>
  <c r="N178" i="28"/>
  <c r="P178" i="28"/>
  <c r="M146" i="28"/>
  <c r="N146" i="28"/>
  <c r="H146" i="28"/>
  <c r="P146" i="28"/>
  <c r="G146" i="28"/>
  <c r="M114" i="28"/>
  <c r="G114" i="28"/>
  <c r="N114" i="28"/>
  <c r="H114" i="28"/>
  <c r="P114" i="28"/>
  <c r="G82" i="28"/>
  <c r="M82" i="28"/>
  <c r="P82" i="28"/>
  <c r="H82" i="28"/>
  <c r="N82" i="28"/>
  <c r="M50" i="28"/>
  <c r="N50" i="28"/>
  <c r="P50" i="28"/>
  <c r="N14" i="28"/>
  <c r="M14" i="28"/>
  <c r="P14" i="28"/>
  <c r="M33" i="28"/>
  <c r="P33" i="28"/>
  <c r="N33" i="28"/>
  <c r="G151" i="28"/>
  <c r="H151" i="28"/>
  <c r="N151" i="28"/>
  <c r="M151" i="28"/>
  <c r="P151" i="28"/>
  <c r="M185" i="28"/>
  <c r="H185" i="28"/>
  <c r="P185" i="28"/>
  <c r="G185" i="28"/>
  <c r="N185" i="28"/>
  <c r="M153" i="28"/>
  <c r="P153" i="28"/>
  <c r="H153" i="28"/>
  <c r="N153" i="28"/>
  <c r="G153" i="28"/>
  <c r="M121" i="28"/>
  <c r="G121" i="28"/>
  <c r="P121" i="28"/>
  <c r="H121" i="28"/>
  <c r="N121" i="28"/>
  <c r="N89" i="28"/>
  <c r="H89" i="28"/>
  <c r="M89" i="28"/>
  <c r="G89" i="28"/>
  <c r="P89" i="28"/>
  <c r="N41" i="28"/>
  <c r="P41" i="28"/>
  <c r="M41" i="28"/>
  <c r="N24" i="28"/>
  <c r="M24" i="28"/>
  <c r="P24" i="28"/>
  <c r="M25" i="28"/>
  <c r="N25" i="28"/>
  <c r="P25" i="28"/>
  <c r="H176" i="28"/>
  <c r="N176" i="28"/>
  <c r="P176" i="28"/>
  <c r="G176" i="28"/>
  <c r="M176" i="28"/>
  <c r="N144" i="28"/>
  <c r="P144" i="28"/>
  <c r="G144" i="28"/>
  <c r="M144" i="28"/>
  <c r="H144" i="28"/>
  <c r="H112" i="28"/>
  <c r="M112" i="28"/>
  <c r="N112" i="28"/>
  <c r="P112" i="28"/>
  <c r="G112" i="28"/>
  <c r="M80" i="28"/>
  <c r="N80" i="28"/>
  <c r="G80" i="28"/>
  <c r="H80" i="28"/>
  <c r="P80" i="28"/>
  <c r="M40" i="28"/>
  <c r="P40" i="28"/>
  <c r="N40" i="28"/>
  <c r="M55" i="28"/>
  <c r="G55" i="28"/>
  <c r="H55" i="28"/>
  <c r="P55" i="28"/>
  <c r="N55" i="28"/>
  <c r="H182" i="28"/>
  <c r="M182" i="28"/>
  <c r="G182" i="28"/>
  <c r="N182" i="28"/>
  <c r="P182" i="28"/>
  <c r="M150" i="28"/>
  <c r="N150" i="28"/>
  <c r="H150" i="28"/>
  <c r="P150" i="28"/>
  <c r="G150" i="28"/>
  <c r="M118" i="28"/>
  <c r="H118" i="28"/>
  <c r="N118" i="28"/>
  <c r="P118" i="28"/>
  <c r="G118" i="28"/>
  <c r="H86" i="28"/>
  <c r="P86" i="28"/>
  <c r="G86" i="28"/>
  <c r="M86" i="28"/>
  <c r="N86" i="28"/>
  <c r="N54" i="28"/>
  <c r="P54" i="28"/>
  <c r="M54" i="28"/>
  <c r="N10" i="28"/>
  <c r="M10" i="28"/>
  <c r="P10" i="28"/>
  <c r="N29" i="28"/>
  <c r="M29" i="28"/>
  <c r="P29" i="28"/>
  <c r="P20" i="28"/>
  <c r="M20" i="28"/>
  <c r="N20" i="28"/>
  <c r="P39" i="28"/>
  <c r="N39" i="28"/>
  <c r="M39" i="28"/>
  <c r="P173" i="28"/>
  <c r="G173" i="28"/>
  <c r="H173" i="28"/>
  <c r="N173" i="28"/>
  <c r="M173" i="28"/>
  <c r="H141" i="28"/>
  <c r="M141" i="28"/>
  <c r="P141" i="28"/>
  <c r="N141" i="28"/>
  <c r="G141" i="28"/>
  <c r="G109" i="28"/>
  <c r="H109" i="28"/>
  <c r="P109" i="28"/>
  <c r="M109" i="28"/>
  <c r="N109" i="28"/>
  <c r="M77" i="28"/>
  <c r="G77" i="28"/>
  <c r="N77" i="28"/>
  <c r="H77" i="28"/>
  <c r="P77" i="28"/>
  <c r="N37" i="28"/>
  <c r="P37" i="28"/>
  <c r="M37" i="28"/>
  <c r="P12" i="28"/>
  <c r="M12" i="28"/>
  <c r="N12" i="28"/>
  <c r="H79" i="28"/>
  <c r="P79" i="28"/>
  <c r="M79" i="28"/>
  <c r="N79" i="28"/>
  <c r="G79" i="28"/>
  <c r="G172" i="28"/>
  <c r="H172" i="28"/>
  <c r="M172" i="28"/>
  <c r="N172" i="28"/>
  <c r="P172" i="28"/>
  <c r="M140" i="28"/>
  <c r="P140" i="28"/>
  <c r="G140" i="28"/>
  <c r="N140" i="28"/>
  <c r="H140" i="28"/>
  <c r="N108" i="28"/>
  <c r="H108" i="28"/>
  <c r="M108" i="28"/>
  <c r="P108" i="28"/>
  <c r="G108" i="28"/>
  <c r="P76" i="28"/>
  <c r="H76" i="28"/>
  <c r="G76" i="28"/>
  <c r="M76" i="28"/>
  <c r="N76" i="28"/>
  <c r="H175" i="28"/>
  <c r="G175" i="28"/>
  <c r="N175" i="28"/>
  <c r="M175" i="28"/>
  <c r="P175" i="28"/>
  <c r="M187" i="28"/>
  <c r="N187" i="28"/>
  <c r="P187" i="28"/>
  <c r="H187" i="28"/>
  <c r="G187" i="28"/>
  <c r="G155" i="28"/>
  <c r="M155" i="28"/>
  <c r="P155" i="28"/>
  <c r="H155" i="28"/>
  <c r="N155" i="28"/>
  <c r="P123" i="28"/>
  <c r="M123" i="28"/>
  <c r="G123" i="28"/>
  <c r="N123" i="28"/>
  <c r="H123" i="28"/>
  <c r="G91" i="28"/>
  <c r="M91" i="28"/>
  <c r="P91" i="28"/>
  <c r="H91" i="28"/>
  <c r="N91" i="28"/>
  <c r="N59" i="28"/>
  <c r="M59" i="28"/>
  <c r="G59" i="28"/>
  <c r="H59" i="28"/>
  <c r="P59" i="28"/>
  <c r="N5" i="28"/>
  <c r="P5" i="28"/>
  <c r="M5" i="28"/>
  <c r="N183" i="28"/>
  <c r="H183" i="28"/>
  <c r="P183" i="28"/>
  <c r="M183" i="28"/>
  <c r="G183" i="28"/>
  <c r="M202" i="28"/>
  <c r="G202" i="28"/>
  <c r="H202" i="28"/>
  <c r="N202" i="28"/>
  <c r="P202" i="28"/>
  <c r="H170" i="28"/>
  <c r="N170" i="28"/>
  <c r="M170" i="28"/>
  <c r="G170" i="28"/>
  <c r="P170" i="28"/>
  <c r="H138" i="28"/>
  <c r="M138" i="28"/>
  <c r="N138" i="28"/>
  <c r="G138" i="28"/>
  <c r="P138" i="28"/>
  <c r="N106" i="28"/>
  <c r="M106" i="28"/>
  <c r="G106" i="28"/>
  <c r="H106" i="28"/>
  <c r="P106" i="28"/>
  <c r="M74" i="28"/>
  <c r="G74" i="28"/>
  <c r="P74" i="28"/>
  <c r="H74" i="28"/>
  <c r="N74" i="28"/>
  <c r="N42" i="28"/>
  <c r="P42" i="28"/>
  <c r="M42" i="28"/>
  <c r="N22" i="28"/>
  <c r="M22" i="28"/>
  <c r="P22" i="28"/>
  <c r="M15" i="28"/>
  <c r="P15" i="28"/>
  <c r="N15" i="28"/>
  <c r="H71" i="28"/>
  <c r="P71" i="28"/>
  <c r="M71" i="28"/>
  <c r="N71" i="28"/>
  <c r="G71" i="28"/>
  <c r="M177" i="28"/>
  <c r="H177" i="28"/>
  <c r="P177" i="28"/>
  <c r="G177" i="28"/>
  <c r="N177" i="28"/>
  <c r="M145" i="28"/>
  <c r="H145" i="28"/>
  <c r="N145" i="28"/>
  <c r="P145" i="28"/>
  <c r="G145" i="28"/>
  <c r="M113" i="28"/>
  <c r="P113" i="28"/>
  <c r="H113" i="28"/>
  <c r="N113" i="28"/>
  <c r="G113" i="28"/>
  <c r="P81" i="28"/>
  <c r="H81" i="28"/>
  <c r="M81" i="28"/>
  <c r="N81" i="28"/>
  <c r="G81" i="28"/>
  <c r="M7" i="28"/>
  <c r="P7" i="28"/>
  <c r="N7" i="28"/>
  <c r="G167" i="28"/>
  <c r="N167" i="28"/>
  <c r="M167" i="28"/>
  <c r="P167" i="28"/>
  <c r="H167" i="28"/>
  <c r="M200" i="28"/>
  <c r="H200" i="28"/>
  <c r="G200" i="28"/>
  <c r="N200" i="28"/>
  <c r="P200" i="28"/>
  <c r="M168" i="28"/>
  <c r="H168" i="28"/>
  <c r="N168" i="28"/>
  <c r="P168" i="28"/>
  <c r="G168" i="28"/>
  <c r="M136" i="28"/>
  <c r="P136" i="28"/>
  <c r="H136" i="28"/>
  <c r="G136" i="28"/>
  <c r="N136" i="28"/>
  <c r="M104" i="28"/>
  <c r="N104" i="28"/>
  <c r="G104" i="28"/>
  <c r="H104" i="28"/>
  <c r="P104" i="28"/>
  <c r="N72" i="28"/>
  <c r="M72" i="28"/>
  <c r="G72" i="28"/>
  <c r="H72" i="28"/>
  <c r="P72" i="28"/>
  <c r="M8" i="28"/>
  <c r="N8" i="28"/>
  <c r="P8" i="28"/>
  <c r="N17" i="28"/>
  <c r="P17" i="28"/>
  <c r="M17" i="28"/>
  <c r="H174" i="28"/>
  <c r="N174" i="28"/>
  <c r="P174" i="28"/>
  <c r="G174" i="28"/>
  <c r="M174" i="28"/>
  <c r="H142" i="28"/>
  <c r="M142" i="28"/>
  <c r="N142" i="28"/>
  <c r="G142" i="28"/>
  <c r="P142" i="28"/>
  <c r="N110" i="28"/>
  <c r="H110" i="28"/>
  <c r="M110" i="28"/>
  <c r="P110" i="28"/>
  <c r="G110" i="28"/>
  <c r="G78" i="28"/>
  <c r="N78" i="28"/>
  <c r="M78" i="28"/>
  <c r="H78" i="28"/>
  <c r="P78" i="28"/>
  <c r="N46" i="28"/>
  <c r="M46" i="28"/>
  <c r="P46" i="28"/>
  <c r="M18" i="28"/>
  <c r="P18" i="28"/>
  <c r="N18" i="28"/>
  <c r="N19" i="28"/>
  <c r="P19" i="28"/>
  <c r="M19" i="28"/>
  <c r="M199" i="28"/>
  <c r="N199" i="28"/>
  <c r="H199" i="28"/>
  <c r="P199" i="28"/>
  <c r="G199" i="28"/>
  <c r="M197" i="28"/>
  <c r="P197" i="28"/>
  <c r="H197" i="28"/>
  <c r="G197" i="28"/>
  <c r="N197" i="28"/>
  <c r="H165" i="28"/>
  <c r="P165" i="28"/>
  <c r="M165" i="28"/>
  <c r="N165" i="28"/>
  <c r="G165" i="28"/>
  <c r="M133" i="28"/>
  <c r="H133" i="28"/>
  <c r="G133" i="28"/>
  <c r="N133" i="28"/>
  <c r="P133" i="28"/>
  <c r="N101" i="28"/>
  <c r="M101" i="28"/>
  <c r="H101" i="28"/>
  <c r="G101" i="28"/>
  <c r="P101" i="28"/>
  <c r="N69" i="28"/>
  <c r="G69" i="28"/>
  <c r="H69" i="28"/>
  <c r="M69" i="28"/>
  <c r="P69" i="28"/>
  <c r="M11" i="28"/>
  <c r="N11" i="28"/>
  <c r="P11" i="28"/>
  <c r="M28" i="28"/>
  <c r="P28" i="28"/>
  <c r="N28" i="28"/>
  <c r="M31" i="28"/>
  <c r="N31" i="28"/>
  <c r="P31" i="28"/>
  <c r="M129" i="28"/>
  <c r="P129" i="28"/>
  <c r="H129" i="28"/>
  <c r="G129" i="28"/>
  <c r="N129" i="28"/>
  <c r="N67" i="28"/>
  <c r="P67" i="28"/>
  <c r="M67" i="28"/>
  <c r="G67" i="28"/>
  <c r="H67" i="28"/>
  <c r="L3" i="28"/>
  <c r="Q145" i="28" l="1"/>
  <c r="Q72" i="28"/>
  <c r="Q81" i="28"/>
  <c r="Q24" i="28"/>
  <c r="Q40" i="28"/>
  <c r="Q51" i="28"/>
  <c r="Q14" i="28"/>
  <c r="Q104" i="28"/>
  <c r="AV5" i="1"/>
  <c r="Q149" i="28"/>
  <c r="Q83" i="28"/>
  <c r="Q49" i="28"/>
  <c r="Q114" i="28"/>
  <c r="Q177" i="28"/>
  <c r="Q63" i="28"/>
  <c r="Q57" i="28"/>
  <c r="Q168" i="28"/>
  <c r="Q115" i="28"/>
  <c r="Q25" i="28"/>
  <c r="Q50" i="28"/>
  <c r="Q31" i="28"/>
  <c r="Q48" i="28"/>
  <c r="Q146" i="28"/>
  <c r="Q9" i="28"/>
  <c r="H38" i="28"/>
  <c r="AW40" i="1"/>
  <c r="H16" i="28"/>
  <c r="AW18" i="1"/>
  <c r="H42" i="28"/>
  <c r="AW44" i="1"/>
  <c r="H17" i="28"/>
  <c r="AW19" i="1"/>
  <c r="H21" i="28"/>
  <c r="AW23" i="1"/>
  <c r="H18" i="28"/>
  <c r="AW20" i="1"/>
  <c r="H43" i="28"/>
  <c r="AW45" i="1"/>
  <c r="H32" i="28"/>
  <c r="AW34" i="1"/>
  <c r="H22" i="28"/>
  <c r="AW24" i="1"/>
  <c r="H54" i="28"/>
  <c r="AW56" i="1"/>
  <c r="H53" i="28"/>
  <c r="AW55" i="1"/>
  <c r="H31" i="28"/>
  <c r="AW33" i="1"/>
  <c r="H30" i="28"/>
  <c r="AW32" i="1"/>
  <c r="H37" i="28"/>
  <c r="AW39" i="1"/>
  <c r="H44" i="28"/>
  <c r="AW46" i="1"/>
  <c r="H35" i="28"/>
  <c r="AW37" i="1"/>
  <c r="H23" i="28"/>
  <c r="AW25" i="1"/>
  <c r="H24" i="28"/>
  <c r="AW26" i="1"/>
  <c r="H51" i="28"/>
  <c r="AW53" i="1"/>
  <c r="H34" i="28"/>
  <c r="AW36" i="1"/>
  <c r="H26" i="28"/>
  <c r="AW28" i="1"/>
  <c r="H40" i="28"/>
  <c r="AW42" i="1"/>
  <c r="H41" i="28"/>
  <c r="AW43" i="1"/>
  <c r="H13" i="28"/>
  <c r="AW15" i="1"/>
  <c r="AW13" i="1"/>
  <c r="W13" i="1" s="1"/>
  <c r="H11" i="28" s="1"/>
  <c r="H14" i="28"/>
  <c r="AW16" i="1"/>
  <c r="H49" i="28"/>
  <c r="AW51" i="1"/>
  <c r="H50" i="28"/>
  <c r="AW52" i="1"/>
  <c r="H45" i="28"/>
  <c r="AW47" i="1"/>
  <c r="H25" i="28"/>
  <c r="AW27" i="1"/>
  <c r="H29" i="28"/>
  <c r="AW31" i="1"/>
  <c r="AW14" i="1"/>
  <c r="W14" i="1" s="1"/>
  <c r="H12" i="28" s="1"/>
  <c r="H33" i="28"/>
  <c r="AW35" i="1"/>
  <c r="H27" i="28"/>
  <c r="AW29" i="1"/>
  <c r="H15" i="28"/>
  <c r="AW17" i="1"/>
  <c r="H28" i="28"/>
  <c r="AW30" i="1"/>
  <c r="H46" i="28"/>
  <c r="AW48" i="1"/>
  <c r="H39" i="28"/>
  <c r="AW41" i="1"/>
  <c r="H47" i="28"/>
  <c r="AW49" i="1"/>
  <c r="H36" i="28"/>
  <c r="AW38" i="1"/>
  <c r="V5" i="1"/>
  <c r="X5" i="1" s="1"/>
  <c r="W7" i="1"/>
  <c r="H5" i="28" s="1"/>
  <c r="W6" i="1"/>
  <c r="H4" i="28" s="1"/>
  <c r="AT138" i="1"/>
  <c r="AO138" i="1"/>
  <c r="AT204" i="1"/>
  <c r="AO204" i="1"/>
  <c r="AT126" i="1"/>
  <c r="AO126" i="1"/>
  <c r="AT143" i="1"/>
  <c r="AO143" i="1"/>
  <c r="AT96" i="1"/>
  <c r="AO96" i="1"/>
  <c r="AT107" i="1"/>
  <c r="AO107" i="1"/>
  <c r="AT82" i="1"/>
  <c r="AO82" i="1"/>
  <c r="AT77" i="1"/>
  <c r="AO77" i="1"/>
  <c r="AT113" i="1"/>
  <c r="AO113" i="1"/>
  <c r="AT180" i="1"/>
  <c r="AO180" i="1"/>
  <c r="AT195" i="1"/>
  <c r="AO195" i="1"/>
  <c r="AT134" i="1"/>
  <c r="AO134" i="1"/>
  <c r="AT151" i="1"/>
  <c r="AO151" i="1"/>
  <c r="AT40" i="1"/>
  <c r="AO40" i="1"/>
  <c r="AT33" i="1"/>
  <c r="AO33" i="1"/>
  <c r="AT20" i="1"/>
  <c r="AO20" i="1"/>
  <c r="AT25" i="1"/>
  <c r="AO25" i="1"/>
  <c r="AT52" i="1"/>
  <c r="AO52" i="1"/>
  <c r="AT45" i="1"/>
  <c r="AO45" i="1"/>
  <c r="AT139" i="1"/>
  <c r="AO139" i="1"/>
  <c r="AT72" i="1"/>
  <c r="AO72" i="1"/>
  <c r="AT200" i="1"/>
  <c r="AO200" i="1"/>
  <c r="AT65" i="1"/>
  <c r="AO65" i="1"/>
  <c r="AT154" i="1"/>
  <c r="AO154" i="1"/>
  <c r="AT155" i="1"/>
  <c r="AO155" i="1"/>
  <c r="AT92" i="1"/>
  <c r="AO92" i="1"/>
  <c r="AT63" i="1"/>
  <c r="AO63" i="1"/>
  <c r="AT203" i="1"/>
  <c r="AO203" i="1"/>
  <c r="AT142" i="1"/>
  <c r="AO142" i="1"/>
  <c r="AT159" i="1"/>
  <c r="AO159" i="1"/>
  <c r="AT112" i="1"/>
  <c r="AO112" i="1"/>
  <c r="AT129" i="1"/>
  <c r="AO129" i="1"/>
  <c r="AT98" i="1"/>
  <c r="AO98" i="1"/>
  <c r="AT111" i="1"/>
  <c r="AO111" i="1"/>
  <c r="AT68" i="1"/>
  <c r="AO68" i="1"/>
  <c r="AT196" i="1"/>
  <c r="AO196" i="1"/>
  <c r="AT57" i="1"/>
  <c r="AO57" i="1"/>
  <c r="AT150" i="1"/>
  <c r="AO150" i="1"/>
  <c r="AT165" i="1"/>
  <c r="AO165" i="1"/>
  <c r="AT56" i="1"/>
  <c r="AO56" i="1"/>
  <c r="AT18" i="1"/>
  <c r="AO18" i="1"/>
  <c r="AT10" i="1"/>
  <c r="AO10" i="1"/>
  <c r="AT11" i="1"/>
  <c r="AO11" i="1"/>
  <c r="AT23" i="1"/>
  <c r="AO23" i="1"/>
  <c r="AT22" i="1"/>
  <c r="AO22" i="1"/>
  <c r="AT24" i="1"/>
  <c r="AO24" i="1"/>
  <c r="AT34" i="1"/>
  <c r="AO34" i="1"/>
  <c r="AT199" i="1"/>
  <c r="AO199" i="1"/>
  <c r="AT88" i="1"/>
  <c r="AO88" i="1"/>
  <c r="L85" i="28"/>
  <c r="AT87" i="1"/>
  <c r="AO87" i="1"/>
  <c r="L95" i="28"/>
  <c r="AT97" i="1"/>
  <c r="AO97" i="1"/>
  <c r="AT170" i="1"/>
  <c r="AO170" i="1"/>
  <c r="AT169" i="1"/>
  <c r="AO169" i="1"/>
  <c r="AT108" i="1"/>
  <c r="AO108" i="1"/>
  <c r="AT95" i="1"/>
  <c r="AO95" i="1"/>
  <c r="AT73" i="1"/>
  <c r="AO73" i="1"/>
  <c r="AT158" i="1"/>
  <c r="AO158" i="1"/>
  <c r="AT173" i="1"/>
  <c r="AO173" i="1"/>
  <c r="AT128" i="1"/>
  <c r="AO128" i="1"/>
  <c r="AT145" i="1"/>
  <c r="AO145" i="1"/>
  <c r="AT114" i="1"/>
  <c r="AO114" i="1"/>
  <c r="AT131" i="1"/>
  <c r="AO131" i="1"/>
  <c r="AT84" i="1"/>
  <c r="AO84" i="1"/>
  <c r="AT81" i="1"/>
  <c r="AO81" i="1"/>
  <c r="AT89" i="1"/>
  <c r="AO89" i="1"/>
  <c r="AT166" i="1"/>
  <c r="AO166" i="1"/>
  <c r="AT181" i="1"/>
  <c r="AO181" i="1"/>
  <c r="AT14" i="1"/>
  <c r="AO14" i="1"/>
  <c r="AT47" i="1"/>
  <c r="AO47" i="1"/>
  <c r="AT46" i="1"/>
  <c r="AO46" i="1"/>
  <c r="AT44" i="1"/>
  <c r="AO44" i="1"/>
  <c r="AT13" i="1"/>
  <c r="AO13" i="1"/>
  <c r="AT27" i="1"/>
  <c r="AO27" i="1"/>
  <c r="AT53" i="1"/>
  <c r="AO53" i="1"/>
  <c r="AT184" i="1"/>
  <c r="AO184" i="1"/>
  <c r="AT104" i="1"/>
  <c r="AO104" i="1"/>
  <c r="AT121" i="1"/>
  <c r="AO121" i="1"/>
  <c r="AT58" i="1"/>
  <c r="AO58" i="1"/>
  <c r="AT186" i="1"/>
  <c r="AO186" i="1"/>
  <c r="AT185" i="1"/>
  <c r="AO185" i="1"/>
  <c r="AT124" i="1"/>
  <c r="AO124" i="1"/>
  <c r="AT125" i="1"/>
  <c r="AO125" i="1"/>
  <c r="AT103" i="1"/>
  <c r="AO103" i="1"/>
  <c r="AT174" i="1"/>
  <c r="AO174" i="1"/>
  <c r="AT189" i="1"/>
  <c r="AO189" i="1"/>
  <c r="AT144" i="1"/>
  <c r="AO144" i="1"/>
  <c r="AT175" i="1"/>
  <c r="AO175" i="1"/>
  <c r="AT130" i="1"/>
  <c r="AO130" i="1"/>
  <c r="AT147" i="1"/>
  <c r="AO147" i="1"/>
  <c r="AT100" i="1"/>
  <c r="AO100" i="1"/>
  <c r="AT115" i="1"/>
  <c r="AO115" i="1"/>
  <c r="AT117" i="1"/>
  <c r="AO117" i="1"/>
  <c r="AT182" i="1"/>
  <c r="AO182" i="1"/>
  <c r="AT197" i="1"/>
  <c r="AO197" i="1"/>
  <c r="AT12" i="1"/>
  <c r="AO12" i="1"/>
  <c r="AT54" i="1"/>
  <c r="AO54" i="1"/>
  <c r="AT17" i="1"/>
  <c r="AO17" i="1"/>
  <c r="AT29" i="1"/>
  <c r="AO29" i="1"/>
  <c r="AT37" i="1"/>
  <c r="AO37" i="1"/>
  <c r="AT51" i="1"/>
  <c r="AO51" i="1"/>
  <c r="AT36" i="1"/>
  <c r="AO36" i="1"/>
  <c r="AT76" i="1"/>
  <c r="AO76" i="1"/>
  <c r="AT120" i="1"/>
  <c r="AO120" i="1"/>
  <c r="AT137" i="1"/>
  <c r="AO137" i="1"/>
  <c r="AT74" i="1"/>
  <c r="AO74" i="1"/>
  <c r="AT202" i="1"/>
  <c r="AO202" i="1"/>
  <c r="AT201" i="1"/>
  <c r="AO201" i="1"/>
  <c r="AT140" i="1"/>
  <c r="AO140" i="1"/>
  <c r="AT141" i="1"/>
  <c r="AO141" i="1"/>
  <c r="AT62" i="1"/>
  <c r="AO62" i="1"/>
  <c r="AT190" i="1"/>
  <c r="AO190" i="1"/>
  <c r="AT75" i="1"/>
  <c r="AO75" i="1"/>
  <c r="AT160" i="1"/>
  <c r="AO160" i="1"/>
  <c r="AT191" i="1"/>
  <c r="AO191" i="1"/>
  <c r="AT146" i="1"/>
  <c r="AO146" i="1"/>
  <c r="AT161" i="1"/>
  <c r="AO161" i="1"/>
  <c r="AT116" i="1"/>
  <c r="AO116" i="1"/>
  <c r="AT133" i="1"/>
  <c r="AO133" i="1"/>
  <c r="AT70" i="1"/>
  <c r="AO70" i="1"/>
  <c r="AT198" i="1"/>
  <c r="AO198" i="1"/>
  <c r="AT61" i="1"/>
  <c r="AO61" i="1"/>
  <c r="AT55" i="1"/>
  <c r="AO55" i="1"/>
  <c r="AT42" i="1"/>
  <c r="AO42" i="1"/>
  <c r="AT19" i="1"/>
  <c r="AO19" i="1"/>
  <c r="AT43" i="1"/>
  <c r="AO43" i="1"/>
  <c r="AT41" i="1"/>
  <c r="AO41" i="1"/>
  <c r="AT7" i="1"/>
  <c r="AO7" i="1"/>
  <c r="AT30" i="1"/>
  <c r="AO30" i="1"/>
  <c r="L137" i="28"/>
  <c r="AT136" i="1"/>
  <c r="AO136" i="1"/>
  <c r="AT153" i="1"/>
  <c r="AO153" i="1"/>
  <c r="AT90" i="1"/>
  <c r="AO90" i="1"/>
  <c r="AT59" i="1"/>
  <c r="AO59" i="1"/>
  <c r="AT69" i="1"/>
  <c r="AO69" i="1"/>
  <c r="AT156" i="1"/>
  <c r="AO156" i="1"/>
  <c r="AT157" i="1"/>
  <c r="AO157" i="1"/>
  <c r="AT78" i="1"/>
  <c r="AO78" i="1"/>
  <c r="AT67" i="1"/>
  <c r="AO67" i="1"/>
  <c r="AT105" i="1"/>
  <c r="AO105" i="1"/>
  <c r="AT176" i="1"/>
  <c r="AO176" i="1"/>
  <c r="AT79" i="1"/>
  <c r="AO79" i="1"/>
  <c r="AT162" i="1"/>
  <c r="AO162" i="1"/>
  <c r="AT177" i="1"/>
  <c r="AO177" i="1"/>
  <c r="AT132" i="1"/>
  <c r="AO132" i="1"/>
  <c r="AT149" i="1"/>
  <c r="AO149" i="1"/>
  <c r="AT86" i="1"/>
  <c r="AO86" i="1"/>
  <c r="AT85" i="1"/>
  <c r="AO85" i="1"/>
  <c r="AT93" i="1"/>
  <c r="AO93" i="1"/>
  <c r="AT32" i="1"/>
  <c r="AO32" i="1"/>
  <c r="AT39" i="1"/>
  <c r="AO39" i="1"/>
  <c r="AT50" i="1"/>
  <c r="AO50" i="1"/>
  <c r="AT26" i="1"/>
  <c r="AO26" i="1"/>
  <c r="AT152" i="1"/>
  <c r="AO152" i="1"/>
  <c r="AT167" i="1"/>
  <c r="AO167" i="1"/>
  <c r="AT106" i="1"/>
  <c r="AO106" i="1"/>
  <c r="AT91" i="1"/>
  <c r="AO91" i="1"/>
  <c r="AT101" i="1"/>
  <c r="AO101" i="1"/>
  <c r="AT172" i="1"/>
  <c r="AO172" i="1"/>
  <c r="AT171" i="1"/>
  <c r="AO171" i="1"/>
  <c r="AT94" i="1"/>
  <c r="AO94" i="1"/>
  <c r="AT99" i="1"/>
  <c r="AO99" i="1"/>
  <c r="AT64" i="1"/>
  <c r="AO64" i="1"/>
  <c r="AT192" i="1"/>
  <c r="AO192" i="1"/>
  <c r="AT109" i="1"/>
  <c r="AO109" i="1"/>
  <c r="AT178" i="1"/>
  <c r="AO178" i="1"/>
  <c r="AT193" i="1"/>
  <c r="AO193" i="1"/>
  <c r="AT148" i="1"/>
  <c r="AO148" i="1"/>
  <c r="AT163" i="1"/>
  <c r="AO163" i="1"/>
  <c r="AT102" i="1"/>
  <c r="AO102" i="1"/>
  <c r="AT119" i="1"/>
  <c r="AO119" i="1"/>
  <c r="AT31" i="1"/>
  <c r="AO31" i="1"/>
  <c r="AT8" i="1"/>
  <c r="AO8" i="1"/>
  <c r="AT28" i="1"/>
  <c r="AO28" i="1"/>
  <c r="AT21" i="1"/>
  <c r="AO21" i="1"/>
  <c r="AT15" i="1"/>
  <c r="AO15" i="1"/>
  <c r="AT16" i="1"/>
  <c r="AO16" i="1"/>
  <c r="AT9" i="1"/>
  <c r="AO9" i="1"/>
  <c r="AT168" i="1"/>
  <c r="AO168" i="1"/>
  <c r="AT183" i="1"/>
  <c r="AO183" i="1"/>
  <c r="AT122" i="1"/>
  <c r="AO122" i="1"/>
  <c r="AT123" i="1"/>
  <c r="AO123" i="1"/>
  <c r="AT60" i="1"/>
  <c r="AO60" i="1"/>
  <c r="AT188" i="1"/>
  <c r="AO188" i="1"/>
  <c r="AT187" i="1"/>
  <c r="AO187" i="1"/>
  <c r="AT110" i="1"/>
  <c r="AO110" i="1"/>
  <c r="AT127" i="1"/>
  <c r="AO127" i="1"/>
  <c r="AT80" i="1"/>
  <c r="AO80" i="1"/>
  <c r="AT71" i="1"/>
  <c r="AO71" i="1"/>
  <c r="AT66" i="1"/>
  <c r="AO66" i="1"/>
  <c r="AT194" i="1"/>
  <c r="AO194" i="1"/>
  <c r="AT83" i="1"/>
  <c r="AO83" i="1"/>
  <c r="AT164" i="1"/>
  <c r="AO164" i="1"/>
  <c r="AT179" i="1"/>
  <c r="AO179" i="1"/>
  <c r="AT118" i="1"/>
  <c r="AO118" i="1"/>
  <c r="AT135" i="1"/>
  <c r="AO135" i="1"/>
  <c r="AT35" i="1"/>
  <c r="AO35" i="1"/>
  <c r="AT38" i="1"/>
  <c r="AO38" i="1"/>
  <c r="AT48" i="1"/>
  <c r="AO48" i="1"/>
  <c r="AT49" i="1"/>
  <c r="AO49" i="1"/>
  <c r="AT6" i="1"/>
  <c r="AO6" i="1"/>
  <c r="H20" i="28"/>
  <c r="H52" i="28"/>
  <c r="H19" i="28"/>
  <c r="H48" i="28"/>
  <c r="L45" i="28"/>
  <c r="L52" i="28"/>
  <c r="L20" i="28"/>
  <c r="L39" i="28"/>
  <c r="L15" i="28"/>
  <c r="L92" i="28"/>
  <c r="L146" i="28"/>
  <c r="L12" i="28"/>
  <c r="L49" i="28"/>
  <c r="L161" i="28"/>
  <c r="L36" i="28"/>
  <c r="L178" i="28"/>
  <c r="L167" i="28"/>
  <c r="L33" i="28"/>
  <c r="L194" i="28"/>
  <c r="L97" i="28"/>
  <c r="L4" i="28"/>
  <c r="L93" i="28"/>
  <c r="L44" i="28"/>
  <c r="L119" i="28"/>
  <c r="L25" i="28"/>
  <c r="L166" i="28"/>
  <c r="L79" i="28"/>
  <c r="L66" i="28"/>
  <c r="L157" i="28"/>
  <c r="L193" i="28"/>
  <c r="L132" i="28"/>
  <c r="L155" i="28"/>
  <c r="L96" i="28"/>
  <c r="L62" i="28"/>
  <c r="L134" i="28"/>
  <c r="L163" i="28"/>
  <c r="L107" i="28"/>
  <c r="L8" i="28"/>
  <c r="L124" i="28"/>
  <c r="L164" i="28"/>
  <c r="L88" i="28"/>
  <c r="L130" i="28"/>
  <c r="L165" i="28"/>
  <c r="L67" i="28"/>
  <c r="L90" i="28"/>
  <c r="L170" i="28"/>
  <c r="L139" i="28"/>
  <c r="L77" i="28"/>
  <c r="L147" i="28"/>
  <c r="L83" i="28"/>
  <c r="L59" i="28"/>
  <c r="L29" i="28"/>
  <c r="L48" i="28"/>
  <c r="L184" i="28"/>
  <c r="L186" i="28"/>
  <c r="L201" i="28"/>
  <c r="L141" i="28"/>
  <c r="L142" i="28"/>
  <c r="L105" i="28"/>
  <c r="L75" i="28"/>
  <c r="L191" i="28"/>
  <c r="L98" i="28"/>
  <c r="L68" i="28"/>
  <c r="L118" i="28"/>
  <c r="L181" i="28"/>
  <c r="L56" i="28"/>
  <c r="L153" i="28"/>
  <c r="L99" i="28"/>
  <c r="L106" i="28"/>
  <c r="L202" i="28"/>
  <c r="L71" i="28"/>
  <c r="L172" i="28"/>
  <c r="L64" i="28"/>
  <c r="L144" i="28"/>
  <c r="L109" i="28"/>
  <c r="L177" i="28"/>
  <c r="L148" i="28"/>
  <c r="L27" i="28"/>
  <c r="L72" i="28"/>
  <c r="L136" i="28"/>
  <c r="L200" i="28"/>
  <c r="L188" i="28"/>
  <c r="L78" i="28"/>
  <c r="L158" i="28"/>
  <c r="L127" i="28"/>
  <c r="L80" i="28"/>
  <c r="L81" i="28"/>
  <c r="L114" i="28"/>
  <c r="L133" i="28"/>
  <c r="L40" i="28"/>
  <c r="L70" i="28"/>
  <c r="L150" i="28"/>
  <c r="L197" i="28"/>
  <c r="L183" i="28"/>
  <c r="L58" i="28"/>
  <c r="L122" i="28"/>
  <c r="L169" i="28"/>
  <c r="L160" i="28"/>
  <c r="L113" i="28"/>
  <c r="L149" i="28"/>
  <c r="L86" i="28"/>
  <c r="L135" i="28"/>
  <c r="L152" i="28"/>
  <c r="L57" i="28"/>
  <c r="L138" i="28"/>
  <c r="L187" i="28"/>
  <c r="L94" i="28"/>
  <c r="L174" i="28"/>
  <c r="L173" i="28"/>
  <c r="L111" i="28"/>
  <c r="L55" i="28"/>
  <c r="L100" i="28"/>
  <c r="L180" i="28"/>
  <c r="L30" i="28"/>
  <c r="L63" i="28"/>
  <c r="L104" i="28"/>
  <c r="L89" i="28"/>
  <c r="L199" i="28"/>
  <c r="L74" i="28"/>
  <c r="L185" i="28"/>
  <c r="L60" i="28"/>
  <c r="L140" i="28"/>
  <c r="L190" i="28"/>
  <c r="L176" i="28"/>
  <c r="L145" i="28"/>
  <c r="L131" i="28"/>
  <c r="L87" i="28"/>
  <c r="L179" i="28"/>
  <c r="L42" i="28"/>
  <c r="L102" i="28"/>
  <c r="L182" i="28"/>
  <c r="L151" i="28"/>
  <c r="L168" i="28"/>
  <c r="L121" i="28"/>
  <c r="L154" i="28"/>
  <c r="L123" i="28"/>
  <c r="L76" i="28"/>
  <c r="L125" i="28"/>
  <c r="L73" i="28"/>
  <c r="L110" i="28"/>
  <c r="L69" i="28"/>
  <c r="L189" i="28"/>
  <c r="L112" i="28"/>
  <c r="L192" i="28"/>
  <c r="L82" i="28"/>
  <c r="X84" i="1"/>
  <c r="AA84" i="1" s="1"/>
  <c r="L162" i="28"/>
  <c r="L115" i="28"/>
  <c r="L116" i="28"/>
  <c r="L16" i="28"/>
  <c r="L38" i="28"/>
  <c r="L19" i="28"/>
  <c r="L50" i="28"/>
  <c r="L14" i="28"/>
  <c r="L53" i="28"/>
  <c r="L31" i="28"/>
  <c r="L37" i="28"/>
  <c r="L41" i="28"/>
  <c r="L47" i="28"/>
  <c r="L43" i="28"/>
  <c r="L32" i="28"/>
  <c r="L13" i="28"/>
  <c r="L51" i="28"/>
  <c r="L18" i="28"/>
  <c r="L54" i="28"/>
  <c r="L21" i="28"/>
  <c r="L7" i="28"/>
  <c r="L17" i="28"/>
  <c r="L23" i="28"/>
  <c r="AE6" i="1"/>
  <c r="AE7" i="1"/>
  <c r="AE8" i="1"/>
  <c r="AE9" i="1"/>
  <c r="AE10" i="1"/>
  <c r="AE11" i="1"/>
  <c r="AE12" i="1"/>
  <c r="AE13" i="1"/>
  <c r="AE14" i="1"/>
  <c r="AE15" i="1"/>
  <c r="AE16" i="1"/>
  <c r="AE17" i="1"/>
  <c r="AE18" i="1"/>
  <c r="AE19" i="1"/>
  <c r="AE20" i="1"/>
  <c r="AE21" i="1"/>
  <c r="AE22" i="1"/>
  <c r="AE23" i="1"/>
  <c r="AE24" i="1"/>
  <c r="AV6" i="1" l="1"/>
  <c r="AV11" i="1"/>
  <c r="AV12" i="1"/>
  <c r="AV30" i="1"/>
  <c r="AV41" i="1"/>
  <c r="AV19" i="1"/>
  <c r="AV55" i="1"/>
  <c r="AV198" i="1"/>
  <c r="AV133" i="1"/>
  <c r="AV161" i="1"/>
  <c r="AV191" i="1"/>
  <c r="AV75" i="1"/>
  <c r="AV62" i="1"/>
  <c r="AV140" i="1"/>
  <c r="AV202" i="1"/>
  <c r="AV137" i="1"/>
  <c r="AV76" i="1"/>
  <c r="AV51" i="1"/>
  <c r="AV29" i="1"/>
  <c r="AV54" i="1"/>
  <c r="AV197" i="1"/>
  <c r="AV117" i="1"/>
  <c r="AV100" i="1"/>
  <c r="AV130" i="1"/>
  <c r="AV144" i="1"/>
  <c r="AV174" i="1"/>
  <c r="AV125" i="1"/>
  <c r="AV185" i="1"/>
  <c r="AV58" i="1"/>
  <c r="AV104" i="1"/>
  <c r="AV53" i="1"/>
  <c r="AV13" i="1"/>
  <c r="V13" i="1" s="1"/>
  <c r="X13" i="1" s="1"/>
  <c r="AA13" i="1" s="1"/>
  <c r="AV46" i="1"/>
  <c r="AV14" i="1"/>
  <c r="V14" i="1" s="1"/>
  <c r="G12" i="28" s="1"/>
  <c r="AV166" i="1"/>
  <c r="AV81" i="1"/>
  <c r="AV131" i="1"/>
  <c r="AV203" i="1"/>
  <c r="AV92" i="1"/>
  <c r="AV154" i="1"/>
  <c r="AV145" i="1"/>
  <c r="AV173" i="1"/>
  <c r="AV73" i="1"/>
  <c r="AV108" i="1"/>
  <c r="AV170" i="1"/>
  <c r="AV88" i="1"/>
  <c r="AV34" i="1"/>
  <c r="AV22" i="1"/>
  <c r="AV18" i="1"/>
  <c r="AV165" i="1"/>
  <c r="AV57" i="1"/>
  <c r="AV200" i="1"/>
  <c r="AV139" i="1"/>
  <c r="AV52" i="1"/>
  <c r="AV20" i="1"/>
  <c r="AV40" i="1"/>
  <c r="AV134" i="1"/>
  <c r="AV180" i="1"/>
  <c r="AV49" i="1"/>
  <c r="AV38" i="1"/>
  <c r="AV135" i="1"/>
  <c r="AV179" i="1"/>
  <c r="AV83" i="1"/>
  <c r="AV66" i="1"/>
  <c r="AV80" i="1"/>
  <c r="AV110" i="1"/>
  <c r="AV188" i="1"/>
  <c r="AV123" i="1"/>
  <c r="AV183" i="1"/>
  <c r="AV9" i="1"/>
  <c r="AV15" i="1"/>
  <c r="AV28" i="1"/>
  <c r="AV31" i="1"/>
  <c r="AV102" i="1"/>
  <c r="AV148" i="1"/>
  <c r="AV178" i="1"/>
  <c r="AV192" i="1"/>
  <c r="AV99" i="1"/>
  <c r="AV171" i="1"/>
  <c r="AV101" i="1"/>
  <c r="AV106" i="1"/>
  <c r="AV152" i="1"/>
  <c r="AV50" i="1"/>
  <c r="AV32" i="1"/>
  <c r="AV85" i="1"/>
  <c r="AV149" i="1"/>
  <c r="AV177" i="1"/>
  <c r="AV79" i="1"/>
  <c r="AV105" i="1"/>
  <c r="AV78" i="1"/>
  <c r="AV156" i="1"/>
  <c r="AV59" i="1"/>
  <c r="AV153" i="1"/>
  <c r="AV68" i="1"/>
  <c r="AV98" i="1"/>
  <c r="AV112" i="1"/>
  <c r="AV142" i="1"/>
  <c r="AV63" i="1"/>
  <c r="AV155" i="1"/>
  <c r="AV65" i="1"/>
  <c r="AV72" i="1"/>
  <c r="AV45" i="1"/>
  <c r="AV48" i="1"/>
  <c r="AV35" i="1"/>
  <c r="AV118" i="1"/>
  <c r="AV164" i="1"/>
  <c r="AV194" i="1"/>
  <c r="AV71" i="1"/>
  <c r="AV127" i="1"/>
  <c r="AV187" i="1"/>
  <c r="AV60" i="1"/>
  <c r="AV122" i="1"/>
  <c r="AV168" i="1"/>
  <c r="AV16" i="1"/>
  <c r="AV21" i="1"/>
  <c r="AV8" i="1"/>
  <c r="AV119" i="1"/>
  <c r="AV163" i="1"/>
  <c r="AV193" i="1"/>
  <c r="AV109" i="1"/>
  <c r="AV64" i="1"/>
  <c r="AV94" i="1"/>
  <c r="AV172" i="1"/>
  <c r="AV91" i="1"/>
  <c r="AV167" i="1"/>
  <c r="AV26" i="1"/>
  <c r="AV39" i="1"/>
  <c r="AV93" i="1"/>
  <c r="AV86" i="1"/>
  <c r="AV132" i="1"/>
  <c r="AV162" i="1"/>
  <c r="AV176" i="1"/>
  <c r="AV67" i="1"/>
  <c r="AV157" i="1"/>
  <c r="AV69" i="1"/>
  <c r="AV90" i="1"/>
  <c r="AV136" i="1"/>
  <c r="AV87" i="1"/>
  <c r="AV7" i="1"/>
  <c r="AV43" i="1"/>
  <c r="AV42" i="1"/>
  <c r="AV61" i="1"/>
  <c r="AV70" i="1"/>
  <c r="AV116" i="1"/>
  <c r="AV146" i="1"/>
  <c r="AV160" i="1"/>
  <c r="AV190" i="1"/>
  <c r="AV141" i="1"/>
  <c r="AV201" i="1"/>
  <c r="AV74" i="1"/>
  <c r="AV120" i="1"/>
  <c r="AV36" i="1"/>
  <c r="AV37" i="1"/>
  <c r="AV17" i="1"/>
  <c r="AV182" i="1"/>
  <c r="AV115" i="1"/>
  <c r="AV147" i="1"/>
  <c r="AV175" i="1"/>
  <c r="AV189" i="1"/>
  <c r="AV103" i="1"/>
  <c r="AV124" i="1"/>
  <c r="AV186" i="1"/>
  <c r="AV121" i="1"/>
  <c r="AV184" i="1"/>
  <c r="AV27" i="1"/>
  <c r="AV44" i="1"/>
  <c r="AV47" i="1"/>
  <c r="AV181" i="1"/>
  <c r="AV89" i="1"/>
  <c r="AV84" i="1"/>
  <c r="AV114" i="1"/>
  <c r="AV128" i="1"/>
  <c r="AV158" i="1"/>
  <c r="AV95" i="1"/>
  <c r="AV169" i="1"/>
  <c r="AV97" i="1"/>
  <c r="AV199" i="1"/>
  <c r="AV24" i="1"/>
  <c r="AV23" i="1"/>
  <c r="AV10" i="1"/>
  <c r="AV56" i="1"/>
  <c r="AV150" i="1"/>
  <c r="AV196" i="1"/>
  <c r="AV111" i="1"/>
  <c r="AV129" i="1"/>
  <c r="AV159" i="1"/>
  <c r="AV77" i="1"/>
  <c r="AV107" i="1"/>
  <c r="AV143" i="1"/>
  <c r="AV204" i="1"/>
  <c r="AV25" i="1"/>
  <c r="AV33" i="1"/>
  <c r="AV151" i="1"/>
  <c r="AV195" i="1"/>
  <c r="AV113" i="1"/>
  <c r="AV82" i="1"/>
  <c r="AV96" i="1"/>
  <c r="AV126" i="1"/>
  <c r="AV138" i="1"/>
  <c r="W12" i="1"/>
  <c r="H10" i="28" s="1"/>
  <c r="W11" i="1"/>
  <c r="H9" i="28" s="1"/>
  <c r="W10" i="1"/>
  <c r="H8" i="28" s="1"/>
  <c r="X129" i="1"/>
  <c r="AA129" i="1" s="1"/>
  <c r="X154" i="1"/>
  <c r="AA154" i="1" s="1"/>
  <c r="X77" i="1"/>
  <c r="AA77" i="1" s="1"/>
  <c r="X158" i="1"/>
  <c r="AA158" i="1" s="1"/>
  <c r="X23" i="1"/>
  <c r="AA23" i="1" s="1"/>
  <c r="X111" i="1"/>
  <c r="AA111" i="1" s="1"/>
  <c r="X92" i="1"/>
  <c r="AA92" i="1" s="1"/>
  <c r="X180" i="1"/>
  <c r="AA180" i="1" s="1"/>
  <c r="X143" i="1"/>
  <c r="AA143" i="1" s="1"/>
  <c r="X204" i="1"/>
  <c r="AA204" i="1" s="1"/>
  <c r="X203" i="1"/>
  <c r="AA203" i="1" s="1"/>
  <c r="X196" i="1"/>
  <c r="AA196" i="1" s="1"/>
  <c r="X169" i="1"/>
  <c r="AA169" i="1" s="1"/>
  <c r="X159" i="1"/>
  <c r="AA159" i="1" s="1"/>
  <c r="X200" i="1"/>
  <c r="AA200" i="1" s="1"/>
  <c r="X107" i="1"/>
  <c r="AA107" i="1" s="1"/>
  <c r="X139" i="1"/>
  <c r="AA139" i="1" s="1"/>
  <c r="X134" i="1"/>
  <c r="AA134" i="1" s="1"/>
  <c r="X20" i="1"/>
  <c r="AA20" i="1" s="1"/>
  <c r="X19" i="1"/>
  <c r="AA19" i="1" s="1"/>
  <c r="X55" i="1"/>
  <c r="AA55" i="1" s="1"/>
  <c r="X198" i="1"/>
  <c r="AA198" i="1" s="1"/>
  <c r="X133" i="1"/>
  <c r="AA133" i="1" s="1"/>
  <c r="X161" i="1"/>
  <c r="AA161" i="1" s="1"/>
  <c r="X191" i="1"/>
  <c r="AA191" i="1" s="1"/>
  <c r="X75" i="1"/>
  <c r="AA75" i="1" s="1"/>
  <c r="X62" i="1"/>
  <c r="AA62" i="1" s="1"/>
  <c r="X140" i="1"/>
  <c r="AA140" i="1" s="1"/>
  <c r="X202" i="1"/>
  <c r="AA202" i="1" s="1"/>
  <c r="X137" i="1"/>
  <c r="AA137" i="1" s="1"/>
  <c r="X76" i="1"/>
  <c r="AA76" i="1" s="1"/>
  <c r="X51" i="1"/>
  <c r="AA51" i="1" s="1"/>
  <c r="X197" i="1"/>
  <c r="AA197" i="1" s="1"/>
  <c r="X117" i="1"/>
  <c r="AA117" i="1" s="1"/>
  <c r="X100" i="1"/>
  <c r="AA100" i="1" s="1"/>
  <c r="X130" i="1"/>
  <c r="AA130" i="1" s="1"/>
  <c r="X144" i="1"/>
  <c r="AA144" i="1" s="1"/>
  <c r="X174" i="1"/>
  <c r="AA174" i="1" s="1"/>
  <c r="X125" i="1"/>
  <c r="AA125" i="1" s="1"/>
  <c r="X185" i="1"/>
  <c r="AA185" i="1" s="1"/>
  <c r="X58" i="1"/>
  <c r="AA58" i="1" s="1"/>
  <c r="X104" i="1"/>
  <c r="AA104" i="1" s="1"/>
  <c r="X53" i="1"/>
  <c r="AA53" i="1" s="1"/>
  <c r="X166" i="1"/>
  <c r="AA166" i="1" s="1"/>
  <c r="X81" i="1"/>
  <c r="AA81" i="1" s="1"/>
  <c r="X131" i="1"/>
  <c r="AA131" i="1" s="1"/>
  <c r="X145" i="1"/>
  <c r="AA145" i="1" s="1"/>
  <c r="X173" i="1"/>
  <c r="AA173" i="1" s="1"/>
  <c r="X73" i="1"/>
  <c r="AA73" i="1" s="1"/>
  <c r="X108" i="1"/>
  <c r="AA108" i="1" s="1"/>
  <c r="X170" i="1"/>
  <c r="AA170" i="1" s="1"/>
  <c r="X88" i="1"/>
  <c r="AA88" i="1" s="1"/>
  <c r="G20" i="28"/>
  <c r="V11" i="1"/>
  <c r="X11" i="1" s="1"/>
  <c r="AA11" i="1" s="1"/>
  <c r="X165" i="1"/>
  <c r="AA165" i="1" s="1"/>
  <c r="X57" i="1"/>
  <c r="AA57" i="1" s="1"/>
  <c r="X68" i="1"/>
  <c r="AA68" i="1" s="1"/>
  <c r="X98" i="1"/>
  <c r="AA98" i="1" s="1"/>
  <c r="X112" i="1"/>
  <c r="AA112" i="1" s="1"/>
  <c r="X142" i="1"/>
  <c r="AA142" i="1" s="1"/>
  <c r="X63" i="1"/>
  <c r="AA63" i="1" s="1"/>
  <c r="X155" i="1"/>
  <c r="AA155" i="1" s="1"/>
  <c r="X65" i="1"/>
  <c r="AA65" i="1" s="1"/>
  <c r="X72" i="1"/>
  <c r="AA72" i="1" s="1"/>
  <c r="X25" i="1"/>
  <c r="AA25" i="1" s="1"/>
  <c r="X151" i="1"/>
  <c r="AA151" i="1" s="1"/>
  <c r="X195" i="1"/>
  <c r="AA195" i="1" s="1"/>
  <c r="X113" i="1"/>
  <c r="AA113" i="1" s="1"/>
  <c r="X82" i="1"/>
  <c r="AA82" i="1" s="1"/>
  <c r="X96" i="1"/>
  <c r="AA96" i="1" s="1"/>
  <c r="X126" i="1"/>
  <c r="AA126" i="1" s="1"/>
  <c r="X138" i="1"/>
  <c r="AA138" i="1" s="1"/>
  <c r="X201" i="1"/>
  <c r="AA201" i="1" s="1"/>
  <c r="X115" i="1"/>
  <c r="AA115" i="1" s="1"/>
  <c r="X175" i="1"/>
  <c r="AA175" i="1" s="1"/>
  <c r="X189" i="1"/>
  <c r="AA189" i="1" s="1"/>
  <c r="X103" i="1"/>
  <c r="AA103" i="1" s="1"/>
  <c r="X186" i="1"/>
  <c r="AA186" i="1" s="1"/>
  <c r="X184" i="1"/>
  <c r="AA184" i="1" s="1"/>
  <c r="X44" i="1"/>
  <c r="AA44" i="1" s="1"/>
  <c r="X89" i="1"/>
  <c r="AA89" i="1" s="1"/>
  <c r="X128" i="1"/>
  <c r="AA128" i="1" s="1"/>
  <c r="X95" i="1"/>
  <c r="AA95" i="1" s="1"/>
  <c r="X97" i="1"/>
  <c r="AA97" i="1" s="1"/>
  <c r="X199" i="1"/>
  <c r="AA199" i="1" s="1"/>
  <c r="X150" i="1"/>
  <c r="AA150" i="1" s="1"/>
  <c r="X188" i="1"/>
  <c r="AA188" i="1" s="1"/>
  <c r="X31" i="1"/>
  <c r="AA31" i="1" s="1"/>
  <c r="X171" i="1"/>
  <c r="AA171" i="1" s="1"/>
  <c r="X85" i="1"/>
  <c r="AA85" i="1" s="1"/>
  <c r="X156" i="1"/>
  <c r="AA156" i="1" s="1"/>
  <c r="X59" i="1"/>
  <c r="AA59" i="1" s="1"/>
  <c r="X83" i="1"/>
  <c r="AA83" i="1" s="1"/>
  <c r="X183" i="1"/>
  <c r="AA183" i="1" s="1"/>
  <c r="X148" i="1"/>
  <c r="AA148" i="1" s="1"/>
  <c r="X106" i="1"/>
  <c r="AA106" i="1" s="1"/>
  <c r="X177" i="1"/>
  <c r="AA177" i="1" s="1"/>
  <c r="X153" i="1"/>
  <c r="AA153" i="1" s="1"/>
  <c r="X80" i="1"/>
  <c r="AA80" i="1" s="1"/>
  <c r="X15" i="1"/>
  <c r="AA15" i="1" s="1"/>
  <c r="X192" i="1"/>
  <c r="AA192" i="1" s="1"/>
  <c r="G48" i="28"/>
  <c r="X105" i="1"/>
  <c r="AA105" i="1" s="1"/>
  <c r="G40" i="28"/>
  <c r="X70" i="1"/>
  <c r="AA70" i="1" s="1"/>
  <c r="V12" i="1"/>
  <c r="X12" i="1" s="1"/>
  <c r="AA12" i="1" s="1"/>
  <c r="X181" i="1"/>
  <c r="AA181" i="1" s="1"/>
  <c r="X114" i="1"/>
  <c r="AA114" i="1" s="1"/>
  <c r="X24" i="1"/>
  <c r="AA24" i="1" s="1"/>
  <c r="X127" i="1"/>
  <c r="AA127" i="1" s="1"/>
  <c r="X67" i="1"/>
  <c r="AA67" i="1" s="1"/>
  <c r="X93" i="1"/>
  <c r="AA93" i="1" s="1"/>
  <c r="X176" i="1"/>
  <c r="AA176" i="1" s="1"/>
  <c r="X69" i="1"/>
  <c r="AA69" i="1" s="1"/>
  <c r="X87" i="1"/>
  <c r="AA87" i="1" s="1"/>
  <c r="X164" i="1"/>
  <c r="AA164" i="1" s="1"/>
  <c r="X71" i="1"/>
  <c r="AA71" i="1" s="1"/>
  <c r="X187" i="1"/>
  <c r="AA187" i="1" s="1"/>
  <c r="X122" i="1"/>
  <c r="AA122" i="1" s="1"/>
  <c r="X163" i="1"/>
  <c r="AA163" i="1" s="1"/>
  <c r="X109" i="1"/>
  <c r="AA109" i="1" s="1"/>
  <c r="X91" i="1"/>
  <c r="AA91" i="1" s="1"/>
  <c r="X132" i="1"/>
  <c r="AA132" i="1" s="1"/>
  <c r="X157" i="1"/>
  <c r="AA157" i="1" s="1"/>
  <c r="X90" i="1"/>
  <c r="AA90" i="1" s="1"/>
  <c r="X136" i="1"/>
  <c r="AA136" i="1" s="1"/>
  <c r="X118" i="1"/>
  <c r="AA118" i="1" s="1"/>
  <c r="X194" i="1"/>
  <c r="AA194" i="1" s="1"/>
  <c r="X60" i="1"/>
  <c r="AA60" i="1" s="1"/>
  <c r="X168" i="1"/>
  <c r="AA168" i="1" s="1"/>
  <c r="X119" i="1"/>
  <c r="AA119" i="1" s="1"/>
  <c r="X193" i="1"/>
  <c r="AA193" i="1" s="1"/>
  <c r="X64" i="1"/>
  <c r="AA64" i="1" s="1"/>
  <c r="X172" i="1"/>
  <c r="AA172" i="1" s="1"/>
  <c r="X167" i="1"/>
  <c r="AA167" i="1" s="1"/>
  <c r="X86" i="1"/>
  <c r="AA86" i="1" s="1"/>
  <c r="X162" i="1"/>
  <c r="AA162" i="1" s="1"/>
  <c r="W8" i="1"/>
  <c r="H6" i="28" s="1"/>
  <c r="W9" i="1"/>
  <c r="H7" i="28" s="1"/>
  <c r="X135" i="1"/>
  <c r="AA135" i="1" s="1"/>
  <c r="X179" i="1"/>
  <c r="AA179" i="1" s="1"/>
  <c r="X66" i="1"/>
  <c r="AA66" i="1" s="1"/>
  <c r="X110" i="1"/>
  <c r="AA110" i="1" s="1"/>
  <c r="X123" i="1"/>
  <c r="AA123" i="1" s="1"/>
  <c r="X28" i="1"/>
  <c r="AA28" i="1" s="1"/>
  <c r="X102" i="1"/>
  <c r="AA102" i="1" s="1"/>
  <c r="X178" i="1"/>
  <c r="AA178" i="1" s="1"/>
  <c r="X99" i="1"/>
  <c r="AA99" i="1" s="1"/>
  <c r="X101" i="1"/>
  <c r="AA101" i="1" s="1"/>
  <c r="X152" i="1"/>
  <c r="AA152" i="1" s="1"/>
  <c r="X32" i="1"/>
  <c r="AA32" i="1" s="1"/>
  <c r="X149" i="1"/>
  <c r="AA149" i="1" s="1"/>
  <c r="X79" i="1"/>
  <c r="AA79" i="1" s="1"/>
  <c r="X146" i="1"/>
  <c r="AA146" i="1" s="1"/>
  <c r="X190" i="1"/>
  <c r="AA190" i="1" s="1"/>
  <c r="X120" i="1"/>
  <c r="AA120" i="1" s="1"/>
  <c r="X78" i="1"/>
  <c r="AA78" i="1" s="1"/>
  <c r="X43" i="1"/>
  <c r="AA43" i="1" s="1"/>
  <c r="X61" i="1"/>
  <c r="AA61" i="1" s="1"/>
  <c r="X116" i="1"/>
  <c r="AA116" i="1" s="1"/>
  <c r="X160" i="1"/>
  <c r="AA160" i="1" s="1"/>
  <c r="X141" i="1"/>
  <c r="AA141" i="1" s="1"/>
  <c r="X74" i="1"/>
  <c r="AA74" i="1" s="1"/>
  <c r="X182" i="1"/>
  <c r="AA182" i="1" s="1"/>
  <c r="X147" i="1"/>
  <c r="AA147" i="1" s="1"/>
  <c r="X124" i="1"/>
  <c r="AA124" i="1" s="1"/>
  <c r="X121" i="1"/>
  <c r="AA121" i="1" s="1"/>
  <c r="X35" i="1"/>
  <c r="AA35" i="1" s="1"/>
  <c r="X94" i="1"/>
  <c r="AA94" i="1" s="1"/>
  <c r="G45" i="28"/>
  <c r="X50" i="1"/>
  <c r="AA50" i="1" s="1"/>
  <c r="G49" i="28"/>
  <c r="X26" i="1"/>
  <c r="AA26" i="1" s="1"/>
  <c r="G24" i="28"/>
  <c r="X37" i="1"/>
  <c r="AA37" i="1" s="1"/>
  <c r="G35" i="28"/>
  <c r="X48" i="1"/>
  <c r="AA48" i="1" s="1"/>
  <c r="G46" i="28"/>
  <c r="X49" i="1"/>
  <c r="AA49" i="1" s="1"/>
  <c r="G47" i="28"/>
  <c r="X33" i="1"/>
  <c r="AA33" i="1" s="1"/>
  <c r="G31" i="28"/>
  <c r="X45" i="1"/>
  <c r="AA45" i="1" s="1"/>
  <c r="G43" i="28"/>
  <c r="X40" i="1"/>
  <c r="AA40" i="1" s="1"/>
  <c r="G38" i="28"/>
  <c r="G19" i="28"/>
  <c r="X21" i="1"/>
  <c r="AA21" i="1" s="1"/>
  <c r="X36" i="1"/>
  <c r="AA36" i="1" s="1"/>
  <c r="G34" i="28"/>
  <c r="X52" i="1"/>
  <c r="AA52" i="1" s="1"/>
  <c r="G50" i="28"/>
  <c r="G33" i="28"/>
  <c r="G39" i="28"/>
  <c r="X41" i="1"/>
  <c r="AA41" i="1" s="1"/>
  <c r="X16" i="1"/>
  <c r="AA16" i="1" s="1"/>
  <c r="G14" i="28"/>
  <c r="X17" i="1"/>
  <c r="AA17" i="1" s="1"/>
  <c r="G15" i="28"/>
  <c r="G42" i="28"/>
  <c r="G41" i="28"/>
  <c r="X42" i="1"/>
  <c r="AA42" i="1" s="1"/>
  <c r="G53" i="28"/>
  <c r="G29" i="28"/>
  <c r="G18" i="28"/>
  <c r="X22" i="1"/>
  <c r="AA22" i="1" s="1"/>
  <c r="X56" i="1"/>
  <c r="AA56" i="1" s="1"/>
  <c r="G54" i="28"/>
  <c r="X34" i="1"/>
  <c r="AA34" i="1" s="1"/>
  <c r="G32" i="28"/>
  <c r="G51" i="28"/>
  <c r="G13" i="28"/>
  <c r="G26" i="28"/>
  <c r="G23" i="28"/>
  <c r="G17" i="28"/>
  <c r="G22" i="28"/>
  <c r="G30" i="28"/>
  <c r="G21" i="28"/>
  <c r="X29" i="1"/>
  <c r="AA29" i="1" s="1"/>
  <c r="G27" i="28"/>
  <c r="X54" i="1"/>
  <c r="AA54" i="1" s="1"/>
  <c r="G52" i="28"/>
  <c r="X46" i="1"/>
  <c r="AA46" i="1" s="1"/>
  <c r="G44" i="28"/>
  <c r="X18" i="1"/>
  <c r="AA18" i="1" s="1"/>
  <c r="G16" i="28"/>
  <c r="X30" i="1"/>
  <c r="AA30" i="1" s="1"/>
  <c r="G28" i="28"/>
  <c r="X39" i="1"/>
  <c r="AA39" i="1" s="1"/>
  <c r="G37" i="28"/>
  <c r="X27" i="1"/>
  <c r="AA27" i="1" s="1"/>
  <c r="G25" i="28"/>
  <c r="X38" i="1"/>
  <c r="AA38" i="1" s="1"/>
  <c r="G36" i="28"/>
  <c r="AD5" i="1"/>
  <c r="AD22" i="1"/>
  <c r="AD21" i="1"/>
  <c r="AD14" i="1"/>
  <c r="AD13" i="1"/>
  <c r="AD19" i="1"/>
  <c r="AD10" i="1"/>
  <c r="AD20" i="1"/>
  <c r="AD11" i="1"/>
  <c r="AD18" i="1"/>
  <c r="AD9" i="1"/>
  <c r="AD17" i="1"/>
  <c r="AD8" i="1"/>
  <c r="AD24" i="1"/>
  <c r="AD16" i="1"/>
  <c r="AD7" i="1"/>
  <c r="AD23" i="1"/>
  <c r="AD15" i="1"/>
  <c r="AD6" i="1"/>
  <c r="AD12" i="1"/>
  <c r="G11" i="28" l="1"/>
  <c r="X14" i="1"/>
  <c r="AA14" i="1" s="1"/>
  <c r="G10" i="28"/>
  <c r="G9" i="28"/>
  <c r="V10" i="1"/>
  <c r="W3" i="1"/>
  <c r="E3" i="51" s="1"/>
  <c r="D17" i="26" s="1"/>
  <c r="V6" i="1"/>
  <c r="X6" i="1" s="1"/>
  <c r="V7" i="1"/>
  <c r="G5" i="28" s="1"/>
  <c r="V8" i="1"/>
  <c r="G6" i="28" s="1"/>
  <c r="V9" i="1"/>
  <c r="X9" i="1" s="1"/>
  <c r="AA9" i="1" s="1"/>
  <c r="X47" i="1"/>
  <c r="AA47" i="1" s="1"/>
  <c r="G8" i="28" l="1"/>
  <c r="X10" i="1"/>
  <c r="AA10" i="1" s="1"/>
  <c r="G7" i="28"/>
  <c r="X7" i="1"/>
  <c r="AA7" i="1" s="1"/>
  <c r="X8" i="1"/>
  <c r="AA8" i="1" s="1"/>
  <c r="G4" i="28"/>
  <c r="V3" i="1"/>
  <c r="D3" i="51" s="1"/>
  <c r="C17" i="26" s="1"/>
  <c r="G4" i="51"/>
  <c r="X3" i="1" l="1"/>
  <c r="F3" i="51" s="1"/>
  <c r="C24" i="26" s="1"/>
  <c r="D25" i="26"/>
  <c r="B303" i="28"/>
  <c r="B203" i="28"/>
  <c r="B3" i="28"/>
  <c r="Z3" i="27" l="1"/>
  <c r="D4" i="51" s="1"/>
  <c r="AA3" i="27"/>
  <c r="E4" i="51" s="1"/>
  <c r="AE37" i="27"/>
  <c r="AE22" i="27"/>
  <c r="AE96" i="27"/>
  <c r="AE55" i="27"/>
  <c r="AE48" i="27"/>
  <c r="AE80" i="27"/>
  <c r="AE25" i="27"/>
  <c r="AE57" i="27"/>
  <c r="AE89" i="27"/>
  <c r="AE18" i="27"/>
  <c r="AE50" i="27"/>
  <c r="AE27" i="27"/>
  <c r="AE12" i="27"/>
  <c r="AE44" i="27"/>
  <c r="AE76" i="27"/>
  <c r="AE13" i="27"/>
  <c r="AE45" i="27"/>
  <c r="AE30" i="27"/>
  <c r="AE62" i="27"/>
  <c r="AE94" i="27"/>
  <c r="AE91" i="27"/>
  <c r="AE95" i="27"/>
  <c r="AE16" i="27"/>
  <c r="AE82" i="27"/>
  <c r="AE59" i="27"/>
  <c r="AE77" i="27"/>
  <c r="AE98" i="27"/>
  <c r="AE31" i="27"/>
  <c r="AE63" i="27"/>
  <c r="AE56" i="27"/>
  <c r="AE104" i="27"/>
  <c r="AE33" i="27"/>
  <c r="AE97" i="27"/>
  <c r="AE26" i="27"/>
  <c r="AE58" i="27"/>
  <c r="AE99" i="27"/>
  <c r="AE52" i="27"/>
  <c r="AE84" i="27"/>
  <c r="AE21" i="27"/>
  <c r="AE85" i="27"/>
  <c r="AE6" i="27"/>
  <c r="AE38" i="27"/>
  <c r="AE70" i="27"/>
  <c r="AE102" i="27"/>
  <c r="AE88" i="27"/>
  <c r="AE24" i="27"/>
  <c r="AE65" i="27"/>
  <c r="AE35" i="27"/>
  <c r="AE67" i="27"/>
  <c r="AE20" i="27"/>
  <c r="AE7" i="27"/>
  <c r="AE39" i="27"/>
  <c r="AE71" i="27"/>
  <c r="AE32" i="27"/>
  <c r="AE64" i="27"/>
  <c r="AE9" i="27"/>
  <c r="AE73" i="27"/>
  <c r="AE90" i="27"/>
  <c r="AE34" i="27"/>
  <c r="AE66" i="27"/>
  <c r="AE11" i="27"/>
  <c r="AE75" i="27"/>
  <c r="AE28" i="27"/>
  <c r="AE60" i="27"/>
  <c r="AE53" i="27"/>
  <c r="AE61" i="27"/>
  <c r="AE93" i="27"/>
  <c r="AE46" i="27"/>
  <c r="AE78" i="27"/>
  <c r="AE103" i="27"/>
  <c r="AE15" i="27"/>
  <c r="AE47" i="27"/>
  <c r="AE79" i="27"/>
  <c r="AE41" i="27"/>
  <c r="AE43" i="27"/>
  <c r="AE92" i="27"/>
  <c r="AE29" i="27"/>
  <c r="AE14" i="27"/>
  <c r="AE8" i="27"/>
  <c r="AE40" i="27"/>
  <c r="AE72" i="27"/>
  <c r="AE17" i="27"/>
  <c r="AE81" i="27"/>
  <c r="AE10" i="27"/>
  <c r="AE42" i="27"/>
  <c r="AE74" i="27"/>
  <c r="AE19" i="27"/>
  <c r="AE51" i="27"/>
  <c r="AE83" i="27"/>
  <c r="AE36" i="27"/>
  <c r="AE68" i="27"/>
  <c r="AE69" i="27"/>
  <c r="AE101" i="27"/>
  <c r="AE54" i="27"/>
  <c r="AE86" i="27"/>
  <c r="AE23" i="27"/>
  <c r="AE87" i="27"/>
  <c r="AE49" i="27"/>
  <c r="AE100" i="27"/>
  <c r="D18" i="26" l="1"/>
  <c r="D20" i="26" s="1"/>
  <c r="E6" i="51"/>
  <c r="C18" i="26"/>
  <c r="D6" i="51"/>
  <c r="C20" i="26" l="1"/>
  <c r="F8" i="26" s="1"/>
  <c r="C4" i="51"/>
  <c r="B3" i="33" l="1"/>
  <c r="I4" i="51"/>
  <c r="AE5" i="27" l="1"/>
  <c r="AB3" i="27"/>
  <c r="AE3" i="27" l="1"/>
  <c r="F4" i="51"/>
  <c r="C25" i="26" l="1"/>
  <c r="C28" i="26" s="1"/>
  <c r="F6" i="51"/>
  <c r="D3" i="28" l="1"/>
  <c r="F3" i="28" s="1"/>
  <c r="P3" i="28" l="1"/>
  <c r="H3" i="28"/>
  <c r="M3" i="28"/>
  <c r="G3" i="28"/>
  <c r="B20" i="33" s="1"/>
  <c r="N3" i="28"/>
  <c r="F13" i="52" l="1"/>
  <c r="K5" i="46" l="1"/>
  <c r="P5" i="46" l="1"/>
  <c r="L5" i="46"/>
  <c r="Q303" i="28" s="1"/>
  <c r="T5" i="1"/>
  <c r="U5" i="1" s="1"/>
  <c r="Z5" i="1" s="1"/>
  <c r="T6" i="1"/>
  <c r="U6" i="1" l="1"/>
  <c r="Z6" i="1" s="1"/>
  <c r="L3" i="46"/>
  <c r="C5" i="51" s="1"/>
  <c r="Q5" i="46"/>
  <c r="Q3" i="46" s="1"/>
  <c r="R3" i="46" s="1"/>
  <c r="P3" i="46"/>
  <c r="G5" i="51" s="1"/>
  <c r="D26" i="26" s="1"/>
  <c r="D28" i="26" s="1"/>
  <c r="C8" i="26" s="1"/>
  <c r="Q3" i="28"/>
  <c r="R5" i="46" l="1"/>
  <c r="U3" i="1"/>
  <c r="C3" i="51" s="1"/>
  <c r="I3" i="51" s="1"/>
  <c r="Q4" i="28"/>
  <c r="AA6" i="1"/>
  <c r="Z3" i="1"/>
  <c r="AA3" i="1" s="1"/>
  <c r="AA5" i="1"/>
  <c r="G6" i="51"/>
  <c r="I5" i="51"/>
  <c r="B22" i="33"/>
  <c r="C13" i="52"/>
  <c r="C6" i="51" l="1"/>
  <c r="I183" i="28" s="1"/>
  <c r="I367" i="28" l="1"/>
  <c r="J4" i="51"/>
  <c r="E25" i="26" s="1"/>
  <c r="I98" i="28"/>
  <c r="I484" i="28"/>
  <c r="I127" i="28"/>
  <c r="I431" i="28"/>
  <c r="I267" i="28"/>
  <c r="I429" i="28"/>
  <c r="I437" i="28"/>
  <c r="I308" i="28"/>
  <c r="I282" i="28"/>
  <c r="I281" i="28"/>
  <c r="I63" i="28"/>
  <c r="I395" i="28"/>
  <c r="I141" i="28"/>
  <c r="I284" i="28"/>
  <c r="I352" i="28"/>
  <c r="I277" i="28"/>
  <c r="I104" i="28"/>
  <c r="I396" i="28"/>
  <c r="I250" i="28"/>
  <c r="I76" i="28"/>
  <c r="I129" i="28"/>
  <c r="I133" i="28"/>
  <c r="I433" i="28"/>
  <c r="I321" i="28"/>
  <c r="I357" i="28"/>
  <c r="I334" i="28"/>
  <c r="I448" i="28"/>
  <c r="I397" i="28"/>
  <c r="I136" i="28"/>
  <c r="I205" i="28"/>
  <c r="I225" i="28"/>
  <c r="I114" i="28"/>
  <c r="I407" i="28"/>
  <c r="I358" i="28"/>
  <c r="I393" i="28"/>
  <c r="I390" i="28"/>
  <c r="I298" i="28"/>
  <c r="I408" i="28"/>
  <c r="I351" i="28"/>
  <c r="I485" i="28"/>
  <c r="I208" i="28"/>
  <c r="I180" i="28"/>
  <c r="I317" i="28"/>
  <c r="I22" i="28"/>
  <c r="I78" i="28"/>
  <c r="I6" i="28"/>
  <c r="I285" i="28"/>
  <c r="I440" i="28"/>
  <c r="I418" i="28"/>
  <c r="I330" i="28"/>
  <c r="I106" i="28"/>
  <c r="I487" i="28"/>
  <c r="I376" i="28"/>
  <c r="I260" i="28"/>
  <c r="I294" i="28"/>
  <c r="I100" i="28"/>
  <c r="I293" i="28"/>
  <c r="I48" i="28"/>
  <c r="I137" i="28"/>
  <c r="I44" i="28"/>
  <c r="I327" i="28"/>
  <c r="I496" i="28"/>
  <c r="I355" i="28"/>
  <c r="I21" i="28"/>
  <c r="I148" i="28"/>
  <c r="I416" i="28"/>
  <c r="I165" i="28"/>
  <c r="I307" i="28"/>
  <c r="J3" i="51"/>
  <c r="E24" i="26" s="1"/>
  <c r="E28" i="26" s="1"/>
  <c r="D8" i="26" s="1"/>
  <c r="D13" i="52" s="1"/>
  <c r="I276" i="28"/>
  <c r="I147" i="28"/>
  <c r="I170" i="28"/>
  <c r="I178" i="28"/>
  <c r="I379" i="28"/>
  <c r="I459" i="28"/>
  <c r="I46" i="28"/>
  <c r="I290" i="28"/>
  <c r="I73" i="28"/>
  <c r="I116" i="28"/>
  <c r="I163" i="28"/>
  <c r="I246" i="28"/>
  <c r="I483" i="28"/>
  <c r="I410" i="28"/>
  <c r="I111" i="28"/>
  <c r="I156" i="28"/>
  <c r="I224" i="28"/>
  <c r="I428" i="28"/>
  <c r="I447" i="28"/>
  <c r="I333" i="28"/>
  <c r="I158" i="28"/>
  <c r="I445" i="28"/>
  <c r="I43" i="28"/>
  <c r="I266" i="28"/>
  <c r="I218" i="28"/>
  <c r="I197" i="28"/>
  <c r="I6" i="51"/>
  <c r="I275" i="28"/>
  <c r="I77" i="28"/>
  <c r="I236" i="28"/>
  <c r="I142" i="28"/>
  <c r="I475" i="28"/>
  <c r="I94" i="28"/>
  <c r="I182" i="28"/>
  <c r="I192" i="28"/>
  <c r="I157" i="28"/>
  <c r="I353" i="28"/>
  <c r="I259" i="28"/>
  <c r="I495" i="28"/>
  <c r="I482" i="28"/>
  <c r="I274" i="28"/>
  <c r="I223" i="28"/>
  <c r="I159" i="28"/>
  <c r="I130" i="28"/>
  <c r="I414" i="28"/>
  <c r="I41" i="28"/>
  <c r="I167" i="28"/>
  <c r="I398" i="28"/>
  <c r="I58" i="28"/>
  <c r="I25" i="28"/>
  <c r="I310" i="28"/>
  <c r="I427" i="28"/>
  <c r="I248" i="28"/>
  <c r="I336" i="28"/>
  <c r="I181" i="28"/>
  <c r="I297" i="28"/>
  <c r="I162" i="28"/>
  <c r="I61" i="28"/>
  <c r="I302" i="28"/>
  <c r="I442" i="28"/>
  <c r="I322" i="28"/>
  <c r="I34" i="28"/>
  <c r="I174" i="28"/>
  <c r="I19" i="28"/>
  <c r="I199" i="28"/>
  <c r="I9" i="28"/>
  <c r="I272" i="28"/>
  <c r="I499" i="28"/>
  <c r="I26" i="28"/>
  <c r="I35" i="28"/>
  <c r="I369" i="28"/>
  <c r="I359" i="28"/>
  <c r="I37" i="28"/>
  <c r="I331" i="28"/>
  <c r="I50" i="28"/>
  <c r="I32" i="28"/>
  <c r="I304" i="28"/>
  <c r="I311" i="28"/>
  <c r="I214" i="28"/>
  <c r="I502" i="28"/>
  <c r="I306" i="28"/>
  <c r="I365" i="28"/>
  <c r="I456" i="28"/>
  <c r="I110" i="28"/>
  <c r="I364" i="28"/>
  <c r="I212" i="28"/>
  <c r="I108" i="28"/>
  <c r="I45" i="28"/>
  <c r="I491" i="28"/>
  <c r="I490" i="28"/>
  <c r="I245" i="28"/>
  <c r="I155" i="28"/>
  <c r="I328" i="28"/>
  <c r="I257" i="28"/>
  <c r="I54" i="28"/>
  <c r="I361" i="28"/>
  <c r="I468" i="28"/>
  <c r="I375" i="28"/>
  <c r="I326" i="28"/>
  <c r="I348" i="28"/>
  <c r="I56" i="28"/>
  <c r="I313" i="28"/>
  <c r="I89" i="28"/>
  <c r="I269" i="28"/>
  <c r="I66" i="28"/>
  <c r="I399" i="28"/>
  <c r="I463" i="28"/>
  <c r="I341" i="28"/>
  <c r="I101" i="28"/>
  <c r="I42" i="28"/>
  <c r="I151" i="28"/>
  <c r="I10" i="28"/>
  <c r="I146" i="28"/>
  <c r="I384" i="28"/>
  <c r="I65" i="28"/>
  <c r="I279" i="28"/>
  <c r="I404" i="28"/>
  <c r="I75" i="28"/>
  <c r="I301" i="28"/>
  <c r="I465" i="28"/>
  <c r="I446" i="28"/>
  <c r="I303" i="28"/>
  <c r="I173" i="28"/>
  <c r="I388" i="28"/>
  <c r="I368" i="28"/>
  <c r="I492" i="28"/>
  <c r="I422" i="28"/>
  <c r="I253" i="28"/>
  <c r="I453" i="28"/>
  <c r="I289" i="28"/>
  <c r="I242" i="28"/>
  <c r="I125" i="28"/>
  <c r="I196" i="28"/>
  <c r="I455" i="28"/>
  <c r="I80" i="28"/>
  <c r="I337" i="28"/>
  <c r="I434" i="28"/>
  <c r="I391" i="28"/>
  <c r="I417" i="28"/>
  <c r="I449" i="28"/>
  <c r="I211" i="28"/>
  <c r="I346" i="28"/>
  <c r="I85" i="28"/>
  <c r="I268" i="28"/>
  <c r="I154" i="28"/>
  <c r="I113" i="28"/>
  <c r="I373" i="28"/>
  <c r="I176" i="28"/>
  <c r="I188" i="28"/>
  <c r="I324" i="28"/>
  <c r="I87" i="28"/>
  <c r="I249" i="28"/>
  <c r="I144" i="28"/>
  <c r="I354" i="28"/>
  <c r="I168" i="28"/>
  <c r="I64" i="28"/>
  <c r="I232" i="28"/>
  <c r="I40" i="28"/>
  <c r="I99" i="28"/>
  <c r="I493" i="28"/>
  <c r="I363" i="28"/>
  <c r="I385" i="28"/>
  <c r="I160" i="28"/>
  <c r="I438" i="28"/>
  <c r="I474" i="28"/>
  <c r="I362" i="28"/>
  <c r="I382" i="28"/>
  <c r="I16" i="28"/>
  <c r="I419" i="28"/>
  <c r="J5" i="51"/>
  <c r="E26" i="26" s="1"/>
  <c r="I145" i="28"/>
  <c r="I107" i="28"/>
  <c r="I424" i="28"/>
  <c r="I128" i="28"/>
  <c r="I380" i="28"/>
  <c r="I27" i="28"/>
  <c r="I83" i="28"/>
  <c r="I138" i="28"/>
  <c r="I254" i="28"/>
  <c r="I432" i="28"/>
  <c r="I79" i="28"/>
  <c r="I318" i="28"/>
  <c r="I400" i="28"/>
  <c r="I206" i="28"/>
  <c r="I14" i="28"/>
  <c r="I52" i="28"/>
  <c r="I235" i="28"/>
  <c r="I255" i="28"/>
  <c r="I239" i="28"/>
  <c r="I119" i="28"/>
  <c r="I226" i="28"/>
  <c r="I120" i="28"/>
  <c r="I203" i="28"/>
  <c r="I219" i="28"/>
  <c r="I467" i="28"/>
  <c r="I228" i="28"/>
  <c r="I195" i="28"/>
  <c r="I389" i="28"/>
  <c r="I423" i="28"/>
  <c r="I339" i="28"/>
  <c r="I222" i="28"/>
  <c r="I305" i="28"/>
  <c r="I185" i="28"/>
  <c r="I103" i="28"/>
  <c r="I374" i="28"/>
  <c r="I402" i="28"/>
  <c r="I233" i="28"/>
  <c r="I112" i="28"/>
  <c r="I238" i="28"/>
  <c r="I413" i="28"/>
  <c r="I95" i="28"/>
  <c r="I72" i="28"/>
  <c r="I247" i="28"/>
  <c r="I118" i="28"/>
  <c r="I406" i="28"/>
  <c r="I381" i="28"/>
  <c r="I278" i="28"/>
  <c r="I332" i="28"/>
  <c r="I166" i="28"/>
  <c r="I86" i="28"/>
  <c r="I270" i="28"/>
  <c r="I70" i="28"/>
  <c r="I216" i="28"/>
  <c r="I90" i="28"/>
  <c r="I123" i="28"/>
  <c r="I251" i="28"/>
  <c r="I221" i="28"/>
  <c r="I31" i="28"/>
  <c r="I452" i="28"/>
  <c r="I486" i="28"/>
  <c r="I140" i="28"/>
  <c r="I82" i="28"/>
  <c r="I498" i="28"/>
  <c r="I466" i="28"/>
  <c r="I462" i="28"/>
  <c r="I472" i="28"/>
  <c r="I471" i="28"/>
  <c r="I501" i="28"/>
  <c r="I161" i="28"/>
  <c r="I473" i="28"/>
  <c r="I189" i="28"/>
  <c r="I377" i="28"/>
  <c r="I91" i="28"/>
  <c r="I200" i="28"/>
  <c r="I193" i="28"/>
  <c r="I256" i="28"/>
  <c r="I207" i="28"/>
  <c r="I229" i="28"/>
  <c r="I372" i="28"/>
  <c r="I187" i="28"/>
  <c r="I444" i="28"/>
  <c r="I258" i="28"/>
  <c r="I295" i="28"/>
  <c r="I340" i="28"/>
  <c r="I265" i="28"/>
  <c r="I244" i="28"/>
  <c r="I299" i="28"/>
  <c r="I494" i="28"/>
  <c r="I271" i="28"/>
  <c r="I488" i="28"/>
  <c r="I57" i="28"/>
  <c r="I325" i="28"/>
  <c r="I53" i="28"/>
  <c r="I60" i="28"/>
  <c r="I481" i="28"/>
  <c r="I435" i="28"/>
  <c r="I131" i="28"/>
  <c r="I387" i="28"/>
  <c r="I194" i="28"/>
  <c r="I126" i="28"/>
  <c r="I15" i="28"/>
  <c r="I477" i="28"/>
  <c r="I7" i="28"/>
  <c r="I191" i="28"/>
  <c r="I312" i="28"/>
  <c r="I450" i="28"/>
  <c r="I132" i="28"/>
  <c r="I93" i="28"/>
  <c r="I280" i="28"/>
  <c r="I204" i="28"/>
  <c r="I370" i="28"/>
  <c r="I84" i="28"/>
  <c r="I476" i="28"/>
  <c r="I88" i="28"/>
  <c r="I11" i="28"/>
  <c r="I480" i="28"/>
  <c r="I288" i="28"/>
  <c r="I263" i="28"/>
  <c r="I234" i="28"/>
  <c r="I500" i="28"/>
  <c r="I17" i="28"/>
  <c r="I67" i="28"/>
  <c r="I460" i="28"/>
  <c r="I426" i="28"/>
  <c r="I292" i="28"/>
  <c r="I345" i="28"/>
  <c r="I190" i="28"/>
  <c r="I470" i="28"/>
  <c r="I457" i="28"/>
  <c r="I36" i="28"/>
  <c r="I329" i="28"/>
  <c r="I18" i="28"/>
  <c r="I394" i="28"/>
  <c r="I13" i="28"/>
  <c r="I360" i="28"/>
  <c r="I153" i="28"/>
  <c r="I458" i="28"/>
  <c r="I213" i="28"/>
  <c r="I92" i="28"/>
  <c r="I139" i="28"/>
  <c r="I392" i="28"/>
  <c r="I479" i="28"/>
  <c r="I343" i="28"/>
  <c r="I430" i="28"/>
  <c r="I323" i="28"/>
  <c r="I243" i="28"/>
  <c r="I338" i="28"/>
  <c r="I117" i="28"/>
  <c r="I443" i="28"/>
  <c r="I411" i="28"/>
  <c r="I209" i="28"/>
  <c r="I39" i="28"/>
  <c r="I12" i="28"/>
  <c r="I309" i="28"/>
  <c r="I378" i="28"/>
  <c r="I469" i="28"/>
  <c r="I134" i="28"/>
  <c r="I342" i="28"/>
  <c r="I179" i="28"/>
  <c r="I403" i="28"/>
  <c r="I386" i="28"/>
  <c r="I497" i="28"/>
  <c r="I105" i="28"/>
  <c r="I109" i="28"/>
  <c r="I401" i="28"/>
  <c r="I405" i="28"/>
  <c r="I366" i="28"/>
  <c r="I33" i="28"/>
  <c r="I261" i="28"/>
  <c r="I102" i="28"/>
  <c r="I210" i="28"/>
  <c r="I420" i="28"/>
  <c r="I319" i="28"/>
  <c r="I69" i="28"/>
  <c r="I169" i="28"/>
  <c r="I436" i="28"/>
  <c r="I230" i="28"/>
  <c r="I237" i="28"/>
  <c r="I461" i="28"/>
  <c r="I350" i="28"/>
  <c r="I150" i="28"/>
  <c r="I124" i="28"/>
  <c r="I240" i="28"/>
  <c r="I4" i="28"/>
  <c r="I478" i="28"/>
  <c r="I291" i="28"/>
  <c r="I489" i="28"/>
  <c r="I59" i="28"/>
  <c r="I316" i="28"/>
  <c r="I49" i="28"/>
  <c r="I115" i="28"/>
  <c r="I439" i="28"/>
  <c r="I51" i="28"/>
  <c r="I3" i="28"/>
  <c r="I315" i="28"/>
  <c r="I175" i="28"/>
  <c r="I356" i="28"/>
  <c r="I227" i="28"/>
  <c r="I454" i="28"/>
  <c r="I287" i="28"/>
  <c r="I184" i="28"/>
  <c r="I425" i="28"/>
  <c r="I296" i="28"/>
  <c r="I122" i="28"/>
  <c r="I71" i="28"/>
  <c r="I264" i="28"/>
  <c r="I68" i="28"/>
  <c r="I262" i="28"/>
  <c r="I241" i="28"/>
  <c r="I164" i="28"/>
  <c r="I135" i="28"/>
  <c r="I186" i="28"/>
  <c r="I121" i="28"/>
  <c r="I152" i="28"/>
  <c r="I198" i="28"/>
  <c r="I149" i="28"/>
  <c r="I349" i="28"/>
  <c r="I172" i="28"/>
  <c r="I383" i="28"/>
  <c r="I30" i="28"/>
  <c r="I29" i="28"/>
  <c r="I201" i="28"/>
  <c r="I409" i="28"/>
  <c r="I441" i="28"/>
  <c r="I38" i="28"/>
  <c r="I55" i="28"/>
  <c r="I371" i="28"/>
  <c r="I28" i="28"/>
  <c r="I273" i="28"/>
  <c r="I5" i="28"/>
  <c r="I335" i="28"/>
  <c r="I464" i="28"/>
  <c r="I347" i="28"/>
  <c r="I74" i="28"/>
  <c r="I286" i="28"/>
  <c r="I215" i="28"/>
  <c r="I344" i="28"/>
  <c r="I24" i="28"/>
  <c r="I97" i="28"/>
  <c r="I252" i="28"/>
  <c r="I415" i="28"/>
  <c r="I320" i="28"/>
  <c r="I8" i="28"/>
  <c r="I314" i="28"/>
  <c r="I231" i="28"/>
  <c r="I47" i="28"/>
  <c r="I300" i="28"/>
  <c r="I62" i="28"/>
  <c r="I177" i="28"/>
  <c r="I81" i="28"/>
  <c r="I220" i="28"/>
  <c r="I143" i="28"/>
  <c r="I202" i="28"/>
  <c r="I171" i="28"/>
  <c r="I217" i="28"/>
  <c r="I421" i="28"/>
  <c r="I23" i="28"/>
  <c r="I451" i="28"/>
  <c r="I20" i="28"/>
  <c r="I283" i="28"/>
  <c r="I412" i="28"/>
  <c r="I96" i="28"/>
  <c r="H4" i="51" l="1"/>
  <c r="F25" i="26" s="1"/>
  <c r="G25" i="26" s="1"/>
  <c r="J6" i="51"/>
  <c r="H3" i="51"/>
  <c r="F24" i="26" s="1"/>
  <c r="G24" i="26" s="1"/>
  <c r="H5" i="51"/>
  <c r="F26" i="26" s="1"/>
  <c r="G26" i="26" s="1"/>
  <c r="B21" i="33"/>
  <c r="H6" i="51" l="1"/>
  <c r="F28" i="26"/>
  <c r="G28" i="26" s="1"/>
  <c r="E8" i="26" l="1"/>
  <c r="E13" i="5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Sheaffer, Andrew</author>
    <author>Kurtz, Spencer</author>
  </authors>
  <commentList>
    <comment ref="B13" authorId="0" shapeId="0" xr:uid="{51CC2BC9-DE43-46DD-A295-3C14B4685552}">
      <text>
        <r>
          <rPr>
            <sz val="9"/>
            <color indexed="81"/>
            <rFont val="Tahoma"/>
            <family val="2"/>
          </rPr>
          <t>Publicly funded organizations include organizations that are primarily funded by Federal, state or municipal sources. Examples include: Federal, state or municipal organizations/facilities, public schools and universities, museums, public hospitals/clinics, etc.</t>
        </r>
      </text>
    </comment>
    <comment ref="E27" authorId="1" shapeId="0" xr:uid="{00000000-0006-0000-0000-000001000000}">
      <text>
        <r>
          <rPr>
            <sz val="9"/>
            <color indexed="81"/>
            <rFont val="Tahoma"/>
            <family val="2"/>
          </rPr>
          <t xml:space="preserve"> Input the 'blended' rate of electricity for the given account number, i.e. the total electric utility costs for at least the previous 12 months divided by the total kWh consumption during the same time period.  This data is not used to calculate incentives, but allows this application to provide an estimate of the reduction in the customer's energy bills resulting from the implementation of measures contained in the application.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Kurtz, Spencer</author>
    <author>Sheaffer, Andrew</author>
    <author>tc={1B99AF4E-D860-4F2A-9D13-95DDD54E0C36}</author>
    <author>tc={0BE13517-D378-4E65-B641-8E2D7A6C9173}</author>
    <author>tc={B51EB312-5753-4A65-98A7-4B5FFBF85128}</author>
    <author>tc={5D836A14-6E0D-457E-883B-62E57BC065A8}</author>
    <author>tc={2106BCE4-06A0-41A6-896B-F5B0133494A9}</author>
  </authors>
  <commentList>
    <comment ref="D4" authorId="0" shapeId="0" xr:uid="{A621B3B7-50C0-4F8B-BEA9-394A344B9D1F}">
      <text>
        <r>
          <rPr>
            <sz val="9"/>
            <color indexed="81"/>
            <rFont val="Tahoma"/>
            <family val="2"/>
          </rPr>
          <t>Add any additional or relevant notes or information for the project here that isn't captured in the previous "customer inputs" for each line item.</t>
        </r>
      </text>
    </comment>
    <comment ref="G4" authorId="1" shapeId="0" xr:uid="{A247CB48-F49E-433C-87EE-BE03BDBB1502}">
      <text>
        <r>
          <rPr>
            <b/>
            <sz val="9"/>
            <color indexed="81"/>
            <rFont val="Tahoma"/>
            <family val="2"/>
          </rPr>
          <t>For linear fluorescents and screw-in LED measures</t>
        </r>
        <r>
          <rPr>
            <sz val="9"/>
            <color indexed="81"/>
            <rFont val="Tahoma"/>
            <family val="2"/>
          </rPr>
          <t xml:space="preserve">, this tab can only be used if lamps (and potentially ballasts) are replaced.  The fixture housing and reflector must not be changed.  If the entire fixture is being replaced, use the "Custom Lights" tab.
</t>
        </r>
        <r>
          <rPr>
            <b/>
            <sz val="9"/>
            <color indexed="81"/>
            <rFont val="Tahoma"/>
            <family val="2"/>
          </rPr>
          <t>For HID replacements</t>
        </r>
        <r>
          <rPr>
            <sz val="9"/>
            <color indexed="81"/>
            <rFont val="Tahoma"/>
            <family val="2"/>
          </rPr>
          <t>, this tab should be used for both lamp and fixture replacements</t>
        </r>
      </text>
    </comment>
    <comment ref="H4" authorId="1" shapeId="0" xr:uid="{40A24FD9-C3EE-4C27-AD0C-B756527CEAAE}">
      <text>
        <r>
          <rPr>
            <sz val="9"/>
            <color indexed="81"/>
            <rFont val="Tahoma"/>
            <family val="2"/>
          </rPr>
          <t>Whether replacing lamps or fixtures, enter the total number of existing fixtures here.  If lamps are being replaced, the total number of existing lamps will be calculated using the number of fixtures and lamps per fixture entered. For Refrigerated Case Lighting, enter total # of doors here.</t>
        </r>
      </text>
    </comment>
    <comment ref="I4" authorId="1" shapeId="0" xr:uid="{117B4260-D126-4F66-9464-2C306420C3A8}">
      <text>
        <r>
          <rPr>
            <sz val="9"/>
            <color indexed="81"/>
            <rFont val="Tahoma"/>
            <family val="2"/>
          </rPr>
          <t>If existing controls are upgraded with new controls, new controls information should be entered in the "Prescript Controls" tab.</t>
        </r>
      </text>
    </comment>
    <comment ref="K4" authorId="1" shapeId="0" xr:uid="{A79AE831-B95D-4A8F-A1FA-501A22C0E571}">
      <text>
        <r>
          <rPr>
            <sz val="9"/>
            <color indexed="81"/>
            <rFont val="Tahoma"/>
            <family val="2"/>
          </rPr>
          <t xml:space="preserve">Enter the wattage of a single existing lamp here.  
</t>
        </r>
        <r>
          <rPr>
            <b/>
            <sz val="9"/>
            <color indexed="81"/>
            <rFont val="Tahoma"/>
            <family val="2"/>
          </rPr>
          <t xml:space="preserve">For exit signs and refrigerated case lighting, </t>
        </r>
        <r>
          <rPr>
            <sz val="9"/>
            <color indexed="81"/>
            <rFont val="Tahoma"/>
            <family val="2"/>
          </rPr>
          <t>enter the total fixture (or door) wattage.</t>
        </r>
      </text>
    </comment>
    <comment ref="L4" authorId="0" shapeId="0" xr:uid="{800883F4-3039-4CB5-9312-C7E13EC15EB3}">
      <text>
        <r>
          <rPr>
            <b/>
            <sz val="9"/>
            <color indexed="81"/>
            <rFont val="Tahoma"/>
            <family val="2"/>
          </rPr>
          <t>For exit signs and refrigerated case lighting, enter 1 here as the incentive and savings are calculated per fixture/door</t>
        </r>
      </text>
    </comment>
    <comment ref="M4" authorId="1" shapeId="0" xr:uid="{7458E034-E8ED-4670-9D0D-C5FB50E09F3C}">
      <text>
        <r>
          <rPr>
            <sz val="9"/>
            <color indexed="81"/>
            <rFont val="Tahoma"/>
            <family val="2"/>
          </rPr>
          <t>Whether replacing lamps or fixtures, enter the total number of proposed fixtures here.  If lamps are being replaced, the total number of proposed lamps will be calculated using the number of fixtures and lamps per fixture entered. For Refrigerated Case Lighting, enter total # of doors here.</t>
        </r>
      </text>
    </comment>
    <comment ref="N4" authorId="1" shapeId="0" xr:uid="{AEA20B4F-CAFF-417F-B55C-6539AF4A2088}">
      <text>
        <r>
          <rPr>
            <sz val="9"/>
            <color indexed="81"/>
            <rFont val="Tahoma"/>
            <family val="2"/>
          </rPr>
          <t xml:space="preserve">Enter the proposed lamp wattage here.  
</t>
        </r>
        <r>
          <rPr>
            <b/>
            <sz val="9"/>
            <color indexed="81"/>
            <rFont val="Tahoma"/>
            <family val="2"/>
          </rPr>
          <t xml:space="preserve">For exit signs or refrigerated case lighting, </t>
        </r>
        <r>
          <rPr>
            <sz val="9"/>
            <color indexed="81"/>
            <rFont val="Tahoma"/>
            <family val="2"/>
          </rPr>
          <t>enter the total proposed fixture (or door) wattage here.</t>
        </r>
      </text>
    </comment>
    <comment ref="O4" authorId="0" shapeId="0" xr:uid="{E92FCA0E-752B-418A-80CD-F91E61410E0A}">
      <text>
        <r>
          <rPr>
            <b/>
            <sz val="9"/>
            <color indexed="81"/>
            <rFont val="Tahoma"/>
            <family val="2"/>
          </rPr>
          <t>For exit signs or refrigerated case lighting, enter 1 here as the incentive and savings are calculated per fixture/door</t>
        </r>
      </text>
    </comment>
    <comment ref="P4" authorId="1" shapeId="0" xr:uid="{7FF89B0E-C5A0-47E0-A13E-A0CB69E92DB2}">
      <text>
        <r>
          <rPr>
            <sz val="9"/>
            <color indexed="81"/>
            <rFont val="Tahoma"/>
            <family val="2"/>
          </rPr>
          <t>Qualification - indicate whether the lamp/fixture is qualified by:
-Energy Star (ES)
-Design Lights Consortium (DLC))</t>
        </r>
      </text>
    </comment>
    <comment ref="Q4" authorId="1" shapeId="0" xr:uid="{31E289DC-C09B-4006-A407-43A547C95D36}">
      <text>
        <r>
          <rPr>
            <sz val="9"/>
            <color indexed="81"/>
            <rFont val="Tahoma"/>
            <family val="2"/>
          </rPr>
          <t xml:space="preserve">Qualifying Model Number must be listed in the:
ENERGY STAR Certified Light Fixtures database
</t>
        </r>
        <r>
          <rPr>
            <b/>
            <sz val="9"/>
            <color indexed="81"/>
            <rFont val="Tahoma"/>
            <family val="2"/>
          </rPr>
          <t xml:space="preserve">OR
</t>
        </r>
        <r>
          <rPr>
            <sz val="9"/>
            <color indexed="81"/>
            <rFont val="Tahoma"/>
            <family val="2"/>
          </rPr>
          <t>DesignLights Consortium Qualified Products List for Solid State Lighting</t>
        </r>
      </text>
    </comment>
    <comment ref="R4" authorId="1" shapeId="0" xr:uid="{658B2F6D-5546-47B4-93E3-7C7B19AB972E}">
      <text>
        <r>
          <rPr>
            <sz val="9"/>
            <color indexed="81"/>
            <rFont val="Tahoma"/>
            <family val="2"/>
          </rPr>
          <t>Enter the materiel cost for a single proposed fixture.  Include the equipment cost as well as the cost for any supplemental material required.</t>
        </r>
      </text>
    </comment>
    <comment ref="S4" authorId="1" shapeId="0" xr:uid="{C58AEC9F-CFF4-460A-8382-6A7A409DF60F}">
      <text>
        <r>
          <rPr>
            <sz val="9"/>
            <color indexed="81"/>
            <rFont val="Tahoma"/>
            <family val="2"/>
          </rPr>
          <t>Total Labor Cost should include all labor required to install equipment on the associated line.  The cost basis is for all units included on the line, not on a per unit basis.</t>
        </r>
      </text>
    </comment>
    <comment ref="U4" authorId="0" shapeId="0" xr:uid="{00000000-0006-0000-0200-000006000000}">
      <text>
        <r>
          <rPr>
            <sz val="9"/>
            <color indexed="81"/>
            <rFont val="Tahoma"/>
            <family val="2"/>
          </rPr>
          <t>The estimated incentive shown below does not incorporate project level incentive caps, which may reduce the total incentive paid to a project.</t>
        </r>
      </text>
    </comment>
    <comment ref="Z4" authorId="0" shapeId="0" xr:uid="{CEEADB91-EF28-479A-ABFC-65A1D64287A0}">
      <text>
        <r>
          <rPr>
            <sz val="9"/>
            <color indexed="81"/>
            <rFont val="Tahoma"/>
            <family val="2"/>
          </rPr>
          <t>The sum of net measure costs shown on this tab and other tabs may not equal the total net project cost shown on the Summary page due to the influence of project caps, which are not incorporated here, but are incorporated into the net project cost shown on the Summary page.</t>
        </r>
      </text>
    </comment>
    <comment ref="AN4" authorId="2" shapeId="0" xr:uid="{1B99AF4E-D860-4F2A-9D13-95DDD54E0C36}">
      <text>
        <t>[Threaded comment]
Your version of Excel allows you to read this threaded comment; however, any edits to it will get removed if the file is opened in a newer version of Excel. Learn more: https://go.microsoft.com/fwlink/?linkid=870924
Comment:
    @Kurtz, Spencer, please check and double check this column.  If switch/no control, then should default to building CF.  If controls, then should default to controls CF.</t>
      </text>
    </comment>
    <comment ref="AO4" authorId="3" shapeId="0" xr:uid="{0BE13517-D378-4E65-B641-8E2D7A6C9173}">
      <text>
        <t>[Threaded comment]
Your version of Excel allows you to read this threaded comment; however, any edits to it will get removed if the file is opened in a newer version of Excel. Learn more: https://go.microsoft.com/fwlink/?linkid=870924
Comment:
    @Sheaffer, Andrew Re-worked the algorithms (specifically the Index factors for PAF and IEFe) in order to calculate the savings correctly
Reply:
    Took out iferror() because if this formula returns an error - we need to hold the error as it indicates to the Calculated Savings columns to default to Generalized Savings.  Also condensed this down quite a bit by adding IEFE, IEFE, PAF, CF columns to the right.
Reply:
    @Kurtz, Spencer please recheck</t>
      </text>
    </comment>
    <comment ref="AP4" authorId="4" shapeId="0" xr:uid="{B51EB312-5753-4A65-98A7-4B5FFBF85128}">
      <text>
        <t>[Threaded comment]
Your version of Excel allows you to read this threaded comment; however, any edits to it will get removed if the file is opened in a newer version of Excel. Learn more: https://go.microsoft.com/fwlink/?linkid=870924
Comment:
    @Sheaffer, Andrew Re-worked the algorithms (specifically the Index factors for CF and IEFd) in order to calculate the savings correctly
Reply:
    Took out iferror() because if this formula returns an error - we need to hold the error as it indicates to the Calculated Savings columns to default to Generalized Savings.  Also condensed this down quite a bit by adding IEFE, IEFE, PAF, CF columns to the right.
Reply:
    @Kurtz, Spencer please recheck</t>
      </text>
    </comment>
    <comment ref="AT4" authorId="5" shapeId="0" xr:uid="{5D836A14-6E0D-457E-883B-62E57BC065A8}">
      <text>
        <t>[Threaded comment]
Your version of Excel allows you to read this threaded comment; however, any edits to it will get removed if the file is opened in a newer version of Excel. Learn more: https://go.microsoft.com/fwlink/?linkid=870924
Comment:
    @Sheaffer, Andrew Re-worked the algorithms (specifically the Index factors for PAF and IEFe) in order to calculate the savings correctly
Reply:
    @Kurtz, Spencer please recheck</t>
      </text>
    </comment>
    <comment ref="AU4" authorId="6" shapeId="0" xr:uid="{2106BCE4-06A0-41A6-896B-F5B0133494A9}">
      <text>
        <t>[Threaded comment]
Your version of Excel allows you to read this threaded comment; however, any edits to it will get removed if the file is opened in a newer version of Excel. Learn more: https://go.microsoft.com/fwlink/?linkid=870924
Comment:
    @Sheaffer, Andrew Re-worked the algorithms (specifically the Index factors for CF and IEFd) in order to calculate the savings correctly
Reply:
    @Kurtz, Spencer Please recheck</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Kurtz, Spencer</author>
    <author>Sheaffer, Andrew</author>
  </authors>
  <commentList>
    <comment ref="D4" authorId="0" shapeId="0" xr:uid="{9AAE9071-6AB2-4724-9329-5EEEF5DC1863}">
      <text>
        <r>
          <rPr>
            <sz val="9"/>
            <color indexed="81"/>
            <rFont val="Tahoma"/>
            <family val="2"/>
          </rPr>
          <t>Add any additional or relevant notes or information for the project here that isn't captured in the previous "customer inputs" for each line item.</t>
        </r>
      </text>
    </comment>
    <comment ref="E4" authorId="1" shapeId="0" xr:uid="{15A9014C-490B-4575-B1B8-B6145EE82ED8}">
      <text>
        <r>
          <rPr>
            <sz val="9"/>
            <color indexed="81"/>
            <rFont val="Tahoma"/>
            <family val="2"/>
          </rPr>
          <t xml:space="preserve">Building/space type - Choose the most appropriate space type. If you don't see a space type that applies to your project location, please contact the Energy Smart program and we can assist you in choosing the best option. </t>
        </r>
      </text>
    </comment>
    <comment ref="G4" authorId="1" shapeId="0" xr:uid="{AA853DBA-B045-4857-8F03-408626614461}">
      <text>
        <r>
          <rPr>
            <sz val="9"/>
            <color indexed="81"/>
            <rFont val="Tahoma"/>
            <family val="2"/>
          </rPr>
          <t>If actual annual operating hours differ significantly from the default operating hours, select "Custom" in this column and enter actual operating hours details on the "Custom Hours" tab.</t>
        </r>
      </text>
    </comment>
    <comment ref="J4" authorId="1" shapeId="0" xr:uid="{03312C2A-B5E4-4EA2-A507-97D1FE38E314}">
      <text>
        <r>
          <rPr>
            <sz val="9"/>
            <color indexed="81"/>
            <rFont val="Tahoma"/>
            <family val="2"/>
          </rPr>
          <t>Replacing entire fixture refers to projects where any of the following apply:
  1.  The entire fixture casing/housing (and all internal components) is removed and replaced
  2.  The fixture casing/housing remains, but internal components (reflectors, ballasts, sockets and bulbs are replaced)</t>
        </r>
      </text>
    </comment>
    <comment ref="K4" authorId="1" shapeId="0" xr:uid="{D1E25566-203E-4999-AC5D-A384953E112E}">
      <text>
        <r>
          <rPr>
            <sz val="9"/>
            <color indexed="81"/>
            <rFont val="Tahoma"/>
            <family val="2"/>
          </rPr>
          <t xml:space="preserve">For measures where lamps are being replaced, enter the total number of existing lamps - </t>
        </r>
        <r>
          <rPr>
            <b/>
            <sz val="9"/>
            <color indexed="81"/>
            <rFont val="Tahoma"/>
            <family val="2"/>
          </rPr>
          <t>not</t>
        </r>
        <r>
          <rPr>
            <sz val="9"/>
            <color indexed="81"/>
            <rFont val="Tahoma"/>
            <family val="2"/>
          </rPr>
          <t xml:space="preserve"> the number of existing fixtures.  For example, if retrofitting a single fixture with three lamps, enter "3" here.
For fixture replacements, enter the total number of fixtures being replaced.</t>
        </r>
      </text>
    </comment>
    <comment ref="O4" authorId="1" shapeId="0" xr:uid="{6A29834F-FEFA-49C1-A28E-1F408CF421C9}">
      <text>
        <r>
          <rPr>
            <sz val="9"/>
            <color indexed="81"/>
            <rFont val="Tahoma"/>
            <family val="2"/>
          </rPr>
          <t>Please select the appropriate Fixture Code from the Fixtures Tab.</t>
        </r>
      </text>
    </comment>
    <comment ref="P4" authorId="1" shapeId="0" xr:uid="{E83C1460-EB9D-4224-A9D8-7A9B51EEDBA4}">
      <text>
        <r>
          <rPr>
            <sz val="9"/>
            <color indexed="81"/>
            <rFont val="Tahoma"/>
            <family val="2"/>
          </rPr>
          <t>For measures where lamps are being replaced, enter the total number of proposed lamps - not the number of existing fixtures.  For example, if retrofitting a single fixture with three lamps, enter "3" here.  If fixtures will have a lamp (or lamps) removed during the retrofit (delamping), enter the total number of lamps that will be installed.
For fixture replacements, enter the total number of fixtures being replaced.</t>
        </r>
      </text>
    </comment>
    <comment ref="Q4" authorId="1" shapeId="0" xr:uid="{5BEA64D6-9A2D-4CB7-A09A-1630E3AE52EF}">
      <text>
        <r>
          <rPr>
            <b/>
            <sz val="9"/>
            <color indexed="81"/>
            <rFont val="Tahoma"/>
            <family val="2"/>
          </rPr>
          <t>If you are installing controls in conjunction with a custom lighting lamp/fixture retrofit</t>
        </r>
        <r>
          <rPr>
            <sz val="9"/>
            <color indexed="81"/>
            <rFont val="Tahoma"/>
            <family val="2"/>
          </rPr>
          <t xml:space="preserve">, please choose the most appropriate controls type from the drop-down list. 
</t>
        </r>
        <r>
          <rPr>
            <b/>
            <sz val="9"/>
            <color indexed="81"/>
            <rFont val="Tahoma"/>
            <family val="2"/>
          </rPr>
          <t xml:space="preserve">If existing controls will remain unchanged, </t>
        </r>
        <r>
          <rPr>
            <sz val="9"/>
            <color indexed="81"/>
            <rFont val="Tahoma"/>
            <family val="2"/>
          </rPr>
          <t xml:space="preserve"> the "Proposed Controls" type needs to match the selection made in the "Existing Controls" column to avoid a savings calculation error. 
</t>
        </r>
        <r>
          <rPr>
            <b/>
            <sz val="9"/>
            <color indexed="81"/>
            <rFont val="Tahoma"/>
            <family val="2"/>
          </rPr>
          <t>If you are only installing controls and not upgrading lighting</t>
        </r>
        <r>
          <rPr>
            <sz val="9"/>
            <color indexed="81"/>
            <rFont val="Tahoma"/>
            <family val="2"/>
          </rPr>
          <t>, you must use the "Prescriptive Controls" tab.</t>
        </r>
      </text>
    </comment>
    <comment ref="U4" authorId="1" shapeId="0" xr:uid="{B3330CC6-5C77-458F-9EC1-E77F323B5077}">
      <text>
        <r>
          <rPr>
            <sz val="9"/>
            <color indexed="81"/>
            <rFont val="Tahoma"/>
            <family val="2"/>
          </rPr>
          <t>Qualification - indicate whether the lamp/fixture is qualified by:
- Energy Star (ES)
- Design Lights Consortium (DLC))</t>
        </r>
      </text>
    </comment>
    <comment ref="V4" authorId="1" shapeId="0" xr:uid="{ED412187-6DE6-4DC0-B093-FCDE4DDF40DE}">
      <text>
        <r>
          <rPr>
            <sz val="9"/>
            <color indexed="81"/>
            <rFont val="Tahoma"/>
            <family val="2"/>
          </rPr>
          <t xml:space="preserve">Qualifying Model Number must be listed in the:
    - ENERGY STAR Certified Light Fixtures database
</t>
        </r>
        <r>
          <rPr>
            <b/>
            <sz val="9"/>
            <color indexed="81"/>
            <rFont val="Tahoma"/>
            <family val="2"/>
          </rPr>
          <t xml:space="preserve">OR
    - </t>
        </r>
        <r>
          <rPr>
            <sz val="9"/>
            <color indexed="81"/>
            <rFont val="Tahoma"/>
            <family val="2"/>
          </rPr>
          <t>DesignLights Consortium Qualified Products List for Solid State Lighting</t>
        </r>
      </text>
    </comment>
    <comment ref="W4" authorId="0" shapeId="0" xr:uid="{C91A343C-A98D-491B-859E-EDEE24E820F0}">
      <text>
        <r>
          <rPr>
            <sz val="9"/>
            <color indexed="81"/>
            <rFont val="Tahoma"/>
            <family val="2"/>
          </rPr>
          <t>Enter the materiel cost for a single proposed unit.  Include the equipment cost as well as the cost for any supplemental materiel required.</t>
        </r>
      </text>
    </comment>
    <comment ref="X4" authorId="1" shapeId="0" xr:uid="{FAB25831-46E6-485B-A22B-FF1420D0D4C8}">
      <text>
        <r>
          <rPr>
            <sz val="9"/>
            <color indexed="81"/>
            <rFont val="Tahoma"/>
            <family val="2"/>
          </rPr>
          <t>Total Labor Cost should include all labor required to install equipment on the associated line.  The cost basis is for all units included on the line, not on a per unit basis.</t>
        </r>
      </text>
    </comment>
    <comment ref="Y4" authorId="0" shapeId="0" xr:uid="{C577A4FD-8756-486A-A757-0099136FC362}">
      <text>
        <r>
          <rPr>
            <sz val="9"/>
            <color indexed="81"/>
            <rFont val="Tahoma"/>
            <family val="2"/>
          </rPr>
          <t>The estimated incentive shown below does not incorporate project level incentive caps, which may reduce the total incentive paid to a project.</t>
        </r>
      </text>
    </comment>
    <comment ref="AD4" authorId="0" shapeId="0" xr:uid="{537E3DD7-C964-4BEA-986D-E47284CCFFBD}">
      <text>
        <r>
          <rPr>
            <sz val="9"/>
            <color indexed="81"/>
            <rFont val="Tahoma"/>
            <family val="2"/>
          </rPr>
          <t>The sum of net measure costs shown on this tab and other tabs may not equal the total net project cost shown on the Summary page due to the influence of project caps, which are not incorporated here, but are incorporated into the net project cost shown on the Summary page.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Kurtz, Spencer</author>
    <author>Sheaffer, Andrew</author>
  </authors>
  <commentList>
    <comment ref="D4" authorId="0" shapeId="0" xr:uid="{B303EE24-E0AB-4032-8F43-3DAB9F6FE042}">
      <text>
        <r>
          <rPr>
            <sz val="9"/>
            <color indexed="81"/>
            <rFont val="Tahoma"/>
            <family val="2"/>
          </rPr>
          <t>Add any additional or relevant notes or information for the project here that isn't captured in the previous "customer inputs" for each line item.</t>
        </r>
      </text>
    </comment>
    <comment ref="H4" authorId="1" shapeId="0" xr:uid="{5902F3B2-E939-401B-A880-905B78D1F218}">
      <text>
        <r>
          <rPr>
            <sz val="9"/>
            <color indexed="81"/>
            <rFont val="Tahoma"/>
            <family val="2"/>
          </rPr>
          <t>If existing lighting is being retrofit along with controls installation, indicate the watts controlled following the lighting retrofit.</t>
        </r>
      </text>
    </comment>
    <comment ref="L4" authorId="0" shapeId="0" xr:uid="{372E2596-0167-4F15-B8BB-9504984122D1}">
      <text>
        <r>
          <rPr>
            <sz val="9"/>
            <color indexed="81"/>
            <rFont val="Tahoma"/>
            <family val="2"/>
          </rPr>
          <t>The estimated incentive shown below does not incorporate project level incentive caps, which may reduce the total incentive paid to a project.</t>
        </r>
      </text>
    </comment>
    <comment ref="Q4" authorId="0" shapeId="0" xr:uid="{61CD1E34-8A0E-4C38-B2E6-4F19547BC4F0}">
      <text>
        <r>
          <rPr>
            <sz val="9"/>
            <color indexed="81"/>
            <rFont val="Tahoma"/>
            <family val="2"/>
          </rPr>
          <t>The sum of net measure costs shown on this tab and other tabs may not equal the total net project cost shown on the Summary page due to the influence of project caps, which are not incorporated here, but are incorporated into the net project cost shown on the Summary page.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Sheaffer, Andrew</author>
  </authors>
  <commentList>
    <comment ref="E23" authorId="0" shapeId="0" xr:uid="{A243DF63-C6FE-44A0-BE77-0D1A27EF4ED7}">
      <text>
        <r>
          <rPr>
            <sz val="9"/>
            <color indexed="81"/>
            <rFont val="Tahoma"/>
            <family val="2"/>
          </rPr>
          <t>Incentives detailed here may differ from total incentives shown on measure input sheets due to project caps (see information on project caps on the Eligibility Tab).</t>
        </r>
      </text>
    </comment>
  </commentList>
</comments>
</file>

<file path=xl/sharedStrings.xml><?xml version="1.0" encoding="utf-8"?>
<sst xmlns="http://schemas.openxmlformats.org/spreadsheetml/2006/main" count="32514" uniqueCount="6312">
  <si>
    <t>Commercial and Industrial lighting workbook</t>
  </si>
  <si>
    <t>Energy Smart project application package</t>
  </si>
  <si>
    <r>
      <t xml:space="preserve">Before ordering equipment, submit application package to </t>
    </r>
    <r>
      <rPr>
        <b/>
        <sz val="10"/>
        <color theme="8"/>
        <rFont val="Arial"/>
        <family val="2"/>
      </rPr>
      <t>commercialapps@energysmartnola.com</t>
    </r>
    <r>
      <rPr>
        <sz val="10"/>
        <color theme="1"/>
        <rFont val="Arial"/>
        <family val="2"/>
      </rPr>
      <t xml:space="preserve">.
</t>
    </r>
    <r>
      <rPr>
        <b/>
        <sz val="10"/>
        <color theme="1"/>
        <rFont val="Arial"/>
        <family val="2"/>
      </rPr>
      <t xml:space="preserve">Application package includes: </t>
    </r>
    <r>
      <rPr>
        <sz val="10"/>
        <color theme="1"/>
        <rFont val="Arial"/>
        <family val="2"/>
      </rPr>
      <t xml:space="preserve">
1. Completed Energy Smart workbook (this workbook).
2. Entergy New Orleans electric bill for primary account at job site location. 
3. Cut sheets or manufacturer's specification sheets for all proposed equipment. 
4. Detailed project proposal/quote.
5. Photos of existing equipment.
6. W9 for incentive payee. </t>
    </r>
  </si>
  <si>
    <t>Workbook data entry</t>
  </si>
  <si>
    <t>Data entry cell</t>
  </si>
  <si>
    <t>Cells with a green background (or light gray) are data input cells where required information is needed.  Some data entry cells will have drop-down selection lists that limit what data may be entered.</t>
  </si>
  <si>
    <t>No data entry required cell</t>
  </si>
  <si>
    <t xml:space="preserve">Cells colored in dark gray should not be filled in and may be locked to prevent data entry. </t>
  </si>
  <si>
    <t>Workbook tabs</t>
  </si>
  <si>
    <t>Intro tab</t>
  </si>
  <si>
    <t xml:space="preserve">Contains information about the workbook, requirements for eligible equipment and application package submittal instructions. </t>
  </si>
  <si>
    <t>Application tab</t>
  </si>
  <si>
    <r>
      <t xml:space="preserve">Provides project application. This tab must be completed before submitting application package to the Energy Smart program. </t>
    </r>
    <r>
      <rPr>
        <sz val="10"/>
        <color theme="8"/>
        <rFont val="Arial"/>
        <family val="2"/>
      </rPr>
      <t>Data entry required</t>
    </r>
    <r>
      <rPr>
        <sz val="10"/>
        <color theme="1"/>
        <rFont val="Arial"/>
        <family val="2"/>
      </rPr>
      <t xml:space="preserve">.  </t>
    </r>
  </si>
  <si>
    <t>Signature tab</t>
  </si>
  <si>
    <r>
      <t xml:space="preserve">Contains the Customer Application Agreement and link to program terms and conditions. </t>
    </r>
    <r>
      <rPr>
        <sz val="10"/>
        <color theme="8"/>
        <rFont val="Arial"/>
        <family val="2"/>
      </rPr>
      <t xml:space="preserve">Customer's electronic signature required. </t>
    </r>
  </si>
  <si>
    <t>Prescript lights tab</t>
  </si>
  <si>
    <r>
      <t xml:space="preserve">Provides a space for entering information on prescriptive lighting measures. </t>
    </r>
    <r>
      <rPr>
        <sz val="10"/>
        <color theme="8"/>
        <rFont val="Arial"/>
        <family val="2"/>
      </rPr>
      <t xml:space="preserve">Data entry required if applying for prescriptive lighting measures. </t>
    </r>
  </si>
  <si>
    <t>Custom lights tab</t>
  </si>
  <si>
    <r>
      <t xml:space="preserve">Provides spaces for entering information on custom lighting measures. </t>
    </r>
    <r>
      <rPr>
        <sz val="10"/>
        <color theme="8"/>
        <rFont val="Arial"/>
        <family val="2"/>
      </rPr>
      <t xml:space="preserve">Data entry required if applying for prescriptive lighting measures. </t>
    </r>
  </si>
  <si>
    <t>Controls tab</t>
  </si>
  <si>
    <r>
      <t xml:space="preserve">Provides a space for entering information on lighting control measures. </t>
    </r>
    <r>
      <rPr>
        <sz val="10"/>
        <color theme="8"/>
        <rFont val="Arial"/>
        <family val="2"/>
      </rPr>
      <t xml:space="preserve">Data entry required if applying for prescriptive lighting control measures. </t>
    </r>
  </si>
  <si>
    <t>Fixture tab</t>
  </si>
  <si>
    <t>Shows a list of all fixtures and lamps eligible for incentives from the Energy Smart program. To use the "Custom lights" tab, applicants must identify the appropriate fixture code matching the existing and proposed lamps/fixtures from this tab. No data entry is required on this tab.</t>
  </si>
  <si>
    <t>Summary tab</t>
  </si>
  <si>
    <t>Contains a project-level summary of all measures entered into the workbook. No data entry is required on this tab.</t>
  </si>
  <si>
    <t>Lighting Equipment Qualifications</t>
  </si>
  <si>
    <r>
      <rPr>
        <b/>
        <sz val="10"/>
        <color rgb="FF000000"/>
        <rFont val="Arial"/>
        <family val="2"/>
      </rPr>
      <t xml:space="preserve">LED lighting needs to be listed on the certified product list provided below: 
</t>
    </r>
    <r>
      <rPr>
        <sz val="10"/>
        <color rgb="FF000000"/>
        <rFont val="Arial"/>
        <family val="2"/>
      </rPr>
      <t>LED replacements for downlights - ENERGY STAR</t>
    </r>
    <r>
      <rPr>
        <vertAlign val="superscript"/>
        <sz val="10"/>
        <color rgb="FF000000"/>
        <rFont val="Arial"/>
        <family val="2"/>
      </rPr>
      <t>®</t>
    </r>
    <r>
      <rPr>
        <sz val="10"/>
        <color rgb="FF000000"/>
        <rFont val="Arial"/>
        <family val="2"/>
      </rPr>
      <t xml:space="preserve"> https://www.energystar.gov/productfinder/product/certified-light-fixtures/results.
LED replacements for T12/T8/T5 and HID - Design Lights Consortium (DLC) www.designlights.org/search/.       
LED exit signs shall use 5 watts or less including battery charger when active and must meet state fire marshal codes and be UL rated. </t>
    </r>
  </si>
  <si>
    <t>Product of APTIM Environmental &amp; Infrastruction, LLC</t>
  </si>
  <si>
    <t>Project application information</t>
  </si>
  <si>
    <t>Entergy New Orleans customer information</t>
  </si>
  <si>
    <t>Project information</t>
  </si>
  <si>
    <t>Business/organization name</t>
  </si>
  <si>
    <t>Brief project description</t>
  </si>
  <si>
    <t>Customer contact name</t>
  </si>
  <si>
    <t>Legal street address 
(as shown on W-9)</t>
  </si>
  <si>
    <t>City</t>
  </si>
  <si>
    <t>State</t>
  </si>
  <si>
    <t>Estimated project start date</t>
  </si>
  <si>
    <t>ZIP code</t>
  </si>
  <si>
    <t>Estimated project completion date</t>
  </si>
  <si>
    <t>Phone number</t>
  </si>
  <si>
    <t>Program type</t>
  </si>
  <si>
    <t>Contact email address</t>
  </si>
  <si>
    <t>Project stage</t>
  </si>
  <si>
    <t>Business/organization classification</t>
  </si>
  <si>
    <t>Project installation type</t>
  </si>
  <si>
    <t>Is this a publicly funded organization?</t>
  </si>
  <si>
    <t>Job site information</t>
  </si>
  <si>
    <t>Is this customer a Disadvantaged Business Enterprise (DBE)?</t>
  </si>
  <si>
    <t>Job site business/organization name</t>
  </si>
  <si>
    <t>Trade ally/contractor information</t>
  </si>
  <si>
    <t>Job site contact name</t>
  </si>
  <si>
    <t>Business name</t>
  </si>
  <si>
    <t>Job site address</t>
  </si>
  <si>
    <t>Trade ally contact name</t>
  </si>
  <si>
    <t>Address</t>
  </si>
  <si>
    <t>ZIP</t>
  </si>
  <si>
    <t>Email address</t>
  </si>
  <si>
    <t>Entergy account number</t>
  </si>
  <si>
    <t>New account? (last 8 weeks)</t>
  </si>
  <si>
    <t>Registered trade ally?</t>
  </si>
  <si>
    <t>Year built</t>
  </si>
  <si>
    <t>Additional contact information (optional)</t>
  </si>
  <si>
    <t>Square footage</t>
  </si>
  <si>
    <t>Does the customer own or rent/lease the job site location?</t>
  </si>
  <si>
    <t>Additional contact name</t>
  </si>
  <si>
    <t>Average electric rate ($/kWh)</t>
  </si>
  <si>
    <t>Building type</t>
  </si>
  <si>
    <t>Heating and cooling system</t>
  </si>
  <si>
    <t>Water heating system</t>
  </si>
  <si>
    <t>Incentive payment information</t>
  </si>
  <si>
    <t>Mail incentive check to</t>
  </si>
  <si>
    <t>Attention to (optional)</t>
  </si>
  <si>
    <t>Project role</t>
  </si>
  <si>
    <t>Make check payable to</t>
  </si>
  <si>
    <t>Additional information</t>
  </si>
  <si>
    <t>Federal tax ID number</t>
  </si>
  <si>
    <t>If Energy Smart has a question, we should contact:</t>
  </si>
  <si>
    <t>Tax entity</t>
  </si>
  <si>
    <t xml:space="preserve">How did you hear about the Energy Smart program? </t>
  </si>
  <si>
    <t>Energy Smart program customer agreement</t>
  </si>
  <si>
    <t>Under penalty of perjury, I certify that:</t>
  </si>
  <si>
    <t>I have read and agreed to the provisions set forth herein and to the Terms and Conditions available at: energysmartnola.com/business/terms. I understand that Energy Smart may revise these Terms and Conditions at any time and I will not be notified in the event changes are made. To the best of my knowledge, all statements made on this application are complete, true and correct.</t>
  </si>
  <si>
    <t>Link to Energy Smart Program Agreement Terms and Conditions</t>
  </si>
  <si>
    <t>Electronic signature (customer)</t>
  </si>
  <si>
    <t>Date</t>
  </si>
  <si>
    <t>Prescriptive lighting measure input</t>
  </si>
  <si>
    <t>Existing</t>
  </si>
  <si>
    <t>Proposed</t>
  </si>
  <si>
    <t>Totals</t>
  </si>
  <si>
    <t>Line ref. no.</t>
  </si>
  <si>
    <t>Measure number</t>
  </si>
  <si>
    <t>Location/measure notes</t>
  </si>
  <si>
    <t>Interior or exterior?</t>
  </si>
  <si>
    <t>Prescriptive lighting measure</t>
  </si>
  <si>
    <t>Unit of measure</t>
  </si>
  <si>
    <t>Number of existing fixtures</t>
  </si>
  <si>
    <t>Existing controls</t>
  </si>
  <si>
    <t>Existing lighting type</t>
  </si>
  <si>
    <t>Existing lamp wattage</t>
  </si>
  <si>
    <t>Existing lamps per fixture</t>
  </si>
  <si>
    <t>Number of proposed fixtures</t>
  </si>
  <si>
    <t>Proposed lamp wattage</t>
  </si>
  <si>
    <t>Proposed lamps per fixture</t>
  </si>
  <si>
    <t>ENERGY STAR or DLC qualified?</t>
  </si>
  <si>
    <t>Qualifying model number</t>
  </si>
  <si>
    <t>Material cost per fixture</t>
  </si>
  <si>
    <t>Total labor cost</t>
  </si>
  <si>
    <t>Per-unit incentive</t>
  </si>
  <si>
    <t>Estimated incentive</t>
  </si>
  <si>
    <t>Energy savings (kWh)</t>
  </si>
  <si>
    <t>Demand reduction (kW)</t>
  </si>
  <si>
    <t>Cost savings</t>
  </si>
  <si>
    <t>Gross measure cost</t>
  </si>
  <si>
    <t>Net measure cost</t>
  </si>
  <si>
    <t>Simple payback (years)</t>
  </si>
  <si>
    <t>(Office Use Only)</t>
  </si>
  <si>
    <t>Measure Options</t>
  </si>
  <si>
    <t>Unit of Measure Lookup</t>
  </si>
  <si>
    <t>Lighting Type Drop Down Options</t>
  </si>
  <si>
    <t>AOH Pointer</t>
  </si>
  <si>
    <t>Calc AOH</t>
  </si>
  <si>
    <t>Detailed Baseline Fixture Lookup</t>
  </si>
  <si>
    <t>Detailed Baseline Fixture Code</t>
  </si>
  <si>
    <t>Detailed Fixture Calculation Wattage</t>
  </si>
  <si>
    <t>IEFE</t>
  </si>
  <si>
    <t>IEFD</t>
  </si>
  <si>
    <t>PAF</t>
  </si>
  <si>
    <t>CF</t>
  </si>
  <si>
    <t>Detailed Fixture Energy Savings</t>
  </si>
  <si>
    <t>Detailed Demand Savings</t>
  </si>
  <si>
    <t>Generalized Fixture Type</t>
  </si>
  <si>
    <t>Generalized Fixture Baseline Lookup</t>
  </si>
  <si>
    <t>Generalized Baseline Fixture Code</t>
  </si>
  <si>
    <t>Generalized Fixture Energy Savings (uses input lamp wattages to determine savings)</t>
  </si>
  <si>
    <t>Generalized Demand Savings  (uses input lamp wattages to determine savings)</t>
  </si>
  <si>
    <t>Calculated Energy Savings</t>
  </si>
  <si>
    <t>Calculated Demand Savings</t>
  </si>
  <si>
    <t>Units Replaced</t>
  </si>
  <si>
    <t>Fixture Code for ADM</t>
  </si>
  <si>
    <t>Custom lighting measure input</t>
  </si>
  <si>
    <t>Building/space type</t>
  </si>
  <si>
    <t>Space conditions</t>
  </si>
  <si>
    <t>Use custom or default operating hours?</t>
  </si>
  <si>
    <t>Default annual operating hours</t>
  </si>
  <si>
    <t>Custom annual operating hours</t>
  </si>
  <si>
    <t>Replacing lamp or fixture?</t>
  </si>
  <si>
    <t>Number of existing units</t>
  </si>
  <si>
    <t>Existing fixture code</t>
  </si>
  <si>
    <t>Number of proposed units</t>
  </si>
  <si>
    <t>Proposed controls</t>
  </si>
  <si>
    <t>Proposed fixture code</t>
  </si>
  <si>
    <t>Material cost per unit</t>
  </si>
  <si>
    <t>Gross measure Cost</t>
  </si>
  <si>
    <t>AOH used in Calculations</t>
  </si>
  <si>
    <t>Fixture Replacement: Existing Fixture Wattage Used in Calculations</t>
  </si>
  <si>
    <t>Fixture Replacement: Proposed Fixture Wattage Used in Calculations</t>
  </si>
  <si>
    <t>Fixture Replacement: Energy Savings</t>
  </si>
  <si>
    <t>Fixture Replacement: Demand Savings</t>
  </si>
  <si>
    <t>Lamp Replacement: Existing Fixture Wattage Used in Calculations</t>
  </si>
  <si>
    <t>Lamp Replacement: Proposed Fixture Wattage Used in Calculations</t>
  </si>
  <si>
    <t>Lamp Replacement: Energy Savings</t>
  </si>
  <si>
    <t>Lamp Replacement: Demand Savings</t>
  </si>
  <si>
    <t>Prescriptive controls measure input</t>
  </si>
  <si>
    <t>Line Ref. No.</t>
  </si>
  <si>
    <t>Prescriptive control measure</t>
  </si>
  <si>
    <t>Quantity (Sensors/controller units)</t>
  </si>
  <si>
    <t>Existing lighting controls</t>
  </si>
  <si>
    <t>Watts controlled</t>
  </si>
  <si>
    <t>Total equipment cost</t>
  </si>
  <si>
    <t>Existing PAF</t>
  </si>
  <si>
    <t>Proposed PAF</t>
  </si>
  <si>
    <t>AOH Type</t>
  </si>
  <si>
    <t>Fixture code table</t>
  </si>
  <si>
    <t xml:space="preserve">This table shows fixture codes used to identify lamps and fixtures within the Energy Smart program. If you cannot find a code that describes your lamp or fixture, please contact the Energy Smart program for help identifying the proper code.  </t>
  </si>
  <si>
    <t xml:space="preserve">The table can be sorted based on parameter data shown in each column to narrow the choices of fixture codes.  </t>
  </si>
  <si>
    <t>Index No.</t>
  </si>
  <si>
    <t>Technology</t>
  </si>
  <si>
    <t>Lamp watts</t>
  </si>
  <si>
    <t>No. of lamps</t>
  </si>
  <si>
    <t>Linear fluorescent length (inches)</t>
  </si>
  <si>
    <t>Lamp output</t>
  </si>
  <si>
    <t>Ballast type</t>
  </si>
  <si>
    <t>Description</t>
  </si>
  <si>
    <t>Fixture code</t>
  </si>
  <si>
    <t>LED</t>
  </si>
  <si>
    <t>N/A</t>
  </si>
  <si>
    <t>Electronic</t>
  </si>
  <si>
    <t>LED Lamp, 1W, any lamp base, any lamp shape</t>
  </si>
  <si>
    <t>LED001-SCRW</t>
  </si>
  <si>
    <t>LED Lamp, 2W, any lamp base, any lamp shape</t>
  </si>
  <si>
    <t>LED002-SCRW</t>
  </si>
  <si>
    <t>LED Lamp, 3W, any lamp base, any lamp shape</t>
  </si>
  <si>
    <t>LED003-SCRW</t>
  </si>
  <si>
    <t>LED Lamp, 4W, any lamp base, any lamp shape</t>
  </si>
  <si>
    <t>LED004-SCRW</t>
  </si>
  <si>
    <t>LED Lamp, 5W, any lamp base, any lamp shape</t>
  </si>
  <si>
    <t>LED005-SCRW</t>
  </si>
  <si>
    <t>LED Lamp, 6W, any lamp base, any lamp shape</t>
  </si>
  <si>
    <t>LED006-SCRW</t>
  </si>
  <si>
    <t>LED Lamp, 7W, any lamp base, any lamp shape</t>
  </si>
  <si>
    <t>LED007-SCRW</t>
  </si>
  <si>
    <t>LED Lamp, 8W, any lamp base, any lamp shape</t>
  </si>
  <si>
    <t>LED008-SCRW</t>
  </si>
  <si>
    <t>LED Lamp, 9W, any lamp base, any lamp shape</t>
  </si>
  <si>
    <t>LED009-SCRW</t>
  </si>
  <si>
    <t>LED Lamp, 10W, any lamp base, any lamp shape</t>
  </si>
  <si>
    <t>LED010-SCRW</t>
  </si>
  <si>
    <t>LED Lamp, 11W, any lamp base, any lamp shape</t>
  </si>
  <si>
    <t>LED011-SCRW</t>
  </si>
  <si>
    <t>LED Lamp, 12W, any lamp base, any lamp shape</t>
  </si>
  <si>
    <t>LED012-SCRW</t>
  </si>
  <si>
    <t>LED Lamp, 13W, any lamp base, any lamp shape</t>
  </si>
  <si>
    <t>LED013-SCRW</t>
  </si>
  <si>
    <t>LED Lamp, 14W, any lamp base, any lamp shape</t>
  </si>
  <si>
    <t>LED014-SCRW</t>
  </si>
  <si>
    <t>LED Lamp, 15W, any lamp base, any lamp shape</t>
  </si>
  <si>
    <t>LED015-SCRW</t>
  </si>
  <si>
    <t>LED Lamp, 16W, any lamp base, any lamp shape</t>
  </si>
  <si>
    <t>LED016-SCRW</t>
  </si>
  <si>
    <t>LED Lamp, 17W, any lamp base, any lamp shape</t>
  </si>
  <si>
    <t>LED017-SCRW</t>
  </si>
  <si>
    <t>LED Lamp, 18W, any lamp base, any lamp shape</t>
  </si>
  <si>
    <t>LED018-SCRW</t>
  </si>
  <si>
    <t>LED Lamp, 19W, any lamp base, any lamp shape</t>
  </si>
  <si>
    <t>LED019-SCRW</t>
  </si>
  <si>
    <t>LED Lamp, 20W, any lamp base, any lamp shape</t>
  </si>
  <si>
    <t>LED020-SCRW</t>
  </si>
  <si>
    <t>LED Lamp, 21W, any lamp base, any lamp shape</t>
  </si>
  <si>
    <t>LED021-SCRW</t>
  </si>
  <si>
    <t>LED Lamp, 22W, any lamp base, any lamp shape</t>
  </si>
  <si>
    <t>LED022-SCRW</t>
  </si>
  <si>
    <t>LED Lamp, 23W, any lamp base, any lamp shape</t>
  </si>
  <si>
    <t>LED023-SCRW</t>
  </si>
  <si>
    <t>LED Lamp, 24W, any lamp base, any lamp shape</t>
  </si>
  <si>
    <t>LED024-SCRW</t>
  </si>
  <si>
    <t>LED Lamp, 25W, any lamp base, any lamp shape</t>
  </si>
  <si>
    <t>LED025-SCRW</t>
  </si>
  <si>
    <t>LED Lamp, 26W, any lamp base, any lamp shape</t>
  </si>
  <si>
    <t>LED026-SCRW</t>
  </si>
  <si>
    <t>LED Lamp, 27W, any lamp base, any lamp shape</t>
  </si>
  <si>
    <t>LED027-SCRW</t>
  </si>
  <si>
    <t>LED Lamp, 28W, any lamp base, any lamp shape</t>
  </si>
  <si>
    <t>LED028-SCRW</t>
  </si>
  <si>
    <t>LED Lamp, 29W, any lamp base, any lamp shape</t>
  </si>
  <si>
    <t>LED029-SCRW</t>
  </si>
  <si>
    <t>LED Lamp, 30W, any lamp base, any lamp shape</t>
  </si>
  <si>
    <t>LED030-SCRW</t>
  </si>
  <si>
    <t>LED Lamp, 31W, any lamp base, any lamp shape</t>
  </si>
  <si>
    <t>LED031-SCRW</t>
  </si>
  <si>
    <t>LED Lamp, 32W, any lamp base, any lamp shape</t>
  </si>
  <si>
    <t>LED032-SCRW</t>
  </si>
  <si>
    <t>LED Lamp, 33W, any lamp base, any lamp shape</t>
  </si>
  <si>
    <t>LED033-SCRW</t>
  </si>
  <si>
    <t>LED Lamp, 34W, any lamp base, any lamp shape</t>
  </si>
  <si>
    <t>LED034-SCRW</t>
  </si>
  <si>
    <t>LED Lamp, 35W, any lamp base, any lamp shape</t>
  </si>
  <si>
    <t>LED035-SCRW</t>
  </si>
  <si>
    <t>LED Lamp, 36W, any lamp base, any lamp shape</t>
  </si>
  <si>
    <t>LED036-SCRW</t>
  </si>
  <si>
    <t>LED Lamp, 37W, any lamp base, any lamp shape</t>
  </si>
  <si>
    <t>LED037-SCRW</t>
  </si>
  <si>
    <t>LED Lamp, 38W, any lamp base, any lamp shape</t>
  </si>
  <si>
    <t>LED038-SCRW</t>
  </si>
  <si>
    <t>LED Lamp, 39W, any lamp base, any lamp shape</t>
  </si>
  <si>
    <t>LED039-SCRW</t>
  </si>
  <si>
    <t>LED Lamp, 40W, any lamp base, any lamp shape</t>
  </si>
  <si>
    <t>LED040-SCRW</t>
  </si>
  <si>
    <t>LED Lamp, 41W, any lamp base, any lamp shape</t>
  </si>
  <si>
    <t>LED041-SCRW</t>
  </si>
  <si>
    <t>LED Lamp, 42W, any lamp base, any lamp shape</t>
  </si>
  <si>
    <t>LED042-SCRW</t>
  </si>
  <si>
    <t>LED Lamp, 43W, any lamp base, any lamp shape</t>
  </si>
  <si>
    <t>LED043-SCRW</t>
  </si>
  <si>
    <t>LED Lamp, 44W, any lamp base, any lamp shape</t>
  </si>
  <si>
    <t>LED044-SCRW</t>
  </si>
  <si>
    <t>LED Lamp, 45W, any lamp base, any lamp shape</t>
  </si>
  <si>
    <t>LED045-SCRW</t>
  </si>
  <si>
    <t>LED Lamp, 46W, any lamp base, any lamp shape</t>
  </si>
  <si>
    <t>LED046-SCRW</t>
  </si>
  <si>
    <t>LED Lamp, 47W, any lamp base, any lamp shape</t>
  </si>
  <si>
    <t>LED047-SCRW</t>
  </si>
  <si>
    <t>LED Lamp, 48W, any lamp base, any lamp shape</t>
  </si>
  <si>
    <t>LED048-SCRW</t>
  </si>
  <si>
    <t>LED Lamp, 49W, any lamp base, any lamp shape</t>
  </si>
  <si>
    <t>LED049-SCRW</t>
  </si>
  <si>
    <t>LED Lamp, 50W, any lamp base, any lamp shape</t>
  </si>
  <si>
    <t>LED050-SCRW</t>
  </si>
  <si>
    <t>LED Fixture, 1W, any fixture shape</t>
  </si>
  <si>
    <t>LED001-FIXT</t>
  </si>
  <si>
    <t>LED Fixture, 2W, any fixture shape</t>
  </si>
  <si>
    <t>LED002-FIXT</t>
  </si>
  <si>
    <t>LED Fixture, 3W, any fixture shape</t>
  </si>
  <si>
    <t>LED003-FIXT</t>
  </si>
  <si>
    <t>LED Fixture, 4W, any fixture shape</t>
  </si>
  <si>
    <t>LED004-FIXT</t>
  </si>
  <si>
    <t>LED Fixture, 5W, any fixture shape</t>
  </si>
  <si>
    <t>LED005-FIXT</t>
  </si>
  <si>
    <t>LED Fixture, 6W, any fixture shape</t>
  </si>
  <si>
    <t>LED006-FIXT</t>
  </si>
  <si>
    <t>LED Fixture, 7W, any fixture shape</t>
  </si>
  <si>
    <t>LED007-FIXT</t>
  </si>
  <si>
    <t>LED Fixture, 8W, any fixture shape</t>
  </si>
  <si>
    <t>LED008-FIXT</t>
  </si>
  <si>
    <t>LED Fixture, 9W, any fixture shape</t>
  </si>
  <si>
    <t>LED009-FIXT</t>
  </si>
  <si>
    <t>LED Fixture, 10W, any fixture shape</t>
  </si>
  <si>
    <t>LED010-FIXT</t>
  </si>
  <si>
    <t>LED Fixture, 11W, any fixture shape</t>
  </si>
  <si>
    <t>LED011-FIXT</t>
  </si>
  <si>
    <t>LED Fixture, 12W, any fixture shape</t>
  </si>
  <si>
    <t>LED012-FIXT</t>
  </si>
  <si>
    <t>LED Fixture, 13W, any fixture shape</t>
  </si>
  <si>
    <t>LED013-FIXT</t>
  </si>
  <si>
    <t>LED Fixture, 14W, any fixture shape</t>
  </si>
  <si>
    <t>LED014-FIXT</t>
  </si>
  <si>
    <t>LED Fixture, 15W, any fixture shape</t>
  </si>
  <si>
    <t>LED015-FIXT</t>
  </si>
  <si>
    <t>LED Fixture, 16W, any fixture shape</t>
  </si>
  <si>
    <t>LED016-FIXT</t>
  </si>
  <si>
    <t>LED Fixture, 17W, any fixture shape</t>
  </si>
  <si>
    <t>LED017-FIXT</t>
  </si>
  <si>
    <t>LED Fixture, 18W, any fixture shape</t>
  </si>
  <si>
    <t>LED018-FIXT</t>
  </si>
  <si>
    <t>LED Fixture, 19W, any fixture shape</t>
  </si>
  <si>
    <t>LED019-FIXT</t>
  </si>
  <si>
    <t>LED Fixture, 20W, any fixture shape</t>
  </si>
  <si>
    <t>LED020-FIXT</t>
  </si>
  <si>
    <t>LED Fixture, 21W, any fixture shape</t>
  </si>
  <si>
    <t>LED021-FIXT</t>
  </si>
  <si>
    <t>LED Fixture, 22W, any fixture shape</t>
  </si>
  <si>
    <t>LED022-FIXT</t>
  </si>
  <si>
    <t>LED Fixture, 23W, any fixture shape</t>
  </si>
  <si>
    <t>LED023-FIXT</t>
  </si>
  <si>
    <t>LED Fixture, 24W, any fixture shape</t>
  </si>
  <si>
    <t>LED024-FIXT</t>
  </si>
  <si>
    <t>LED Fixture, 25W, any fixture shape</t>
  </si>
  <si>
    <t>LED025-FIXT</t>
  </si>
  <si>
    <t>LED Fixture, 26W, any fixture shape</t>
  </si>
  <si>
    <t>LED026-FIXT</t>
  </si>
  <si>
    <t>LED Fixture, 27W, any fixture shape</t>
  </si>
  <si>
    <t>LED027-FIXT</t>
  </si>
  <si>
    <t>LED Fixture, 28W, any fixture shape</t>
  </si>
  <si>
    <t>LED028-FIXT</t>
  </si>
  <si>
    <t>LED Fixture, 29W, any fixture shape</t>
  </si>
  <si>
    <t>LED029-FIXT</t>
  </si>
  <si>
    <t>LED Fixture, 30W, any fixture shape</t>
  </si>
  <si>
    <t>LED030-FIXT</t>
  </si>
  <si>
    <t>LED Fixture, 31W, any fixture shape</t>
  </si>
  <si>
    <t>LED031-FIXT</t>
  </si>
  <si>
    <t>LED Fixture, 32W, any fixture shape</t>
  </si>
  <si>
    <t>LED032-FIXT</t>
  </si>
  <si>
    <t>LED Fixture, 33W, any fixture shape</t>
  </si>
  <si>
    <t>LED033-FIXT</t>
  </si>
  <si>
    <t>LED Fixture, 34W, any fixture shape</t>
  </si>
  <si>
    <t>LED034-FIXT</t>
  </si>
  <si>
    <t>LED Fixture, 35W, any fixture shape</t>
  </si>
  <si>
    <t>LED035-FIXT</t>
  </si>
  <si>
    <t>LED Fixture, 36W, any fixture shape</t>
  </si>
  <si>
    <t>LED036-FIXT</t>
  </si>
  <si>
    <t>LED Fixture, 37W, any fixture shape</t>
  </si>
  <si>
    <t>LED037-FIXT</t>
  </si>
  <si>
    <t>LED Fixture, 38W, any fixture shape</t>
  </si>
  <si>
    <t>LED038-FIXT</t>
  </si>
  <si>
    <t>LED Fixture, 39W, any fixture shape</t>
  </si>
  <si>
    <t>LED039-FIXT</t>
  </si>
  <si>
    <t>LED Fixture, 40W, any fixture shape</t>
  </si>
  <si>
    <t>LED040-FIXT</t>
  </si>
  <si>
    <t>LED Fixture, 41W, any fixture shape</t>
  </si>
  <si>
    <t>LED041-FIXT</t>
  </si>
  <si>
    <t>LED Fixture, 42W, any fixture shape</t>
  </si>
  <si>
    <t>LED042-FIXT</t>
  </si>
  <si>
    <t>LED Fixture, 43W, any fixture shape</t>
  </si>
  <si>
    <t>LED043-FIXT</t>
  </si>
  <si>
    <t>LED Fixture, 44W, any fixture shape</t>
  </si>
  <si>
    <t>LED044-FIXT</t>
  </si>
  <si>
    <t>LED Fixture, 45W, any fixture shape</t>
  </si>
  <si>
    <t>LED045-FIXT</t>
  </si>
  <si>
    <t>LED Fixture, 46W, any fixture shape</t>
  </si>
  <si>
    <t>LED046-FIXT</t>
  </si>
  <si>
    <t>LED Fixture, 47W, any fixture shape</t>
  </si>
  <si>
    <t>LED047-FIXT</t>
  </si>
  <si>
    <t>LED Fixture, 48W, any fixture shape</t>
  </si>
  <si>
    <t>LED048-FIXT</t>
  </si>
  <si>
    <t>LED Fixture, 49W, any fixture shape</t>
  </si>
  <si>
    <t>LED049-FIXT</t>
  </si>
  <si>
    <t>LED Fixture, 50W, any fixture shape</t>
  </si>
  <si>
    <t>LED050-FIXT</t>
  </si>
  <si>
    <t>LED Fixture, 51W, any fixture shape</t>
  </si>
  <si>
    <t>LED051-FIXT</t>
  </si>
  <si>
    <t>LED Fixture, 52W, any fixture shape</t>
  </si>
  <si>
    <t>LED052-FIXT</t>
  </si>
  <si>
    <t>LED Fixture, 53W, any fixture shape</t>
  </si>
  <si>
    <t>LED053-FIXT</t>
  </si>
  <si>
    <t>LED Fixture, 54W, any fixture shape</t>
  </si>
  <si>
    <t>LED054-FIXT</t>
  </si>
  <si>
    <t>LED Fixture, 55W, any fixture shape</t>
  </si>
  <si>
    <t>LED055-FIXT</t>
  </si>
  <si>
    <t>LED Fixture, 56W, any fixture shape</t>
  </si>
  <si>
    <t>LED056-FIXT</t>
  </si>
  <si>
    <t>LED Fixture, 57W, any fixture shape</t>
  </si>
  <si>
    <t>LED057-FIXT</t>
  </si>
  <si>
    <t>LED Fixture, 58W, any fixture shape</t>
  </si>
  <si>
    <t>LED058-FIXT</t>
  </si>
  <si>
    <t>LED Fixture, 59W, any fixture shape</t>
  </si>
  <si>
    <t>LED059-FIXT</t>
  </si>
  <si>
    <t>LED Fixture, 60W, any fixture shape</t>
  </si>
  <si>
    <t>LED060-FIXT</t>
  </si>
  <si>
    <t>LED Fixture, 61W, any fixture shape</t>
  </si>
  <si>
    <t>LED061-FIXT</t>
  </si>
  <si>
    <t>LED Fixture, 62W, any fixture shape</t>
  </si>
  <si>
    <t>LED062-FIXT</t>
  </si>
  <si>
    <t>LED Fixture, 63W, any fixture shape</t>
  </si>
  <si>
    <t>LED063-FIXT</t>
  </si>
  <si>
    <t>LED Fixture, 64W, any fixture shape</t>
  </si>
  <si>
    <t>LED064-FIXT</t>
  </si>
  <si>
    <t>LED Fixture, 65W, any fixture shape</t>
  </si>
  <si>
    <t>LED065-FIXT</t>
  </si>
  <si>
    <t>LED Fixture, 66W, any fixture shape</t>
  </si>
  <si>
    <t>LED066-FIXT</t>
  </si>
  <si>
    <t>LED Fixture, 67W, any fixture shape</t>
  </si>
  <si>
    <t>LED067-FIXT</t>
  </si>
  <si>
    <t>LED Fixture, 68W, any fixture shape</t>
  </si>
  <si>
    <t>LED068-FIXT</t>
  </si>
  <si>
    <t>LED Fixture, 69W, any fixture shape</t>
  </si>
  <si>
    <t>LED069-FIXT</t>
  </si>
  <si>
    <t>LED Fixture, 70W, any fixture shape</t>
  </si>
  <si>
    <t>LED070-FIXT</t>
  </si>
  <si>
    <t>LED Fixture, 71W, any fixture shape</t>
  </si>
  <si>
    <t>LED071-FIXT</t>
  </si>
  <si>
    <t>LED Fixture, 72W, any fixture shape</t>
  </si>
  <si>
    <t>LED072-FIXT</t>
  </si>
  <si>
    <t>LED Fixture, 73W, any fixture shape</t>
  </si>
  <si>
    <t>LED073-FIXT</t>
  </si>
  <si>
    <t>LED Fixture, 74W, any fixture shape</t>
  </si>
  <si>
    <t>LED074-FIXT</t>
  </si>
  <si>
    <t>LED Fixture, 75W, any fixture shape</t>
  </si>
  <si>
    <t>LED075-FIXT</t>
  </si>
  <si>
    <t>LED Fixture, 76W, any fixture shape</t>
  </si>
  <si>
    <t>LED076-FIXT</t>
  </si>
  <si>
    <t>LED Fixture, 77W, any fixture shape</t>
  </si>
  <si>
    <t>LED077-FIXT</t>
  </si>
  <si>
    <t>LED Fixture, 78W, any fixture shape</t>
  </si>
  <si>
    <t>LED078-FIXT</t>
  </si>
  <si>
    <t>LED Fixture, 79W, any fixture shape</t>
  </si>
  <si>
    <t>LED079-FIXT</t>
  </si>
  <si>
    <t>LED Fixture, 80W, any fixture shape</t>
  </si>
  <si>
    <t>LED080-FIXT</t>
  </si>
  <si>
    <t>LED Fixture, 81W, any fixture shape</t>
  </si>
  <si>
    <t>LED081-FIXT</t>
  </si>
  <si>
    <t>LED Fixture, 82W, any fixture shape</t>
  </si>
  <si>
    <t>LED082-FIXT</t>
  </si>
  <si>
    <t>LED Fixture, 83W, any fixture shape</t>
  </si>
  <si>
    <t>LED083-FIXT</t>
  </si>
  <si>
    <t>LED Fixture, 84W, any fixture shape</t>
  </si>
  <si>
    <t>LED084-FIXT</t>
  </si>
  <si>
    <t>LED Fixture, 85W, any fixture shape</t>
  </si>
  <si>
    <t>LED085-FIXT</t>
  </si>
  <si>
    <t>LED Fixture, 86W, any fixture shape</t>
  </si>
  <si>
    <t>LED086-FIXT</t>
  </si>
  <si>
    <t>LED Fixture, 87W, any fixture shape</t>
  </si>
  <si>
    <t>LED087-FIXT</t>
  </si>
  <si>
    <t>LED Fixture, 88W, any fixture shape</t>
  </si>
  <si>
    <t>LED088-FIXT</t>
  </si>
  <si>
    <t>LED Fixture, 89W, any fixture shape</t>
  </si>
  <si>
    <t>LED089-FIXT</t>
  </si>
  <si>
    <t>LED Fixture, 90W, any fixture shape</t>
  </si>
  <si>
    <t>LED090-FIXT</t>
  </si>
  <si>
    <t>LED Fixture, 91W, any fixture shape</t>
  </si>
  <si>
    <t>LED091-FIXT</t>
  </si>
  <si>
    <t>LED Fixture, 92W, any fixture shape</t>
  </si>
  <si>
    <t>LED092-FIXT</t>
  </si>
  <si>
    <t>LED Fixture, 93W, any fixture shape</t>
  </si>
  <si>
    <t>LED093-FIXT</t>
  </si>
  <si>
    <t>LED Fixture, 94W, any fixture shape</t>
  </si>
  <si>
    <t>LED094-FIXT</t>
  </si>
  <si>
    <t>LED Fixture, 95W, any fixture shape</t>
  </si>
  <si>
    <t>LED095-FIXT</t>
  </si>
  <si>
    <t>LED Fixture, 96W, any fixture shape</t>
  </si>
  <si>
    <t>LED096-FIXT</t>
  </si>
  <si>
    <t>LED Fixture, 97W, any fixture shape</t>
  </si>
  <si>
    <t>LED097-FIXT</t>
  </si>
  <si>
    <t>LED Fixture, 98W, any fixture shape</t>
  </si>
  <si>
    <t>LED098-FIXT</t>
  </si>
  <si>
    <t>LED Fixture, 99W, any fixture shape</t>
  </si>
  <si>
    <t>LED099-FIXT</t>
  </si>
  <si>
    <t>LED Fixture, 100W, any fixture shape</t>
  </si>
  <si>
    <t>LED100-FIXT</t>
  </si>
  <si>
    <t>LED Fixture, 101W, any fixture shape</t>
  </si>
  <si>
    <t>LED101-FIXT</t>
  </si>
  <si>
    <t>LED Fixture, 102W, any fixture shape</t>
  </si>
  <si>
    <t>LED102-FIXT</t>
  </si>
  <si>
    <t>LED Fixture, 103W, any fixture shape</t>
  </si>
  <si>
    <t>LED103-FIXT</t>
  </si>
  <si>
    <t>LED Fixture, 104W, any fixture shape</t>
  </si>
  <si>
    <t>LED104-FIXT</t>
  </si>
  <si>
    <t>LED Fixture, 105W, any fixture shape</t>
  </si>
  <si>
    <t>LED105-FIXT</t>
  </si>
  <si>
    <t>LED Fixture, 106W, any fixture shape</t>
  </si>
  <si>
    <t>LED106-FIXT</t>
  </si>
  <si>
    <t>LED Fixture, 107W, any fixture shape</t>
  </si>
  <si>
    <t>LED107-FIXT</t>
  </si>
  <si>
    <t>LED Fixture, 108W, any fixture shape</t>
  </si>
  <si>
    <t>LED108-FIXT</t>
  </si>
  <si>
    <t>LED Fixture, 109W, any fixture shape</t>
  </si>
  <si>
    <t>LED109-FIXT</t>
  </si>
  <si>
    <t>LED Fixture, 110W, any fixture shape</t>
  </si>
  <si>
    <t>LED110-FIXT</t>
  </si>
  <si>
    <t>LED Fixture, 111W, any fixture shape</t>
  </si>
  <si>
    <t>LED111-FIXT</t>
  </si>
  <si>
    <t>LED Fixture, 112W, any fixture shape</t>
  </si>
  <si>
    <t>LED112-FIXT</t>
  </si>
  <si>
    <t>LED Fixture, 113W, any fixture shape</t>
  </si>
  <si>
    <t>LED113-FIXT</t>
  </si>
  <si>
    <t>LED Fixture, 114W, any fixture shape</t>
  </si>
  <si>
    <t>LED114-FIXT</t>
  </si>
  <si>
    <t>LED Fixture, 115W, any fixture shape</t>
  </si>
  <si>
    <t>LED115-FIXT</t>
  </si>
  <si>
    <t>LED Fixture, 116W, any fixture shape</t>
  </si>
  <si>
    <t>LED116-FIXT</t>
  </si>
  <si>
    <t>LED Fixture, 117W, any fixture shape</t>
  </si>
  <si>
    <t>LED117-FIXT</t>
  </si>
  <si>
    <t>LED Fixture, 118W, any fixture shape</t>
  </si>
  <si>
    <t>LED118-FIXT</t>
  </si>
  <si>
    <t>LED Fixture, 119W, any fixture shape</t>
  </si>
  <si>
    <t>LED119-FIXT</t>
  </si>
  <si>
    <t>LED Fixture, 120W, any fixture shape</t>
  </si>
  <si>
    <t>LED120-FIXT</t>
  </si>
  <si>
    <t>LED Fixture, 121W, any fixture shape</t>
  </si>
  <si>
    <t>LED121-FIXT</t>
  </si>
  <si>
    <t>LED Fixture, 122W, any fixture shape</t>
  </si>
  <si>
    <t>LED122-FIXT</t>
  </si>
  <si>
    <t>LED Fixture, 123W, any fixture shape</t>
  </si>
  <si>
    <t>LED123-FIXT</t>
  </si>
  <si>
    <t>LED Fixture, 124W, any fixture shape</t>
  </si>
  <si>
    <t>LED124-FIXT</t>
  </si>
  <si>
    <t>LED Fixture, 125W, any fixture shape</t>
  </si>
  <si>
    <t>LED125-FIXT</t>
  </si>
  <si>
    <t>LED Fixture, 126W, any fixture shape</t>
  </si>
  <si>
    <t>LED126-FIXT</t>
  </si>
  <si>
    <t>LED Fixture, 127W, any fixture shape</t>
  </si>
  <si>
    <t>LED127-FIXT</t>
  </si>
  <si>
    <t>LED Fixture, 128W, any fixture shape</t>
  </si>
  <si>
    <t>LED128-FIXT</t>
  </si>
  <si>
    <t>LED Fixture, 129W, any fixture shape</t>
  </si>
  <si>
    <t>LED129-FIXT</t>
  </si>
  <si>
    <t>LED Fixture, 130W, any fixture shape</t>
  </si>
  <si>
    <t>LED130-FIXT</t>
  </si>
  <si>
    <t>LED Fixture, 131W, any fixture shape</t>
  </si>
  <si>
    <t>LED131-FIXT</t>
  </si>
  <si>
    <t>LED Fixture, 132W, any fixture shape</t>
  </si>
  <si>
    <t>LED132-FIXT</t>
  </si>
  <si>
    <t>LED Fixture, 133W, any fixture shape</t>
  </si>
  <si>
    <t>LED133-FIXT</t>
  </si>
  <si>
    <t>LED Fixture, 134W, any fixture shape</t>
  </si>
  <si>
    <t>LED134-FIXT</t>
  </si>
  <si>
    <t>LED Fixture, 135W, any fixture shape</t>
  </si>
  <si>
    <t>LED135-FIXT</t>
  </si>
  <si>
    <t>LED Fixture, 136W, any fixture shape</t>
  </si>
  <si>
    <t>LED136-FIXT</t>
  </si>
  <si>
    <t>LED Fixture, 137W, any fixture shape</t>
  </si>
  <si>
    <t>LED137-FIXT</t>
  </si>
  <si>
    <t>LED Fixture, 138W, any fixture shape</t>
  </si>
  <si>
    <t>LED138-FIXT</t>
  </si>
  <si>
    <t>LED Fixture, 139W, any fixture shape</t>
  </si>
  <si>
    <t>LED139-FIXT</t>
  </si>
  <si>
    <t>LED Fixture, 140W, any fixture shape</t>
  </si>
  <si>
    <t>LED140-FIXT</t>
  </si>
  <si>
    <t>LED Fixture, 141W, any fixture shape</t>
  </si>
  <si>
    <t>LED141-FIXT</t>
  </si>
  <si>
    <t>LED Fixture, 142W, any fixture shape</t>
  </si>
  <si>
    <t>LED142-FIXT</t>
  </si>
  <si>
    <t>LED Fixture, 143W, any fixture shape</t>
  </si>
  <si>
    <t>LED143-FIXT</t>
  </si>
  <si>
    <t>LED Fixture, 144W, any fixture shape</t>
  </si>
  <si>
    <t>LED144-FIXT</t>
  </si>
  <si>
    <t>LED Fixture, 145W, any fixture shape</t>
  </si>
  <si>
    <t>LED145-FIXT</t>
  </si>
  <si>
    <t>LED Fixture, 146W, any fixture shape</t>
  </si>
  <si>
    <t>LED146-FIXT</t>
  </si>
  <si>
    <t>LED Fixture, 147W, any fixture shape</t>
  </si>
  <si>
    <t>LED147-FIXT</t>
  </si>
  <si>
    <t>LED Fixture, 148W, any fixture shape</t>
  </si>
  <si>
    <t>LED148-FIXT</t>
  </si>
  <si>
    <t>LED Fixture, 149W, any fixture shape</t>
  </si>
  <si>
    <t>LED149-FIXT</t>
  </si>
  <si>
    <t>LED Fixture, 150W, any fixture shape</t>
  </si>
  <si>
    <t>LED150-FIXT</t>
  </si>
  <si>
    <t>LED Fixture, 151W, any fixture shape</t>
  </si>
  <si>
    <t>LED151-FIXT</t>
  </si>
  <si>
    <t>LED Fixture, 152W, any fixture shape</t>
  </si>
  <si>
    <t>LED152-FIXT</t>
  </si>
  <si>
    <t>LED Fixture, 153W, any fixture shape</t>
  </si>
  <si>
    <t>LED153-FIXT</t>
  </si>
  <si>
    <t>LED Fixture, 154W, any fixture shape</t>
  </si>
  <si>
    <t>LED154-FIXT</t>
  </si>
  <si>
    <t>LED Fixture, 155W, any fixture shape</t>
  </si>
  <si>
    <t>LED155-FIXT</t>
  </si>
  <si>
    <t>LED Fixture, 156W, any fixture shape</t>
  </si>
  <si>
    <t>LED156-FIXT</t>
  </si>
  <si>
    <t>LED Fixture, 157W, any fixture shape</t>
  </si>
  <si>
    <t>LED157-FIXT</t>
  </si>
  <si>
    <t>LED Fixture, 158W, any fixture shape</t>
  </si>
  <si>
    <t>LED158-FIXT</t>
  </si>
  <si>
    <t>LED Fixture, 159W, any fixture shape</t>
  </si>
  <si>
    <t>LED159-FIXT</t>
  </si>
  <si>
    <t>LED Fixture, 160W, any fixture shape</t>
  </si>
  <si>
    <t>LED160-FIXT</t>
  </si>
  <si>
    <t>LED Fixture, 161W, any fixture shape</t>
  </si>
  <si>
    <t>LED161-FIXT</t>
  </si>
  <si>
    <t>LED Fixture, 162W, any fixture shape</t>
  </si>
  <si>
    <t>LED162-FIXT</t>
  </si>
  <si>
    <t>LED Fixture, 163W, any fixture shape</t>
  </si>
  <si>
    <t>LED163-FIXT</t>
  </si>
  <si>
    <t>LED Fixture, 164W, any fixture shape</t>
  </si>
  <si>
    <t>LED164-FIXT</t>
  </si>
  <si>
    <t>LED Fixture, 165W, any fixture shape</t>
  </si>
  <si>
    <t>LED165-FIXT</t>
  </si>
  <si>
    <t>LED Fixture, 166W, any fixture shape</t>
  </si>
  <si>
    <t>LED166-FIXT</t>
  </si>
  <si>
    <t>LED Fixture, 167W, any fixture shape</t>
  </si>
  <si>
    <t>LED167-FIXT</t>
  </si>
  <si>
    <t>LED Fixture, 168W, any fixture shape</t>
  </si>
  <si>
    <t>LED168-FIXT</t>
  </si>
  <si>
    <t>LED Fixture, 169W, any fixture shape</t>
  </si>
  <si>
    <t>LED169-FIXT</t>
  </si>
  <si>
    <t>LED Fixture, 170W, any fixture shape</t>
  </si>
  <si>
    <t>LED170-FIXT</t>
  </si>
  <si>
    <t>LED Fixture, 171W, any fixture shape</t>
  </si>
  <si>
    <t>LED171-FIXT</t>
  </si>
  <si>
    <t>LED Fixture, 172W, any fixture shape</t>
  </si>
  <si>
    <t>LED172-FIXT</t>
  </si>
  <si>
    <t>LED Fixture, 173W, any fixture shape</t>
  </si>
  <si>
    <t>LED173-FIXT</t>
  </si>
  <si>
    <t>LED Fixture, 174W, any fixture shape</t>
  </si>
  <si>
    <t>LED174-FIXT</t>
  </si>
  <si>
    <t>LED Fixture, 175W, any fixture shape</t>
  </si>
  <si>
    <t>LED175-FIXT</t>
  </si>
  <si>
    <t>LED Fixture, 176W, any fixture shape</t>
  </si>
  <si>
    <t>LED176-FIXT</t>
  </si>
  <si>
    <t>LED Fixture, 177W, any fixture shape</t>
  </si>
  <si>
    <t>LED177-FIXT</t>
  </si>
  <si>
    <t>LED Fixture, 178W, any fixture shape</t>
  </si>
  <si>
    <t>LED178-FIXT</t>
  </si>
  <si>
    <t>LED Fixture, 179W, any fixture shape</t>
  </si>
  <si>
    <t>LED179-FIXT</t>
  </si>
  <si>
    <t>LED Fixture, 180W, any fixture shape</t>
  </si>
  <si>
    <t>LED180-FIXT</t>
  </si>
  <si>
    <t>LED Fixture, 181W, any fixture shape</t>
  </si>
  <si>
    <t>LED181-FIXT</t>
  </si>
  <si>
    <t>LED Fixture, 182W, any fixture shape</t>
  </si>
  <si>
    <t>LED182-FIXT</t>
  </si>
  <si>
    <t>LED Fixture, 183W, any fixture shape</t>
  </si>
  <si>
    <t>LED183-FIXT</t>
  </si>
  <si>
    <t>LED Fixture, 184W, any fixture shape</t>
  </si>
  <si>
    <t>LED184-FIXT</t>
  </si>
  <si>
    <t>LED Fixture, 185W, any fixture shape</t>
  </si>
  <si>
    <t>LED185-FIXT</t>
  </si>
  <si>
    <t>LED Fixture, 186W, any fixture shape</t>
  </si>
  <si>
    <t>LED186-FIXT</t>
  </si>
  <si>
    <t>LED Fixture, 187W, any fixture shape</t>
  </si>
  <si>
    <t>LED187-FIXT</t>
  </si>
  <si>
    <t>LED Fixture, 188W, any fixture shape</t>
  </si>
  <si>
    <t>LED188-FIXT</t>
  </si>
  <si>
    <t>LED Fixture, 189W, any fixture shape</t>
  </si>
  <si>
    <t>LED189-FIXT</t>
  </si>
  <si>
    <t>LED Fixture, 190W, any fixture shape</t>
  </si>
  <si>
    <t>LED190-FIXT</t>
  </si>
  <si>
    <t>LED Fixture, 191W, any fixture shape</t>
  </si>
  <si>
    <t>LED191-FIXT</t>
  </si>
  <si>
    <t>LED Fixture, 192W, any fixture shape</t>
  </si>
  <si>
    <t>LED192-FIXT</t>
  </si>
  <si>
    <t>LED Fixture, 193W, any fixture shape</t>
  </si>
  <si>
    <t>LED193-FIXT</t>
  </si>
  <si>
    <t>LED Fixture, 194W, any fixture shape</t>
  </si>
  <si>
    <t>LED194-FIXT</t>
  </si>
  <si>
    <t>LED Fixture, 195W, any fixture shape</t>
  </si>
  <si>
    <t>LED195-FIXT</t>
  </si>
  <si>
    <t>LED Fixture, 196W, any fixture shape</t>
  </si>
  <si>
    <t>LED196-FIXT</t>
  </si>
  <si>
    <t>LED Fixture, 197W, any fixture shape</t>
  </si>
  <si>
    <t>LED197-FIXT</t>
  </si>
  <si>
    <t>LED Fixture, 198W, any fixture shape</t>
  </si>
  <si>
    <t>LED198-FIXT</t>
  </si>
  <si>
    <t>LED Fixture, 199W, any fixture shape</t>
  </si>
  <si>
    <t>LED199-FIXT</t>
  </si>
  <si>
    <t>LED Fixture, 200W, any fixture shape</t>
  </si>
  <si>
    <t>LED200-FIXT</t>
  </si>
  <si>
    <t>LED Fixture, 201W, any fixture shape</t>
  </si>
  <si>
    <t>LED201-FIXT</t>
  </si>
  <si>
    <t>LED Fixture, 202W, any fixture shape</t>
  </si>
  <si>
    <t>LED202-FIXT</t>
  </si>
  <si>
    <t>LED Fixture, 203W, any fixture shape</t>
  </si>
  <si>
    <t>LED203-FIXT</t>
  </si>
  <si>
    <t>LED Fixture, 204W, any fixture shape</t>
  </si>
  <si>
    <t>LED204-FIXT</t>
  </si>
  <si>
    <t>LED Fixture, 205W, any fixture shape</t>
  </si>
  <si>
    <t>LED205-FIXT</t>
  </si>
  <si>
    <t>LED Fixture, 206W, any fixture shape</t>
  </si>
  <si>
    <t>LED206-FIXT</t>
  </si>
  <si>
    <t>LED Fixture, 207W, any fixture shape</t>
  </si>
  <si>
    <t>LED207-FIXT</t>
  </si>
  <si>
    <t>LED Fixture, 208W, any fixture shape</t>
  </si>
  <si>
    <t>LED208-FIXT</t>
  </si>
  <si>
    <t>LED Fixture, 209W, any fixture shape</t>
  </si>
  <si>
    <t>LED209-FIXT</t>
  </si>
  <si>
    <t>LED Fixture, 210W, any fixture shape</t>
  </si>
  <si>
    <t>LED210-FIXT</t>
  </si>
  <si>
    <t>LED Fixture, 211W, any fixture shape</t>
  </si>
  <si>
    <t>LED211-FIXT</t>
  </si>
  <si>
    <t>LED Fixture, 212W, any fixture shape</t>
  </si>
  <si>
    <t>LED212-FIXT</t>
  </si>
  <si>
    <t>LED Fixture, 213W, any fixture shape</t>
  </si>
  <si>
    <t>LED213-FIXT</t>
  </si>
  <si>
    <t>LED Fixture, 214W, any fixture shape</t>
  </si>
  <si>
    <t>LED214-FIXT</t>
  </si>
  <si>
    <t>LED Fixture, 215W, any fixture shape</t>
  </si>
  <si>
    <t>LED215-FIXT</t>
  </si>
  <si>
    <t>LED Fixture, 216W, any fixture shape</t>
  </si>
  <si>
    <t>LED216-FIXT</t>
  </si>
  <si>
    <t>LED Fixture, 217W, any fixture shape</t>
  </si>
  <si>
    <t>LED217-FIXT</t>
  </si>
  <si>
    <t>LED Fixture, 218W, any fixture shape</t>
  </si>
  <si>
    <t>LED218-FIXT</t>
  </si>
  <si>
    <t>LED Fixture, 219W, any fixture shape</t>
  </si>
  <si>
    <t>LED219-FIXT</t>
  </si>
  <si>
    <t>LED Fixture, 220W, any fixture shape</t>
  </si>
  <si>
    <t>LED220-FIXT</t>
  </si>
  <si>
    <t>LED Fixture, 221W, any fixture shape</t>
  </si>
  <si>
    <t>LED221-FIXT</t>
  </si>
  <si>
    <t>LED Fixture, 222W, any fixture shape</t>
  </si>
  <si>
    <t>LED222-FIXT</t>
  </si>
  <si>
    <t>LED Fixture, 223W, any fixture shape</t>
  </si>
  <si>
    <t>LED223-FIXT</t>
  </si>
  <si>
    <t>LED Fixture, 224W, any fixture shape</t>
  </si>
  <si>
    <t>LED224-FIXT</t>
  </si>
  <si>
    <t>LED Fixture, 225W, any fixture shape</t>
  </si>
  <si>
    <t>LED225-FIXT</t>
  </si>
  <si>
    <t>LED Fixture, 226W, any fixture shape</t>
  </si>
  <si>
    <t>LED226-FIXT</t>
  </si>
  <si>
    <t>LED Fixture, 227W, any fixture shape</t>
  </si>
  <si>
    <t>LED227-FIXT</t>
  </si>
  <si>
    <t>LED Fixture, 228W, any fixture shape</t>
  </si>
  <si>
    <t>LED228-FIXT</t>
  </si>
  <si>
    <t>LED Fixture, 229W, any fixture shape</t>
  </si>
  <si>
    <t>LED229-FIXT</t>
  </si>
  <si>
    <t>LED Fixture, 230W, any fixture shape</t>
  </si>
  <si>
    <t>LED230-FIXT</t>
  </si>
  <si>
    <t>LED Fixture, 231W, any fixture shape</t>
  </si>
  <si>
    <t>LED231-FIXT</t>
  </si>
  <si>
    <t>LED Fixture, 232W, any fixture shape</t>
  </si>
  <si>
    <t>LED232-FIXT</t>
  </si>
  <si>
    <t>LED Fixture, 233W, any fixture shape</t>
  </si>
  <si>
    <t>LED233-FIXT</t>
  </si>
  <si>
    <t>LED Fixture, 234W, any fixture shape</t>
  </si>
  <si>
    <t>LED234-FIXT</t>
  </si>
  <si>
    <t>LED Fixture, 235W, any fixture shape</t>
  </si>
  <si>
    <t>LED235-FIXT</t>
  </si>
  <si>
    <t>LED Fixture, 236W, any fixture shape</t>
  </si>
  <si>
    <t>LED236-FIXT</t>
  </si>
  <si>
    <t>LED Fixture, 237W, any fixture shape</t>
  </si>
  <si>
    <t>LED237-FIXT</t>
  </si>
  <si>
    <t>LED Fixture, 238W, any fixture shape</t>
  </si>
  <si>
    <t>LED238-FIXT</t>
  </si>
  <si>
    <t>LED Fixture, 239W, any fixture shape</t>
  </si>
  <si>
    <t>LED239-FIXT</t>
  </si>
  <si>
    <t>LED Fixture, 240W, any fixture shape</t>
  </si>
  <si>
    <t>LED240-FIXT</t>
  </si>
  <si>
    <t>LED Fixture, 241W, any fixture shape</t>
  </si>
  <si>
    <t>LED241-FIXT</t>
  </si>
  <si>
    <t>LED Fixture, 242W, any fixture shape</t>
  </si>
  <si>
    <t>LED242-FIXT</t>
  </si>
  <si>
    <t>LED Fixture, 243W, any fixture shape</t>
  </si>
  <si>
    <t>LED243-FIXT</t>
  </si>
  <si>
    <t>LED Fixture, 244W, any fixture shape</t>
  </si>
  <si>
    <t>LED244-FIXT</t>
  </si>
  <si>
    <t>LED Fixture, 245W, any fixture shape</t>
  </si>
  <si>
    <t>LED245-FIXT</t>
  </si>
  <si>
    <t>LED Fixture, 246W, any fixture shape</t>
  </si>
  <si>
    <t>LED246-FIXT</t>
  </si>
  <si>
    <t>LED Fixture, 247W, any fixture shape</t>
  </si>
  <si>
    <t>LED247-FIXT</t>
  </si>
  <si>
    <t>LED Fixture, 248W, any fixture shape</t>
  </si>
  <si>
    <t>LED248-FIXT</t>
  </si>
  <si>
    <t>LED Fixture, 249W, any fixture shape</t>
  </si>
  <si>
    <t>LED249-FIXT</t>
  </si>
  <si>
    <t>LED Fixture, 250W, any fixture shape</t>
  </si>
  <si>
    <t>LED250-FIXT</t>
  </si>
  <si>
    <t>LED Fixture, 251W, any fixture shape</t>
  </si>
  <si>
    <t>LED251-FIXT</t>
  </si>
  <si>
    <t>LED Fixture, 252W, any fixture shape</t>
  </si>
  <si>
    <t>LED252-FIXT</t>
  </si>
  <si>
    <t>LED Fixture, 253W, any fixture shape</t>
  </si>
  <si>
    <t>LED253-FIXT</t>
  </si>
  <si>
    <t>LED Fixture, 254W, any fixture shape</t>
  </si>
  <si>
    <t>LED254-FIXT</t>
  </si>
  <si>
    <t>LED Fixture, 255W, any fixture shape</t>
  </si>
  <si>
    <t>LED255-FIXT</t>
  </si>
  <si>
    <t>LED Fixture, 256W, any fixture shape</t>
  </si>
  <si>
    <t>LED256-FIXT</t>
  </si>
  <si>
    <t>LED Fixture, 257W, any fixture shape</t>
  </si>
  <si>
    <t>LED257-FIXT</t>
  </si>
  <si>
    <t>LED Fixture, 258W, any fixture shape</t>
  </si>
  <si>
    <t>LED258-FIXT</t>
  </si>
  <si>
    <t>LED Fixture, 259W, any fixture shape</t>
  </si>
  <si>
    <t>LED259-FIXT</t>
  </si>
  <si>
    <t>LED Fixture, 260W, any fixture shape</t>
  </si>
  <si>
    <t>LED260-FIXT</t>
  </si>
  <si>
    <t>LED Fixture, 261W, any fixture shape</t>
  </si>
  <si>
    <t>LED261-FIXT</t>
  </si>
  <si>
    <t>LED Fixture, 262W, any fixture shape</t>
  </si>
  <si>
    <t>LED262-FIXT</t>
  </si>
  <si>
    <t>LED Fixture, 263W, any fixture shape</t>
  </si>
  <si>
    <t>LED263-FIXT</t>
  </si>
  <si>
    <t>LED Fixture, 264W, any fixture shape</t>
  </si>
  <si>
    <t>LED264-FIXT</t>
  </si>
  <si>
    <t>LED Fixture, 265W, any fixture shape</t>
  </si>
  <si>
    <t>LED265-FIXT</t>
  </si>
  <si>
    <t>LED Fixture, 266W, any fixture shape</t>
  </si>
  <si>
    <t>LED266-FIXT</t>
  </si>
  <si>
    <t>LED Fixture, 267W, any fixture shape</t>
  </si>
  <si>
    <t>LED267-FIXT</t>
  </si>
  <si>
    <t>LED Fixture, 268W, any fixture shape</t>
  </si>
  <si>
    <t>LED268-FIXT</t>
  </si>
  <si>
    <t>LED Fixture, 269W, any fixture shape</t>
  </si>
  <si>
    <t>LED269-FIXT</t>
  </si>
  <si>
    <t>LED Fixture, 270W, any fixture shape</t>
  </si>
  <si>
    <t>LED270-FIXT</t>
  </si>
  <si>
    <t>LED Fixture, 271W, any fixture shape</t>
  </si>
  <si>
    <t>LED271-FIXT</t>
  </si>
  <si>
    <t>LED Fixture, 272W, any fixture shape</t>
  </si>
  <si>
    <t>LED272-FIXT</t>
  </si>
  <si>
    <t>LED Fixture, 273W, any fixture shape</t>
  </si>
  <si>
    <t>LED273-FIXT</t>
  </si>
  <si>
    <t>LED Fixture, 274W, any fixture shape</t>
  </si>
  <si>
    <t>LED274-FIXT</t>
  </si>
  <si>
    <t>LED Fixture, 275W, any fixture shape</t>
  </si>
  <si>
    <t>LED275-FIXT</t>
  </si>
  <si>
    <t>LED Fixture, 276W, any fixture shape</t>
  </si>
  <si>
    <t>LED276-FIXT</t>
  </si>
  <si>
    <t>LED Fixture, 277W, any fixture shape</t>
  </si>
  <si>
    <t>LED277-FIXT</t>
  </si>
  <si>
    <t>LED Fixture, 278W, any fixture shape</t>
  </si>
  <si>
    <t>LED278-FIXT</t>
  </si>
  <si>
    <t>LED Fixture, 279W, any fixture shape</t>
  </si>
  <si>
    <t>LED279-FIXT</t>
  </si>
  <si>
    <t>LED Fixture, 280W, any fixture shape</t>
  </si>
  <si>
    <t>LED280-FIXT</t>
  </si>
  <si>
    <t>LED Fixture, 281W, any fixture shape</t>
  </si>
  <si>
    <t>LED281-FIXT</t>
  </si>
  <si>
    <t>LED Fixture, 282W, any fixture shape</t>
  </si>
  <si>
    <t>LED282-FIXT</t>
  </si>
  <si>
    <t>LED Fixture, 283W, any fixture shape</t>
  </si>
  <si>
    <t>LED283-FIXT</t>
  </si>
  <si>
    <t>LED Fixture, 284W, any fixture shape</t>
  </si>
  <si>
    <t>LED284-FIXT</t>
  </si>
  <si>
    <t>LED Fixture, 285W, any fixture shape</t>
  </si>
  <si>
    <t>LED285-FIXT</t>
  </si>
  <si>
    <t>LED Fixture, 286W, any fixture shape</t>
  </si>
  <si>
    <t>LED286-FIXT</t>
  </si>
  <si>
    <t>LED Fixture, 287W, any fixture shape</t>
  </si>
  <si>
    <t>LED287-FIXT</t>
  </si>
  <si>
    <t>LED Fixture, 288W, any fixture shape</t>
  </si>
  <si>
    <t>LED288-FIXT</t>
  </si>
  <si>
    <t>LED Fixture, 289W, any fixture shape</t>
  </si>
  <si>
    <t>LED289-FIXT</t>
  </si>
  <si>
    <t>LED Fixture, 290W, any fixture shape</t>
  </si>
  <si>
    <t>LED290-FIXT</t>
  </si>
  <si>
    <t>LED Fixture, 291W, any fixture shape</t>
  </si>
  <si>
    <t>LED291-FIXT</t>
  </si>
  <si>
    <t>LED Fixture, 292W, any fixture shape</t>
  </si>
  <si>
    <t>LED292-FIXT</t>
  </si>
  <si>
    <t>LED Fixture, 293W, any fixture shape</t>
  </si>
  <si>
    <t>LED293-FIXT</t>
  </si>
  <si>
    <t>LED Fixture, 294W, any fixture shape</t>
  </si>
  <si>
    <t>LED294-FIXT</t>
  </si>
  <si>
    <t>LED Fixture, 295W, any fixture shape</t>
  </si>
  <si>
    <t>LED295-FIXT</t>
  </si>
  <si>
    <t>LED Fixture, 296W, any fixture shape</t>
  </si>
  <si>
    <t>LED296-FIXT</t>
  </si>
  <si>
    <t>LED Fixture, 297W, any fixture shape</t>
  </si>
  <si>
    <t>LED297-FIXT</t>
  </si>
  <si>
    <t>LED Fixture, 298W, any fixture shape</t>
  </si>
  <si>
    <t>LED298-FIXT</t>
  </si>
  <si>
    <t>LED Fixture, 299W, any fixture shape</t>
  </si>
  <si>
    <t>LED299-FIXT</t>
  </si>
  <si>
    <t>LED Fixture, 300W, any fixture shape</t>
  </si>
  <si>
    <t>LED300-FIXT</t>
  </si>
  <si>
    <t>LED Fixture, 301W, any fixture shape</t>
  </si>
  <si>
    <t>LED301-FIXT</t>
  </si>
  <si>
    <t>LED Fixture, 302W, any fixture shape</t>
  </si>
  <si>
    <t>LED302-FIXT</t>
  </si>
  <si>
    <t>LED Fixture, 303W, any fixture shape</t>
  </si>
  <si>
    <t>LED303-FIXT</t>
  </si>
  <si>
    <t>LED Fixture, 304W, any fixture shape</t>
  </si>
  <si>
    <t>LED304-FIXT</t>
  </si>
  <si>
    <t>LED Fixture, 305W, any fixture shape</t>
  </si>
  <si>
    <t>LED305-FIXT</t>
  </si>
  <si>
    <t>LED Fixture, 306W, any fixture shape</t>
  </si>
  <si>
    <t>LED306-FIXT</t>
  </si>
  <si>
    <t>LED Fixture, 307W, any fixture shape</t>
  </si>
  <si>
    <t>LED307-FIXT</t>
  </si>
  <si>
    <t>LED Fixture, 308W, any fixture shape</t>
  </si>
  <si>
    <t>LED308-FIXT</t>
  </si>
  <si>
    <t>LED Fixture, 309W, any fixture shape</t>
  </si>
  <si>
    <t>LED309-FIXT</t>
  </si>
  <si>
    <t>LED Fixture, 310W, any fixture shape</t>
  </si>
  <si>
    <t>LED310-FIXT</t>
  </si>
  <si>
    <t>LED Fixture, 311W, any fixture shape</t>
  </si>
  <si>
    <t>LED311-FIXT</t>
  </si>
  <si>
    <t>LED Fixture, 312W, any fixture shape</t>
  </si>
  <si>
    <t>LED312-FIXT</t>
  </si>
  <si>
    <t>LED Fixture, 313W, any fixture shape</t>
  </si>
  <si>
    <t>LED313-FIXT</t>
  </si>
  <si>
    <t>LED Fixture, 314W, any fixture shape</t>
  </si>
  <si>
    <t>LED314-FIXT</t>
  </si>
  <si>
    <t>LED Fixture, 315W, any fixture shape</t>
  </si>
  <si>
    <t>LED315-FIXT</t>
  </si>
  <si>
    <t>LED Fixture, 316W, any fixture shape</t>
  </si>
  <si>
    <t>LED316-FIXT</t>
  </si>
  <si>
    <t>LED Fixture, 317W, any fixture shape</t>
  </si>
  <si>
    <t>LED317-FIXT</t>
  </si>
  <si>
    <t>LED Fixture, 318W, any fixture shape</t>
  </si>
  <si>
    <t>LED318-FIXT</t>
  </si>
  <si>
    <t>LED Fixture, 319W, any fixture shape</t>
  </si>
  <si>
    <t>LED319-FIXT</t>
  </si>
  <si>
    <t>LED Fixture, 320W, any fixture shape</t>
  </si>
  <si>
    <t>LED320-FIXT</t>
  </si>
  <si>
    <t>LED Fixture, 321W, any fixture shape</t>
  </si>
  <si>
    <t>LED321-FIXT</t>
  </si>
  <si>
    <t>LED Fixture, 322W, any fixture shape</t>
  </si>
  <si>
    <t>LED322-FIXT</t>
  </si>
  <si>
    <t>LED Fixture, 323W, any fixture shape</t>
  </si>
  <si>
    <t>LED323-FIXT</t>
  </si>
  <si>
    <t>LED Fixture, 324W, any fixture shape</t>
  </si>
  <si>
    <t>LED324-FIXT</t>
  </si>
  <si>
    <t>LED Fixture, 325W, any fixture shape</t>
  </si>
  <si>
    <t>LED325-FIXT</t>
  </si>
  <si>
    <t>LED Fixture, 326W, any fixture shape</t>
  </si>
  <si>
    <t>LED326-FIXT</t>
  </si>
  <si>
    <t>LED Fixture, 327W, any fixture shape</t>
  </si>
  <si>
    <t>LED327-FIXT</t>
  </si>
  <si>
    <t>LED Fixture, 328W, any fixture shape</t>
  </si>
  <si>
    <t>LED328-FIXT</t>
  </si>
  <si>
    <t>LED Fixture, 329W, any fixture shape</t>
  </si>
  <si>
    <t>LED329-FIXT</t>
  </si>
  <si>
    <t>LED Fixture, 330W, any fixture shape</t>
  </si>
  <si>
    <t>LED330-FIXT</t>
  </si>
  <si>
    <t>LED Fixture, 331W, any fixture shape</t>
  </si>
  <si>
    <t>LED331-FIXT</t>
  </si>
  <si>
    <t>LED Fixture, 332W, any fixture shape</t>
  </si>
  <si>
    <t>LED332-FIXT</t>
  </si>
  <si>
    <t>LED Fixture, 333W, any fixture shape</t>
  </si>
  <si>
    <t>LED333-FIXT</t>
  </si>
  <si>
    <t>LED Fixture, 334W, any fixture shape</t>
  </si>
  <si>
    <t>LED334-FIXT</t>
  </si>
  <si>
    <t>LED Fixture, 335W, any fixture shape</t>
  </si>
  <si>
    <t>LED335-FIXT</t>
  </si>
  <si>
    <t>LED Fixture, 336W, any fixture shape</t>
  </si>
  <si>
    <t>LED336-FIXT</t>
  </si>
  <si>
    <t>LED Fixture, 337W, any fixture shape</t>
  </si>
  <si>
    <t>LED337-FIXT</t>
  </si>
  <si>
    <t>LED Fixture, 338W, any fixture shape</t>
  </si>
  <si>
    <t>LED338-FIXT</t>
  </si>
  <si>
    <t>LED Fixture, 339W, any fixture shape</t>
  </si>
  <si>
    <t>LED339-FIXT</t>
  </si>
  <si>
    <t>LED Fixture, 340W, any fixture shape</t>
  </si>
  <si>
    <t>LED340-FIXT</t>
  </si>
  <si>
    <t>LED Fixture, 341W, any fixture shape</t>
  </si>
  <si>
    <t>LED341-FIXT</t>
  </si>
  <si>
    <t>LED Fixture, 342W, any fixture shape</t>
  </si>
  <si>
    <t>LED342-FIXT</t>
  </si>
  <si>
    <t>LED Fixture, 343W, any fixture shape</t>
  </si>
  <si>
    <t>LED343-FIXT</t>
  </si>
  <si>
    <t>LED Fixture, 344W, any fixture shape</t>
  </si>
  <si>
    <t>LED344-FIXT</t>
  </si>
  <si>
    <t>LED Fixture, 345W, any fixture shape</t>
  </si>
  <si>
    <t>LED345-FIXT</t>
  </si>
  <si>
    <t>LED Fixture, 346W, any fixture shape</t>
  </si>
  <si>
    <t>LED346-FIXT</t>
  </si>
  <si>
    <t>LED Fixture, 347W, any fixture shape</t>
  </si>
  <si>
    <t>LED347-FIXT</t>
  </si>
  <si>
    <t>LED Fixture, 348W, any fixture shape</t>
  </si>
  <si>
    <t>LED348-FIXT</t>
  </si>
  <si>
    <t>LED Fixture, 349W, any fixture shape</t>
  </si>
  <si>
    <t>LED349-FIXT</t>
  </si>
  <si>
    <t>LED Fixture, 350W, any fixture shape</t>
  </si>
  <si>
    <t>LED350-FIXT</t>
  </si>
  <si>
    <t>LED Fixture, 351W, any fixture shape</t>
  </si>
  <si>
    <t>LED351-FIXT</t>
  </si>
  <si>
    <t>LED Fixture, 352W, any fixture shape</t>
  </si>
  <si>
    <t>LED352-FIXT</t>
  </si>
  <si>
    <t>LED Fixture, 353W, any fixture shape</t>
  </si>
  <si>
    <t>LED353-FIXT</t>
  </si>
  <si>
    <t>LED Fixture, 354W, any fixture shape</t>
  </si>
  <si>
    <t>LED354-FIXT</t>
  </si>
  <si>
    <t>LED Fixture, 355W, any fixture shape</t>
  </si>
  <si>
    <t>LED355-FIXT</t>
  </si>
  <si>
    <t>LED Fixture, 356W, any fixture shape</t>
  </si>
  <si>
    <t>LED356-FIXT</t>
  </si>
  <si>
    <t>LED Fixture, 357W, any fixture shape</t>
  </si>
  <si>
    <t>LED357-FIXT</t>
  </si>
  <si>
    <t>LED Fixture, 358W, any fixture shape</t>
  </si>
  <si>
    <t>LED358-FIXT</t>
  </si>
  <si>
    <t>LED Fixture, 359W, any fixture shape</t>
  </si>
  <si>
    <t>LED359-FIXT</t>
  </si>
  <si>
    <t>LED Fixture, 360W, any fixture shape</t>
  </si>
  <si>
    <t>LED360-FIXT</t>
  </si>
  <si>
    <t>LED Fixture, 361W, any fixture shape</t>
  </si>
  <si>
    <t>LED361-FIXT</t>
  </si>
  <si>
    <t>LED Fixture, 362W, any fixture shape</t>
  </si>
  <si>
    <t>LED362-FIXT</t>
  </si>
  <si>
    <t>LED Fixture, 363W, any fixture shape</t>
  </si>
  <si>
    <t>LED363-FIXT</t>
  </si>
  <si>
    <t>LED Fixture, 364W, any fixture shape</t>
  </si>
  <si>
    <t>LED364-FIXT</t>
  </si>
  <si>
    <t>LED Fixture, 365W, any fixture shape</t>
  </si>
  <si>
    <t>LED365-FIXT</t>
  </si>
  <si>
    <t>LED Fixture, 366W, any fixture shape</t>
  </si>
  <si>
    <t>LED366-FIXT</t>
  </si>
  <si>
    <t>LED Fixture, 367W, any fixture shape</t>
  </si>
  <si>
    <t>LED367-FIXT</t>
  </si>
  <si>
    <t>LED Fixture, 368W, any fixture shape</t>
  </si>
  <si>
    <t>LED368-FIXT</t>
  </si>
  <si>
    <t>LED Fixture, 369W, any fixture shape</t>
  </si>
  <si>
    <t>LED369-FIXT</t>
  </si>
  <si>
    <t>LED Fixture, 370W, any fixture shape</t>
  </si>
  <si>
    <t>LED370-FIXT</t>
  </si>
  <si>
    <t>LED Fixture, 371W, any fixture shape</t>
  </si>
  <si>
    <t>LED371-FIXT</t>
  </si>
  <si>
    <t>LED Fixture, 372W, any fixture shape</t>
  </si>
  <si>
    <t>LED372-FIXT</t>
  </si>
  <si>
    <t>LED Fixture, 373W, any fixture shape</t>
  </si>
  <si>
    <t>LED373-FIXT</t>
  </si>
  <si>
    <t>LED Fixture, 374W, any fixture shape</t>
  </si>
  <si>
    <t>LED374-FIXT</t>
  </si>
  <si>
    <t>LED Fixture, 375W, any fixture shape</t>
  </si>
  <si>
    <t>LED375-FIXT</t>
  </si>
  <si>
    <t>LED Fixture, 376W, any fixture shape</t>
  </si>
  <si>
    <t>LED376-FIXT</t>
  </si>
  <si>
    <t>LED Fixture, 377W, any fixture shape</t>
  </si>
  <si>
    <t>LED377-FIXT</t>
  </si>
  <si>
    <t>LED Fixture, 378W, any fixture shape</t>
  </si>
  <si>
    <t>LED378-FIXT</t>
  </si>
  <si>
    <t>LED Fixture, 379W, any fixture shape</t>
  </si>
  <si>
    <t>LED379-FIXT</t>
  </si>
  <si>
    <t>LED Fixture, 380W, any fixture shape</t>
  </si>
  <si>
    <t>LED380-FIXT</t>
  </si>
  <si>
    <t>LED Fixture, 381W, any fixture shape</t>
  </si>
  <si>
    <t>LED381-FIXT</t>
  </si>
  <si>
    <t>LED Fixture, 382W, any fixture shape</t>
  </si>
  <si>
    <t>LED382-FIXT</t>
  </si>
  <si>
    <t>LED Fixture, 383W, any fixture shape</t>
  </si>
  <si>
    <t>LED383-FIXT</t>
  </si>
  <si>
    <t>LED Fixture, 384W, any fixture shape</t>
  </si>
  <si>
    <t>LED384-FIXT</t>
  </si>
  <si>
    <t>LED Fixture, 385W, any fixture shape</t>
  </si>
  <si>
    <t>LED385-FIXT</t>
  </si>
  <si>
    <t>LED Fixture, 386W, any fixture shape</t>
  </si>
  <si>
    <t>LED386-FIXT</t>
  </si>
  <si>
    <t>LED Fixture, 387W, any fixture shape</t>
  </si>
  <si>
    <t>LED387-FIXT</t>
  </si>
  <si>
    <t>LED Fixture, 388W, any fixture shape</t>
  </si>
  <si>
    <t>LED388-FIXT</t>
  </si>
  <si>
    <t>LED Fixture, 389W, any fixture shape</t>
  </si>
  <si>
    <t>LED389-FIXT</t>
  </si>
  <si>
    <t>LED Fixture, 390W, any fixture shape</t>
  </si>
  <si>
    <t>LED390-FIXT</t>
  </si>
  <si>
    <t>LED Fixture, 391W, any fixture shape</t>
  </si>
  <si>
    <t>LED391-FIXT</t>
  </si>
  <si>
    <t>LED Fixture, 392W, any fixture shape</t>
  </si>
  <si>
    <t>LED392-FIXT</t>
  </si>
  <si>
    <t>LED Fixture, 393W, any fixture shape</t>
  </si>
  <si>
    <t>LED393-FIXT</t>
  </si>
  <si>
    <t>LED Fixture, 394W, any fixture shape</t>
  </si>
  <si>
    <t>LED394-FIXT</t>
  </si>
  <si>
    <t>LED Fixture, 395W, any fixture shape</t>
  </si>
  <si>
    <t>LED395-FIXT</t>
  </si>
  <si>
    <t>LED Fixture, 396W, any fixture shape</t>
  </si>
  <si>
    <t>LED396-FIXT</t>
  </si>
  <si>
    <t>LED Fixture, 397W, any fixture shape</t>
  </si>
  <si>
    <t>LED397-FIXT</t>
  </si>
  <si>
    <t>LED Fixture, 398W, any fixture shape</t>
  </si>
  <si>
    <t>LED398-FIXT</t>
  </si>
  <si>
    <t>LED Fixture, 399W, any fixture shape</t>
  </si>
  <si>
    <t>LED399-FIXT</t>
  </si>
  <si>
    <t>LED Fixture, 400W, any fixture shape</t>
  </si>
  <si>
    <t>LED400-FIXT</t>
  </si>
  <si>
    <t>LED Fixture, 401W, any fixture shape</t>
  </si>
  <si>
    <t>LED401-FIXT</t>
  </si>
  <si>
    <t>LED Fixture, 402W, any fixture shape</t>
  </si>
  <si>
    <t>LED402-FIXT</t>
  </si>
  <si>
    <t>LED Fixture, 403W, any fixture shape</t>
  </si>
  <si>
    <t>LED403-FIXT</t>
  </si>
  <si>
    <t>LED Fixture, 404W, any fixture shape</t>
  </si>
  <si>
    <t>LED404-FIXT</t>
  </si>
  <si>
    <t>LED Fixture, 405W, any fixture shape</t>
  </si>
  <si>
    <t>LED405-FIXT</t>
  </si>
  <si>
    <t>LED Fixture, 406W, any fixture shape</t>
  </si>
  <si>
    <t>LED406-FIXT</t>
  </si>
  <si>
    <t>LED Fixture, 407W, any fixture shape</t>
  </si>
  <si>
    <t>LED407-FIXT</t>
  </si>
  <si>
    <t>LED Fixture, 408W, any fixture shape</t>
  </si>
  <si>
    <t>LED408-FIXT</t>
  </si>
  <si>
    <t>LED Fixture, 409W, any fixture shape</t>
  </si>
  <si>
    <t>LED409-FIXT</t>
  </si>
  <si>
    <t>LED Fixture, 410W, any fixture shape</t>
  </si>
  <si>
    <t>LED410-FIXT</t>
  </si>
  <si>
    <t>LED Fixture, 411W, any fixture shape</t>
  </si>
  <si>
    <t>LED411-FIXT</t>
  </si>
  <si>
    <t>LED Fixture, 412W, any fixture shape</t>
  </si>
  <si>
    <t>LED412-FIXT</t>
  </si>
  <si>
    <t>LED Fixture, 413W, any fixture shape</t>
  </si>
  <si>
    <t>LED413-FIXT</t>
  </si>
  <si>
    <t>LED Fixture, 414W, any fixture shape</t>
  </si>
  <si>
    <t>LED414-FIXT</t>
  </si>
  <si>
    <t>LED Fixture, 415W, any fixture shape</t>
  </si>
  <si>
    <t>LED415-FIXT</t>
  </si>
  <si>
    <t>LED Fixture, 416W, any fixture shape</t>
  </si>
  <si>
    <t>LED416-FIXT</t>
  </si>
  <si>
    <t>LED Fixture, 417W, any fixture shape</t>
  </si>
  <si>
    <t>LED417-FIXT</t>
  </si>
  <si>
    <t>LED Fixture, 418W, any fixture shape</t>
  </si>
  <si>
    <t>LED418-FIXT</t>
  </si>
  <si>
    <t>LED Fixture, 419W, any fixture shape</t>
  </si>
  <si>
    <t>LED419-FIXT</t>
  </si>
  <si>
    <t>LED Fixture, 420W, any fixture shape</t>
  </si>
  <si>
    <t>LED420-FIXT</t>
  </si>
  <si>
    <t>LED Fixture, 421W, any fixture shape</t>
  </si>
  <si>
    <t>LED421-FIXT</t>
  </si>
  <si>
    <t>LED Fixture, 422W, any fixture shape</t>
  </si>
  <si>
    <t>LED422-FIXT</t>
  </si>
  <si>
    <t>LED Fixture, 423W, any fixture shape</t>
  </si>
  <si>
    <t>LED423-FIXT</t>
  </si>
  <si>
    <t>LED Fixture, 424W, any fixture shape</t>
  </si>
  <si>
    <t>LED424-FIXT</t>
  </si>
  <si>
    <t>LED Fixture, 425W, any fixture shape</t>
  </si>
  <si>
    <t>LED425-FIXT</t>
  </si>
  <si>
    <t>LED Fixture, 426W, any fixture shape</t>
  </si>
  <si>
    <t>LED426-FIXT</t>
  </si>
  <si>
    <t>LED Fixture, 427W, any fixture shape</t>
  </si>
  <si>
    <t>LED427-FIXT</t>
  </si>
  <si>
    <t>LED Fixture, 428W, any fixture shape</t>
  </si>
  <si>
    <t>LED428-FIXT</t>
  </si>
  <si>
    <t>LED Fixture, 429W, any fixture shape</t>
  </si>
  <si>
    <t>LED429-FIXT</t>
  </si>
  <si>
    <t>LED Fixture, 430W, any fixture shape</t>
  </si>
  <si>
    <t>LED430-FIXT</t>
  </si>
  <si>
    <t>LED Fixture, 431W, any fixture shape</t>
  </si>
  <si>
    <t>LED431-FIXT</t>
  </si>
  <si>
    <t>LED Fixture, 432W, any fixture shape</t>
  </si>
  <si>
    <t>LED432-FIXT</t>
  </si>
  <si>
    <t>LED Fixture, 433W, any fixture shape</t>
  </si>
  <si>
    <t>LED433-FIXT</t>
  </si>
  <si>
    <t>LED Fixture, 434W, any fixture shape</t>
  </si>
  <si>
    <t>LED434-FIXT</t>
  </si>
  <si>
    <t>LED Fixture, 435W, any fixture shape</t>
  </si>
  <si>
    <t>LED435-FIXT</t>
  </si>
  <si>
    <t>LED Fixture, 436W, any fixture shape</t>
  </si>
  <si>
    <t>LED436-FIXT</t>
  </si>
  <si>
    <t>LED Fixture, 437W, any fixture shape</t>
  </si>
  <si>
    <t>LED437-FIXT</t>
  </si>
  <si>
    <t>LED Fixture, 438W, any fixture shape</t>
  </si>
  <si>
    <t>LED438-FIXT</t>
  </si>
  <si>
    <t>LED Fixture, 439W, any fixture shape</t>
  </si>
  <si>
    <t>LED439-FIXT</t>
  </si>
  <si>
    <t>LED Fixture, 440W, any fixture shape</t>
  </si>
  <si>
    <t>LED440-FIXT</t>
  </si>
  <si>
    <t>LED Fixture, 441W, any fixture shape</t>
  </si>
  <si>
    <t>LED441-FIXT</t>
  </si>
  <si>
    <t>LED Fixture, 442W, any fixture shape</t>
  </si>
  <si>
    <t>LED442-FIXT</t>
  </si>
  <si>
    <t>LED Fixture, 443W, any fixture shape</t>
  </si>
  <si>
    <t>LED443-FIXT</t>
  </si>
  <si>
    <t>LED Fixture, 444W, any fixture shape</t>
  </si>
  <si>
    <t>LED444-FIXT</t>
  </si>
  <si>
    <t>LED Fixture, 445W, any fixture shape</t>
  </si>
  <si>
    <t>LED445-FIXT</t>
  </si>
  <si>
    <t>LED Fixture, 446W, any fixture shape</t>
  </si>
  <si>
    <t>LED446-FIXT</t>
  </si>
  <si>
    <t>LED Fixture, 447W, any fixture shape</t>
  </si>
  <si>
    <t>LED447-FIXT</t>
  </si>
  <si>
    <t>LED Fixture, 448W, any fixture shape</t>
  </si>
  <si>
    <t>LED448-FIXT</t>
  </si>
  <si>
    <t>LED Fixture, 449W, any fixture shape</t>
  </si>
  <si>
    <t>LED449-FIXT</t>
  </si>
  <si>
    <t>LED Fixture, 450W, any fixture shape</t>
  </si>
  <si>
    <t>LED450-FIXT</t>
  </si>
  <si>
    <t>LED Fixture, 451W, any fixture shape</t>
  </si>
  <si>
    <t>LED451-FIXT</t>
  </si>
  <si>
    <t>LED Fixture, 452W, any fixture shape</t>
  </si>
  <si>
    <t>LED452-FIXT</t>
  </si>
  <si>
    <t>LED Fixture, 453W, any fixture shape</t>
  </si>
  <si>
    <t>LED453-FIXT</t>
  </si>
  <si>
    <t>LED Fixture, 454W, any fixture shape</t>
  </si>
  <si>
    <t>LED454-FIXT</t>
  </si>
  <si>
    <t>LED Fixture, 455W, any fixture shape</t>
  </si>
  <si>
    <t>LED455-FIXT</t>
  </si>
  <si>
    <t>LED Fixture, 456W, any fixture shape</t>
  </si>
  <si>
    <t>LED456-FIXT</t>
  </si>
  <si>
    <t>LED Fixture, 457W, any fixture shape</t>
  </si>
  <si>
    <t>LED457-FIXT</t>
  </si>
  <si>
    <t>LED Fixture, 458W, any fixture shape</t>
  </si>
  <si>
    <t>LED458-FIXT</t>
  </si>
  <si>
    <t>LED Fixture, 459W, any fixture shape</t>
  </si>
  <si>
    <t>LED459-FIXT</t>
  </si>
  <si>
    <t>LED Fixture, 460W, any fixture shape</t>
  </si>
  <si>
    <t>LED460-FIXT</t>
  </si>
  <si>
    <t>LED Fixture, 461W, any fixture shape</t>
  </si>
  <si>
    <t>LED461-FIXT</t>
  </si>
  <si>
    <t>LED Fixture, 462W, any fixture shape</t>
  </si>
  <si>
    <t>LED462-FIXT</t>
  </si>
  <si>
    <t>LED Fixture, 463W, any fixture shape</t>
  </si>
  <si>
    <t>LED463-FIXT</t>
  </si>
  <si>
    <t>LED Fixture, 464W, any fixture shape</t>
  </si>
  <si>
    <t>LED464-FIXT</t>
  </si>
  <si>
    <t>LED Fixture, 465W, any fixture shape</t>
  </si>
  <si>
    <t>LED465-FIXT</t>
  </si>
  <si>
    <t>LED Fixture, 466W, any fixture shape</t>
  </si>
  <si>
    <t>LED466-FIXT</t>
  </si>
  <si>
    <t>LED Fixture, 467W, any fixture shape</t>
  </si>
  <si>
    <t>LED467-FIXT</t>
  </si>
  <si>
    <t>LED Fixture, 468W, any fixture shape</t>
  </si>
  <si>
    <t>LED468-FIXT</t>
  </si>
  <si>
    <t>LED Fixture, 469W, any fixture shape</t>
  </si>
  <si>
    <t>LED469-FIXT</t>
  </si>
  <si>
    <t>LED Fixture, 470W, any fixture shape</t>
  </si>
  <si>
    <t>LED470-FIXT</t>
  </si>
  <si>
    <t>LED Fixture, 471W, any fixture shape</t>
  </si>
  <si>
    <t>LED471-FIXT</t>
  </si>
  <si>
    <t>LED Fixture, 472W, any fixture shape</t>
  </si>
  <si>
    <t>LED472-FIXT</t>
  </si>
  <si>
    <t>LED Fixture, 473W, any fixture shape</t>
  </si>
  <si>
    <t>LED473-FIXT</t>
  </si>
  <si>
    <t>LED Fixture, 474W, any fixture shape</t>
  </si>
  <si>
    <t>LED474-FIXT</t>
  </si>
  <si>
    <t>LED Fixture, 475W, any fixture shape</t>
  </si>
  <si>
    <t>LED475-FIXT</t>
  </si>
  <si>
    <t>LED Fixture, 476W, any fixture shape</t>
  </si>
  <si>
    <t>LED476-FIXT</t>
  </si>
  <si>
    <t>LED Fixture, 477W, any fixture shape</t>
  </si>
  <si>
    <t>LED477-FIXT</t>
  </si>
  <si>
    <t>LED Fixture, 478W, any fixture shape</t>
  </si>
  <si>
    <t>LED478-FIXT</t>
  </si>
  <si>
    <t>LED Fixture, 479W, any fixture shape</t>
  </si>
  <si>
    <t>LED479-FIXT</t>
  </si>
  <si>
    <t>LED Fixture, 480W, any fixture shape</t>
  </si>
  <si>
    <t>LED480-FIXT</t>
  </si>
  <si>
    <t>LED Fixture, 481W, any fixture shape</t>
  </si>
  <si>
    <t>LED481-FIXT</t>
  </si>
  <si>
    <t>LED Fixture, 482W, any fixture shape</t>
  </si>
  <si>
    <t>LED482-FIXT</t>
  </si>
  <si>
    <t>LED Fixture, 483W, any fixture shape</t>
  </si>
  <si>
    <t>LED483-FIXT</t>
  </si>
  <si>
    <t>LED Fixture, 484W, any fixture shape</t>
  </si>
  <si>
    <t>LED484-FIXT</t>
  </si>
  <si>
    <t>LED Fixture, 485W, any fixture shape</t>
  </si>
  <si>
    <t>LED485-FIXT</t>
  </si>
  <si>
    <t>LED Fixture, 486W, any fixture shape</t>
  </si>
  <si>
    <t>LED486-FIXT</t>
  </si>
  <si>
    <t>LED Fixture, 487W, any fixture shape</t>
  </si>
  <si>
    <t>LED487-FIXT</t>
  </si>
  <si>
    <t>LED Fixture, 488W, any fixture shape</t>
  </si>
  <si>
    <t>LED488-FIXT</t>
  </si>
  <si>
    <t>LED Fixture, 489W, any fixture shape</t>
  </si>
  <si>
    <t>LED489-FIXT</t>
  </si>
  <si>
    <t>LED Fixture, 490W, any fixture shape</t>
  </si>
  <si>
    <t>LED490-FIXT</t>
  </si>
  <si>
    <t>LED Fixture, 491W, any fixture shape</t>
  </si>
  <si>
    <t>LED491-FIXT</t>
  </si>
  <si>
    <t>LED Fixture, 492W, any fixture shape</t>
  </si>
  <si>
    <t>LED492-FIXT</t>
  </si>
  <si>
    <t>LED Fixture, 493W, any fixture shape</t>
  </si>
  <si>
    <t>LED493-FIXT</t>
  </si>
  <si>
    <t>LED Fixture, 494W, any fixture shape</t>
  </si>
  <si>
    <t>LED494-FIXT</t>
  </si>
  <si>
    <t>LED Fixture, 495W, any fixture shape</t>
  </si>
  <si>
    <t>LED495-FIXT</t>
  </si>
  <si>
    <t>LED Fixture, 496W, any fixture shape</t>
  </si>
  <si>
    <t>LED496-FIXT</t>
  </si>
  <si>
    <t>LED Fixture, 497W, any fixture shape</t>
  </si>
  <si>
    <t>LED497-FIXT</t>
  </si>
  <si>
    <t>LED Fixture, 498W, any fixture shape</t>
  </si>
  <si>
    <t>LED498-FIXT</t>
  </si>
  <si>
    <t>LED Fixture, 499W, any fixture shape</t>
  </si>
  <si>
    <t>LED499-FIXT</t>
  </si>
  <si>
    <t>LED Fixture, 500W, any fixture shape</t>
  </si>
  <si>
    <t>LED500-FIXT</t>
  </si>
  <si>
    <t>LED Fixture, 505W, any fixture shape</t>
  </si>
  <si>
    <t>LED505-FIXT</t>
  </si>
  <si>
    <t>LED Fixture, 510W, any fixture shape</t>
  </si>
  <si>
    <t>LED510-FIXT</t>
  </si>
  <si>
    <t>LED Fixture, 515W, any fixture shape</t>
  </si>
  <si>
    <t>LED515-FIXT</t>
  </si>
  <si>
    <t>LED Fixture, 520W, any fixture shape</t>
  </si>
  <si>
    <t>LED520-FIXT</t>
  </si>
  <si>
    <t>LED Fixture, 525W, any fixture shape</t>
  </si>
  <si>
    <t>LED525-FIXT</t>
  </si>
  <si>
    <t>LED Fixture, 530W, any fixture shape</t>
  </si>
  <si>
    <t>LED530-FIXT</t>
  </si>
  <si>
    <t>LED Fixture, 535W, any fixture shape</t>
  </si>
  <si>
    <t>LED535-FIXT</t>
  </si>
  <si>
    <t>LED Fixture, 540W, any fixture shape</t>
  </si>
  <si>
    <t>LED540-FIXT</t>
  </si>
  <si>
    <t>LED Fixture, 545W, any fixture shape</t>
  </si>
  <si>
    <t>LED545-FIXT</t>
  </si>
  <si>
    <t>LED Fixture, 550W, any fixture shape</t>
  </si>
  <si>
    <t>LED550-FIXT</t>
  </si>
  <si>
    <t>Exit Fixture</t>
  </si>
  <si>
    <t>Mag-STD</t>
  </si>
  <si>
    <t>EXIT Compact Fluorescent, (1) 5W lamp</t>
  </si>
  <si>
    <t>ECF5/1</t>
  </si>
  <si>
    <t>EXIT Compact Fluorescent, (2) 5W lamps</t>
  </si>
  <si>
    <t>ECF5/2</t>
  </si>
  <si>
    <t>EXIT Compact Fluorescent, (1) 6W lamp</t>
  </si>
  <si>
    <t>ECF6/1</t>
  </si>
  <si>
    <t>EXIT Compact Fluorescent, (2) 6W lamps, (2) ballasts</t>
  </si>
  <si>
    <t>ECF6/2</t>
  </si>
  <si>
    <t>EXIT Compact Fluorescent, (1) 7W lamp</t>
  </si>
  <si>
    <t>ECF7/1</t>
  </si>
  <si>
    <t>EXIT Compact Fluorescent, (2) 7W lamps</t>
  </si>
  <si>
    <t>ECF7/2</t>
  </si>
  <si>
    <t>EXIT Compact Fluorescent, (1) 9W lamp</t>
  </si>
  <si>
    <t>ECF9/1</t>
  </si>
  <si>
    <t>EXIT Compact Fluorescent, (2) 9W lamps</t>
  </si>
  <si>
    <t>ECF9/2</t>
  </si>
  <si>
    <t>EXIT Sub-miniature T-1 Fluorescent, (2) lamps</t>
  </si>
  <si>
    <t>EF2/2</t>
  </si>
  <si>
    <t>EXIT Miniature Bi-pin Fluorescent, (1) 6W lamp, (1) ballast</t>
  </si>
  <si>
    <t>EF6/1</t>
  </si>
  <si>
    <t>EXIT Miniature Bi-pin Fluorescent, (2) 6W lamps, (2) ballasts</t>
  </si>
  <si>
    <t>EF6/2</t>
  </si>
  <si>
    <t>EXIT T5 Fluorescent, (1) 8W lamp</t>
  </si>
  <si>
    <t>EF8/1</t>
  </si>
  <si>
    <t>EXIT T5 Fluorescent, (2) 8W lamps</t>
  </si>
  <si>
    <t>EF8/2</t>
  </si>
  <si>
    <t>EXIT Incandescent, (1) 5W lamp</t>
  </si>
  <si>
    <t>EI5/1</t>
  </si>
  <si>
    <t>EXIT Incandescent, (2) 5W lamps</t>
  </si>
  <si>
    <t>EI5/2</t>
  </si>
  <si>
    <t>EXIT Tungsten, (1) 7.5 W lamp</t>
  </si>
  <si>
    <t>EI7.5/1</t>
  </si>
  <si>
    <t>EXIT Tungsten, (2) 7.5 W lamps</t>
  </si>
  <si>
    <t>EI7.5/2</t>
  </si>
  <si>
    <t>EXIT Incandescent, (2) 10W lamps</t>
  </si>
  <si>
    <t>EI10/2</t>
  </si>
  <si>
    <t>EXIT Incandescent, (1) 15W lamp</t>
  </si>
  <si>
    <t>EI15/1</t>
  </si>
  <si>
    <t>EXIT Incandescent, (2) 15W lamps</t>
  </si>
  <si>
    <t>EI15/2</t>
  </si>
  <si>
    <t>EXIT Incandescent, (1) 20W lamp</t>
  </si>
  <si>
    <t>EI20/1</t>
  </si>
  <si>
    <t>EXIT Incandescent, (2) 20W lamps</t>
  </si>
  <si>
    <t>EI20/2</t>
  </si>
  <si>
    <t>EXIT Incandescent, (1) 25W lamp</t>
  </si>
  <si>
    <t>EI25/1</t>
  </si>
  <si>
    <t>EXIT Incandescent, (2) 25W lamps</t>
  </si>
  <si>
    <t>EI25/2</t>
  </si>
  <si>
    <t>EXIT Incandescent, (1) 34W lamp</t>
  </si>
  <si>
    <t>EI34/1</t>
  </si>
  <si>
    <t>EXIT Incandescent, (2) 34W lamps</t>
  </si>
  <si>
    <t>EI34/2</t>
  </si>
  <si>
    <t>EXIT Incandescent, (1) 40W lamp</t>
  </si>
  <si>
    <t>EI40/1</t>
  </si>
  <si>
    <t>EXIT Incandescent, (2) 40W lamps</t>
  </si>
  <si>
    <t>EI40/2</t>
  </si>
  <si>
    <t>EXIT Incandescent, (2) 50W lamps</t>
  </si>
  <si>
    <t>EI50/2</t>
  </si>
  <si>
    <t>EXIT Incandescent, (1) 6 W lamp</t>
  </si>
  <si>
    <t>EI6/1</t>
  </si>
  <si>
    <t>EXIT Incandescent, (2) 6 W lamps</t>
  </si>
  <si>
    <t>EI6/2</t>
  </si>
  <si>
    <t>EXIT Light Emitting Diode, (1) 2W lamp, Single Sided</t>
  </si>
  <si>
    <t>ELED2/1</t>
  </si>
  <si>
    <t>EXIT Light Emitting Diode, (2) 2W lamps, Dual Sided</t>
  </si>
  <si>
    <t>ELED2/2</t>
  </si>
  <si>
    <t>EXIT Light Emitting Diode, (1) 3W lamp, Single Sided</t>
  </si>
  <si>
    <t>ELED3</t>
  </si>
  <si>
    <t>EXIT Photoluminescent, 0W</t>
  </si>
  <si>
    <t>EP</t>
  </si>
  <si>
    <t>T5</t>
  </si>
  <si>
    <t>STD</t>
  </si>
  <si>
    <t>Fluorescent, (2) 21", Preheat T5 lamps, (1) Magnetic ballasts with integral starter, (BF=0.80)</t>
  </si>
  <si>
    <t>F22PS</t>
  </si>
  <si>
    <t>Fluorescent, (4) 21", Preheat T5 lamps, (2) Magnetic ballasts with integral starter (BF=0.80)</t>
  </si>
  <si>
    <t>F24PS</t>
  </si>
  <si>
    <t>PRS Elec.</t>
  </si>
  <si>
    <t>Fluorescent (1) 22" (563mm) T-5 lamp; (1) Prog.Start or PRS Ballast, HLO (.95 &lt; BF &lt; 1.1)</t>
  </si>
  <si>
    <t>F21GPL-H</t>
  </si>
  <si>
    <t>Fluorescent (2) 22" (563mm) T-5 lamps; (1) Prog.Start or PRS Ballast, HLO (.95 &lt; BF &lt; 1.1)</t>
  </si>
  <si>
    <t>F22GPL-H</t>
  </si>
  <si>
    <t>Fluorescent (3) 22" (563mm)T-5 lamps; (1) Prog.Start or PRS Ballast, HLO (.95 &lt; BF &lt; 1.1)</t>
  </si>
  <si>
    <t>F23GPL-H</t>
  </si>
  <si>
    <t>Fluorescent (3) 22" (563mm)T-5 lamps; (2) Prog.Start or PRS Ballasts, HLO (.95 &lt; BF &lt; 1.1)</t>
  </si>
  <si>
    <t>F23GPL/2-H</t>
  </si>
  <si>
    <t>Fluorescent (4) 22" (563mm)T-5 lamps; (2) Prog.Start or PRS Ballasts, HLO (.95 &lt; BF &lt; 1.1)</t>
  </si>
  <si>
    <t>F24GPL/2-H</t>
  </si>
  <si>
    <t>Fluorescent (1) 34" (863mm) T-5 lamp; (1) Prog.Start or PRS Ballast, HLO (.95 &lt; BF &lt; 1.1)</t>
  </si>
  <si>
    <t>F31GPL-H</t>
  </si>
  <si>
    <t>Fluorescent (2) 34" (863mm) T-5 lamps; (1) Prog.Start or PRS Ballast, HLO (.95 &lt; BF &lt; 1.1)</t>
  </si>
  <si>
    <t>F32GPL-H</t>
  </si>
  <si>
    <t>Fluorescent (3) 34" (863mm)T-5 lamps; (2) Prog.Start or PRS Ballasts, HLO (.95 &lt; BF &lt; 1.1)</t>
  </si>
  <si>
    <t>F33GPL/2-H</t>
  </si>
  <si>
    <t>Fluorescent (4) 34" (863mm)T-5 lamps; (2) Prog.Start or PRS Ballasts, HLO (.95 &lt; BF &lt; 1.1)</t>
  </si>
  <si>
    <t>F34GPL/2-H</t>
  </si>
  <si>
    <t>T5 HO</t>
  </si>
  <si>
    <t>Fluorescent (1) 22" (563mm) T-5 HO lamp; (1) Prog.Start or PRS Ballast, HLO (.95 &lt; BF &lt; 1.1)</t>
  </si>
  <si>
    <t>F21GPHL-H</t>
  </si>
  <si>
    <t>Fluorescent (2) 22" (563mm) T-5 HO lamps; (1) Prog.Start or PRS Ballast, HLO (.95 &lt; BF &lt; 1.1)</t>
  </si>
  <si>
    <t>F22GPHL-H</t>
  </si>
  <si>
    <t>Fluorescent (3) 22" (563mm)T-5 HO lamps; (2) Prog.Start or PRS Ballasts, HLO (.95 &lt; BF &lt; 1.1)</t>
  </si>
  <si>
    <t>F23GPHL/2-H</t>
  </si>
  <si>
    <t>Fluorescent (4) 22" (563mm)T-5 HO lamps; (2) Prog.Start or PRS Ballasts, HLO (.95 &lt; BF &lt; 1.1)</t>
  </si>
  <si>
    <t>F24GPHL/2-H</t>
  </si>
  <si>
    <t>Fluorescent (4) 22" (563mm) T-5 HO lamps; (3) Prog.Start or PRS Ballasts, HLO (.95 &lt; BF &lt; 1.1)</t>
  </si>
  <si>
    <t>F26GPHL/3-H</t>
  </si>
  <si>
    <t>Fluorescent (1) 45.8" (1163mm) T-5 lamp; (1) PRS Electronic Ballast, HLO (.95 &lt; BF &lt; 1.1)</t>
  </si>
  <si>
    <t>F41GPL-H</t>
  </si>
  <si>
    <t>Fluorescent (1) 45.8" (1163mm) T-5 lamp; Tandem 2-lamp PRS Ballast,HLO (.95 &lt; BF &lt; 1.1)</t>
  </si>
  <si>
    <t>F41GPL/T2-H</t>
  </si>
  <si>
    <t>Fluorescent (2) 45.8" (1163mm) T-5 lamps; (1) PRS Electronic Ballast, HLO (.95 &lt; BF &lt; 1.1)</t>
  </si>
  <si>
    <t>F42GPL-H</t>
  </si>
  <si>
    <t>Fluorescent (3) 45.8" (1163mm)T-5 lamps; (2) PRS Electronic Ballasts, HLO (.95 &lt; BF &lt; 1.1)</t>
  </si>
  <si>
    <t>F43GPL/2-H</t>
  </si>
  <si>
    <t>Fluorescent (4) 45.8" (1163mm)T-5 lamps; (2) PRS Electronic Ballasts, HLO (.95 &lt; BF &lt; 1.1)</t>
  </si>
  <si>
    <t>F44GPL/2-H</t>
  </si>
  <si>
    <t>Fluorescent (1) 57.6" (1463mm) T-5 lamp; (1) Prog.Start or PRS Ballast, HLO (.95 &lt; BF &lt; 1.1)</t>
  </si>
  <si>
    <t>F51GPL-H</t>
  </si>
  <si>
    <t>Fluorescent (2) 57.6" (1463mm) T-5 lamps; (1) Prog.Start or PRS Ballast, HLO (.95 &lt; BF &lt; 1.1)</t>
  </si>
  <si>
    <t>F52GPL-H</t>
  </si>
  <si>
    <t>Fluorescent (3) 57.6" (1463mm)T-5 lamps; (2) Prog.Start or PRS Ballasts, HLO (.95 &lt; BF &lt; 1.1)</t>
  </si>
  <si>
    <t>F53GPL/2-H</t>
  </si>
  <si>
    <t>Fluorescent (4) 57.6" (1463mm)T-5 lamps; (2) Prog.Start or PRS Ballasts, HLO (.95 &lt; BF &lt; 1.1)</t>
  </si>
  <si>
    <t>F54GPL/2-H</t>
  </si>
  <si>
    <t>Fluorescent (1) 34" (863mm) T-5 HO lamp; (1) Prog.Start or PRS Ballast, HLO (.95 &lt; BF &lt; 1.1)</t>
  </si>
  <si>
    <t>F31GPHL-H</t>
  </si>
  <si>
    <t>Fluorescent (2) 34" (863mm) T-5 HO lamps; (1) Prog.Start or PRS Ballast, HLO (.95 &lt; BF &lt; 1.1)</t>
  </si>
  <si>
    <t>F32GPHL-H</t>
  </si>
  <si>
    <t>Fluorescent (3) 34" (863mm)T-5 HO lamps; (2) Prog.Start or PRS Ballasts, HLO (.95 &lt; BF &lt; 1.1)</t>
  </si>
  <si>
    <t>F33GPHL/2-H</t>
  </si>
  <si>
    <t>Fluorescent (4) 34" (863mm)T-5 HO lamps; (2) Prog.Start or PRS Ballasts, HLO (.95 &lt; BF &lt; 1.1)</t>
  </si>
  <si>
    <t>F34GPHL/2-H</t>
  </si>
  <si>
    <t>Fluorescent, (6) 45.8" T-5 HO reduced-wattage lamps, (2) PRS Electronic Ballasts, HLO (.95 &lt; BF &lt; 1.1)</t>
  </si>
  <si>
    <t>F46GPRL/2-H</t>
  </si>
  <si>
    <t>Fluorescent, (6) 45.8" T-5 HO reduced-wattage lamps, (3) PRS Electronic Ballasts, HLO (.95 &lt; BF &lt; 1.1)</t>
  </si>
  <si>
    <t>F46GPRL/3-H</t>
  </si>
  <si>
    <t>Fluorescent (1) 45.8" T-5 HO lamp, (1) PRS Electronic Ballast, HLO (.95 &lt; BF &lt; 1.1)</t>
  </si>
  <si>
    <t>F41GPHL-H</t>
  </si>
  <si>
    <t>Fluorescent (1) 45.8" T-5 HO lamp, Tandem 2-lamp PRS Ballast, HLO (.95 &lt; BF &lt; 1.1)</t>
  </si>
  <si>
    <t>F41GPHL/T2-H</t>
  </si>
  <si>
    <t>Fluorescent (2) 45.8" T-5 HO lamps, (1) PRS Electronic Ballast, HLO (.95 &lt; BF &lt; 1.1)</t>
  </si>
  <si>
    <t>F42GPHL-H</t>
  </si>
  <si>
    <t>Fluorescent, (3) 45.8" T-5 HO lamps, (1) PRS Electronic Ballast, HLO (.95 &lt; BF &lt; 1.1)</t>
  </si>
  <si>
    <t>F43GPHL-H</t>
  </si>
  <si>
    <t>Fluorescent (3) 45.8" T-5 HO lamps, (2) PRS Electronic Ballasts, HLO (.95 &lt; BF &lt; 1.1)</t>
  </si>
  <si>
    <t>F43GPHL/2-H</t>
  </si>
  <si>
    <t>Fluorescent, (4) 45.8" T-5 HO lamps, (1) PRS Electronic Ballast, HLO (.95 &lt; BF &lt; 1.1)</t>
  </si>
  <si>
    <t>F44GPHL-H</t>
  </si>
  <si>
    <t>Fluorescent (4) 45.8" T-5 HO lamps, (2) PRS Electronic Ballasts, HLO (.95 &lt; BF &lt; 1.1)</t>
  </si>
  <si>
    <t>F44GPHL/2-H</t>
  </si>
  <si>
    <t>Fluorescent (5) 45.8" T-5 HO lamps, (2) PRS Electronic Ballast, HLO (.95 &lt; BF &lt; 1.1)</t>
  </si>
  <si>
    <t>F45GPHL/2-H</t>
  </si>
  <si>
    <t>47-51</t>
  </si>
  <si>
    <t>Fluorescent (5) 45.2" T-5 HO reduced-wattage lamp, (2) PRS Electronic Ballast, HLO (.95 &lt; BF &lt; 1.1)</t>
  </si>
  <si>
    <t>F45GPRL/2-H</t>
  </si>
  <si>
    <t>Fluorescent, (6) 45.8" T-5 HO lamps, (2) PRS Electronic Ballasts, HLO (.95 &lt; BF &lt; 1.1)</t>
  </si>
  <si>
    <t>F46GPHL/2-H</t>
  </si>
  <si>
    <t>Fluorescent, (6) 45.8" T-5 HO lamps, (3) PRS Electronic Ballasts, HLO (.95 &lt; BF &lt; 1.1)</t>
  </si>
  <si>
    <t>F46GPHL/3-H</t>
  </si>
  <si>
    <t>Fluorescent, (8) 45.8" T-5 HO lamps, (2) PRS Electronic Ballasts, HLO (.95 &lt; BF &lt; 1.1)</t>
  </si>
  <si>
    <t>F48GPHL/2-H</t>
  </si>
  <si>
    <t>Fluorescent, (8) 45.8" T-5 HO lamps, (4) PRS Electronic Ballasts, HLO (.95 &lt; BF &lt; 1.1)</t>
  </si>
  <si>
    <t>F48GPHL/4-H</t>
  </si>
  <si>
    <t>Fluorescent, (10) 45.8" T-5 HO lamps, (3) PRS Electronic Ballasts, HLO (.95 &lt; BF &lt; 1.1)</t>
  </si>
  <si>
    <t>F410GPHL/3-H</t>
  </si>
  <si>
    <t>Fluorescent, (10) 45.8" T-5 HO lamps, (5) PRS Electronic Ballasts, HLO (.95 &lt; BF &lt; 1.1)</t>
  </si>
  <si>
    <t>F410GPHL/5-H</t>
  </si>
  <si>
    <t>Fluorescent, (12) 45.8" T-5 HO lamps, (3) PRS Electronic Ballasts, HLO (.95 &lt; BF &lt; 1.1)</t>
  </si>
  <si>
    <t>F412GPHL/3-H</t>
  </si>
  <si>
    <t>Fluorescent, (12) 45.8" T-5 HO lamps, (6) PRS Electronic Ballasts, HLO (.95 &lt; BF &lt; 1.1)</t>
  </si>
  <si>
    <t>F412GPHL/6-H</t>
  </si>
  <si>
    <t>Fluorescent (1) 45.2" T-5 HO reduced-wattage lamp, (1) PRS Electronic Ballast, HLO (.95 &lt; BF &lt; 1.1)</t>
  </si>
  <si>
    <t>F41GPRL-H</t>
  </si>
  <si>
    <t>Fluorescent (2) 45.2" T-5 HO reduced-wattage lamp, (1) PRS Electronic Ballast, HLO (.95 &lt; BF &lt; 1.1)</t>
  </si>
  <si>
    <t>F42GPRL-H</t>
  </si>
  <si>
    <t>Fluorescent (3) 45.2" T-5 HO reduced-wattage lamp, (1) PRS Electronic Ballast, HLO (.95 &lt; BF &lt; 1.1)</t>
  </si>
  <si>
    <t>F43GPRL-H</t>
  </si>
  <si>
    <t>Fluorescent (4) 45.2" T-5 HO reduced-wattage lamp, (1) PRS Electronic Ballast, HLO (.95 &lt; BF &lt; 1.1)</t>
  </si>
  <si>
    <t>F44GPRL-H</t>
  </si>
  <si>
    <t>Fluorescent, (8) 45.8" T-5 HO reduced-wattage lamps, (2) PRS Electronic Ballasts, HLO (.95 &lt; BF &lt; 1.1)</t>
  </si>
  <si>
    <t>F48GPRL/2-H</t>
  </si>
  <si>
    <t>Fluorescent, (8) 45.8" T-5 HO reduced-wattage lamps, (4) PRS Electronic Ballasts, HLO (.95 &lt; BF &lt; 1.1)</t>
  </si>
  <si>
    <t>F48GPRL/4-H</t>
  </si>
  <si>
    <t>Fluorescent, (10) 45.8" T-5 HO reduced-wattage lamps, (3) PRS Electronic Ballast, HLO (.95 &lt; BF &lt; 1.1)</t>
  </si>
  <si>
    <t>F410GPRL/3-H</t>
  </si>
  <si>
    <t>Fluorescent, (10) 45.8" T-5 HO reduced-wattage lamps, (5) PRS Electronic Ballast, HLO (.95 &lt; BF &lt; 1.1)</t>
  </si>
  <si>
    <t>F410GPRL/5-H</t>
  </si>
  <si>
    <t>Fluorescent, (12) 45.8" T-5 HO reduced-wattage lamps, (3) PRS Electronic Ballasts, HLO (.95 &lt; BF &lt; 1.1)</t>
  </si>
  <si>
    <t>F412GPRL/3-H</t>
  </si>
  <si>
    <t>Fluorescent, (12) 45.8" T-5 HO reduced-wattage lamps, (6) PRS Electronic Ballasts, HLO (.95 &lt; BF &lt; 1.1)</t>
  </si>
  <si>
    <t>F412GPRL/6-H</t>
  </si>
  <si>
    <t>Fluorescent (1) 57.6" (1463mm) T-5 HO lamp; (1) Prog.Start or PRS Ballast, HLO (.95 &lt; BF &lt; 1.1)</t>
  </si>
  <si>
    <t>F51GPHL-H</t>
  </si>
  <si>
    <t>Fluorescent (2) 57.6" (1463mm) T-5 HO lamps; (1) Prog.Start or PRS Ballast, HLO (.95 &lt; BF &lt; 1.1)</t>
  </si>
  <si>
    <t>F52GPHL/2-H</t>
  </si>
  <si>
    <t>T8</t>
  </si>
  <si>
    <t>Fluorescent, (1) 18" T-8 lamp</t>
  </si>
  <si>
    <t>F1.51LS</t>
  </si>
  <si>
    <t>Fluorescent, (2) 18" T-8 lamps</t>
  </si>
  <si>
    <t>F1.52LS</t>
  </si>
  <si>
    <t>Fluorescent (1) 24" T-8 lamp, Prog. Start or PRS Ballast, NLO (0.85 &lt; BF &lt; 0.95)</t>
  </si>
  <si>
    <t>F21GLL</t>
  </si>
  <si>
    <t>Fluorescent, (1) 24", T-8 lamp, Instant Start Ballast, NLO (0.85 &lt; BF &lt; 0.95)</t>
  </si>
  <si>
    <t>F21ILL</t>
  </si>
  <si>
    <t>Fluorescent, (1) 24", T-8 lamp, Instant Start Ballast, RLO (BF&lt; 0.85)</t>
  </si>
  <si>
    <t>F21ILL-R</t>
  </si>
  <si>
    <t>Fluorescent, (1) 24", T-8 lamp, Tandem 2-lamp IS Ballast, NLO (0.85 &lt; BF &lt; 0.95)</t>
  </si>
  <si>
    <t>F21ILL/T2</t>
  </si>
  <si>
    <t>Fluorescent, (1) 24", T-8 lamp, Tandem 2-lamp IS Ballast, RLO (BF&lt; 0.85)</t>
  </si>
  <si>
    <t>F21ILL/T2-R</t>
  </si>
  <si>
    <t>Fluorescent, (1) 24", T-8 lamp, Tandem 3-lamp IS Ballast, NLO (0.85 &lt; BF &lt; 0.95)</t>
  </si>
  <si>
    <t>F21ILL/T3</t>
  </si>
  <si>
    <t>Fluorescent, (1) 24", T-8 lamp, Tandem 3-lamp IS Ballast, RLO (BF&lt; 0.85)</t>
  </si>
  <si>
    <t>F21ILL/T3-R</t>
  </si>
  <si>
    <t>Fluorescent, (1) 24", T-8 lamp, Tandem 4-lamp IS Ballast, NLO (0.85 &lt; BF &lt; 0.95)</t>
  </si>
  <si>
    <t>F21ILL/T4</t>
  </si>
  <si>
    <t>Fluorescent, (1) 24", T-8 lamp, Tandem 4-lamp IS Ballast, RLO (BF&lt; 0.85)</t>
  </si>
  <si>
    <t>F21ILL/T4-R</t>
  </si>
  <si>
    <t>F21ILU</t>
  </si>
  <si>
    <t>F21ILU-R</t>
  </si>
  <si>
    <t>Fluorescent, (1) 24", T-8 lamps, Instant Start Ballast, VHLO ( BF &gt; 1.1)</t>
  </si>
  <si>
    <t>F21ILU-V</t>
  </si>
  <si>
    <t>Fluorescent, (1) 24", T-8 lamp, Rapid Start Ballast, NLO (0.85 &lt; BF &lt; 0.95)</t>
  </si>
  <si>
    <t>F21LL</t>
  </si>
  <si>
    <t>Fluorescent, (1) 24", T-8 lamp, Rapid Start Ballast, RLO (BF&lt; 0.85)</t>
  </si>
  <si>
    <t>F21LL-R</t>
  </si>
  <si>
    <t>Fluorescent, (1) 24", T-8 lamp, Tandem 2-Lamp RS Ballast, NLO (0.85 &lt; BF &lt; 0.95)</t>
  </si>
  <si>
    <t>F21LL/T2</t>
  </si>
  <si>
    <t>Fluorescent, (1) 24", T-8 lamp, Tandem 3-Lamp RS Ballast, NLO (0.85 &lt; BF &lt; 0.95)</t>
  </si>
  <si>
    <t>F21LL/T3</t>
  </si>
  <si>
    <t>Fluorescent, (1) 24", T-8 lamp, Tandem 4-Lamp RS Ballast, NLO (0.85 &lt; BF &lt; 0.95)</t>
  </si>
  <si>
    <t>F21LL/T4</t>
  </si>
  <si>
    <t>Fluorescent, (1) 24", T-8 lamp, Standard Ballast</t>
  </si>
  <si>
    <t>F21SL</t>
  </si>
  <si>
    <t>Fluorescent (2) 24" T-8 lamp, Prog. Start or PRS Ballast, NLO (0.85 &lt; BF &lt; 0.95)</t>
  </si>
  <si>
    <t>F22GLL</t>
  </si>
  <si>
    <t>Fluorescent, (2) 24", T-8 lamps, Instant Start Ballast, NLO (0.85 &lt; BF &lt; 0.95)</t>
  </si>
  <si>
    <t>F22ILL</t>
  </si>
  <si>
    <t>Fluorescent, (2) 24", T-8 lamps, Instant Start Ballast, RLO (BF&lt; 0.85)</t>
  </si>
  <si>
    <t>F22ILL-R</t>
  </si>
  <si>
    <t>Fluorescent, (2) 24", T-8 lamps, Tandem 4-lamp IS Ballast, NLO (0.85 &lt; BF &lt; 0.95)</t>
  </si>
  <si>
    <t>F22ILL/T4</t>
  </si>
  <si>
    <t>Fluorescent, (2) 24", T-8 lamps, Tandem 4-lamp IS Ballast, RLO (BF&lt;.85)</t>
  </si>
  <si>
    <t>F22ILL/T4-R</t>
  </si>
  <si>
    <t>F22ILU</t>
  </si>
  <si>
    <t>F22ILU-R</t>
  </si>
  <si>
    <t>Fluorescent, (2) 24", T-8 lamps, Instant Start Ballast, VHLO ( BF &gt; 1.1)</t>
  </si>
  <si>
    <t>F22ILU-V</t>
  </si>
  <si>
    <t>Fluorescent, (2) 24", T-8 lamps, Tandem 4-lamp IS Ballast, RLO (BF&lt; 0.85)</t>
  </si>
  <si>
    <t>F22ILU/T4-R</t>
  </si>
  <si>
    <t>Fluorescent, (2) 24", T-8 lamps, Rapid Start Ballast, NLO (0.85 &lt; BF &lt; 0.95)</t>
  </si>
  <si>
    <t>F22LL</t>
  </si>
  <si>
    <t>Fluorescent, (2) 24", T-8 lamps, Rapid Start Ballast, RLO (BF&lt; 0.85)</t>
  </si>
  <si>
    <t>F22LL-R</t>
  </si>
  <si>
    <t>Fluorescent, (2) 24", T-8 lamps, Tandem 4-lamp RS Ballast, NLO (0.85 &lt; BF &lt; 0.95)</t>
  </si>
  <si>
    <t>F22LL/T4</t>
  </si>
  <si>
    <t>Fluorescent (3) 24" T-8 lamp, Prog. Start or PRS Ballast, NLO (0.85 &lt; BF &lt; 0.95)</t>
  </si>
  <si>
    <t>F23GLL</t>
  </si>
  <si>
    <t>Fluorescent, (3) 24", T-8 lamps, Instant Start Ballast, NLO (0.85 &lt; BF &lt; 0.95)</t>
  </si>
  <si>
    <t>F23ILL</t>
  </si>
  <si>
    <t>Fluorescent, (3) 24", T-8 lamps, Instant Start Ballast, HLO (0.95 &lt; BF &lt; 1.1)</t>
  </si>
  <si>
    <t>F23ILL-H</t>
  </si>
  <si>
    <t>Fluorescent, (3) 24", T-8 lamps, Instant Start Ballast, RLO (BF&lt; 0.85)</t>
  </si>
  <si>
    <t>F23ILL-R</t>
  </si>
  <si>
    <t>F23ILU</t>
  </si>
  <si>
    <t>F23ILU-R</t>
  </si>
  <si>
    <t>Fluorescent, (3) 24", T-8 lamps, Instant Start Ballast, VHLO ( BF &gt; 1.1)</t>
  </si>
  <si>
    <t>F23ILU-V</t>
  </si>
  <si>
    <t>Fluorescent, (3) 24", T-8 lamps, Rapid Start Ballast, NLO (0.85 &lt; BF &lt; 0.95)</t>
  </si>
  <si>
    <t>F23LL</t>
  </si>
  <si>
    <t>Fluorescent, (3) 24", T-8 lamps, Rapid Start Ballast, RLO (BF&lt; 0.85)</t>
  </si>
  <si>
    <t>F23LL-R</t>
  </si>
  <si>
    <t>Fluorescent (4) 24" T-8 lamp, Prog. Start or PRS Ballast, NLO (0.85 &lt; BF &lt; 0.95)</t>
  </si>
  <si>
    <t>F24GLL</t>
  </si>
  <si>
    <t>Fluorescent, (4) 24", T-8 lamps, Instant Start Ballast, NLO (0.85 &lt; BF &lt; 0.95)</t>
  </si>
  <si>
    <t>F24ILL</t>
  </si>
  <si>
    <t>Fluorescent, (4) 24", T-8 lamps, Instant Start Ballast, RLO (BF&lt; 0.85)</t>
  </si>
  <si>
    <t>F24ILL-R</t>
  </si>
  <si>
    <t>F24ILU</t>
  </si>
  <si>
    <t>F24ILU-R</t>
  </si>
  <si>
    <t>Fluorescent, (4) 24", T-8 lamps, Rapid Start Ballast, NLO (0.85 &lt; BF &lt; 0.95)</t>
  </si>
  <si>
    <t>F24LL</t>
  </si>
  <si>
    <t>Fluorescent, (4) 24", T-8 lamps, Rapid Start Ballast, RLO (BF&lt; 0.85)</t>
  </si>
  <si>
    <t>F24LL-R</t>
  </si>
  <si>
    <t>Fluorescent, (1) 36", T-8 lamp, Instant Start Ballast, NLO (0.85 &lt; BF &lt; 0.95)</t>
  </si>
  <si>
    <t>F31ILL</t>
  </si>
  <si>
    <t>Fluorescent, (1) 36", T-8 lamp, Instant Start Ballast, HLO (0.95 &lt; BF &lt; 1.1)</t>
  </si>
  <si>
    <t>F31ILL-H</t>
  </si>
  <si>
    <t>Fluorescent, (1) 36", T-8 lamp, Instant Start Ballast, RLO (BF&lt; 0.85)</t>
  </si>
  <si>
    <t>F31ILL-R</t>
  </si>
  <si>
    <t>Fluorescent, (1) 36", T-8 lamp, Tandem 2-lamp IS Ballast, NLO (0.85 &lt; BF &lt; 0.95)</t>
  </si>
  <si>
    <t>F31ILL/T2</t>
  </si>
  <si>
    <t>Fluorescent, (1) 36", T-8 lamp, Tandem 3-lamp IS Ballast, 1 lead capped, HLO (0.95 &lt; BF &lt; 1.1)</t>
  </si>
  <si>
    <t>F31ILL/T2-H</t>
  </si>
  <si>
    <t>Fluorescent, (1) 36", T-8 lamp, Tandem 2-lamp IS Ballast, RLO (BF&lt; 0.85)</t>
  </si>
  <si>
    <t>F31ILL/T2-R</t>
  </si>
  <si>
    <t>Fluorescent, (1) 36", T-8 lamp, Tandem 3-lamp IS Ballast, NLO (0.85 &lt; BF &lt; 0.95)</t>
  </si>
  <si>
    <t>F31ILL/T3</t>
  </si>
  <si>
    <t>Fluorescent, (1) 36", T-8 lamp, Tandem 3-lamp IS Ballast, RLO (BF&lt; 0.85)</t>
  </si>
  <si>
    <t>F31ILL/T3-R</t>
  </si>
  <si>
    <t>Fluorescent, (1) 36", T-8 lamp, Tandem 4-lamp IS Ballast, NLO (0.85 &lt; BF &lt; 0.95)</t>
  </si>
  <si>
    <t>F31ILL/T4</t>
  </si>
  <si>
    <t>Fluorescent, (1) 36", T-8 lamp, Tandem 4-lamp IS Ballast, RLO (BF&lt; 0.85)</t>
  </si>
  <si>
    <t>F31ILL/T4-R</t>
  </si>
  <si>
    <t>F31ILU</t>
  </si>
  <si>
    <t>F31ILU-R</t>
  </si>
  <si>
    <t>F31ILU/T2</t>
  </si>
  <si>
    <t>F31ILU/T2-R</t>
  </si>
  <si>
    <t>F31ILU/T3-R</t>
  </si>
  <si>
    <t>F31ILU/T4-R</t>
  </si>
  <si>
    <t>Fluorescent, (1) 36", T-8 lamp, Rapid Start Ballast, NLO (0.85 &lt; BF &lt; 0.95)</t>
  </si>
  <si>
    <t>F31LL</t>
  </si>
  <si>
    <t>Fluorescent, (1) 36", T-8 lamp, Rapid Start Ballast, HLO (0.95 &lt; BF &lt; 1.1)</t>
  </si>
  <si>
    <t>F31LL-H</t>
  </si>
  <si>
    <t>Fluorescent, (1) 36", T-8 lamp, Rapid Start Ballast, RLO (BF&lt; 0.85)</t>
  </si>
  <si>
    <t>F31LL-R</t>
  </si>
  <si>
    <t>Fluorescent, (1) 36", T-8 lamp, Tandem 2-lamp RS Ballast, NLO (0.85 &lt; BF &lt; 0.95)</t>
  </si>
  <si>
    <t>F31LL/T2</t>
  </si>
  <si>
    <t>Fluorescent, (1) 36", T-8 lamp, Tandem 3-lamp RS Ballast, NLO (0.85 &lt; BF &lt; 0.95)</t>
  </si>
  <si>
    <t>F31LL/T3</t>
  </si>
  <si>
    <t>Fluorescent, (1) 36", T-8 lamp, Tandem 4-lamp RS Ballast, NLO (0.85 &lt; BF &lt; 0.95)</t>
  </si>
  <si>
    <t>F31LL/T4</t>
  </si>
  <si>
    <t>Fluorescent, (2) 36", T-8 lamps, Instant Start Ballast, NLO (0.85 &lt; BF &lt; 0.95)</t>
  </si>
  <si>
    <t>F32ILL</t>
  </si>
  <si>
    <t>Fluorescent, (2) 36", T-8 lamps, Instant Start Ballast, HLO (0.95 &lt; BF &lt; 1.1)</t>
  </si>
  <si>
    <t>F32ILL-H</t>
  </si>
  <si>
    <t>Fluorescent, (2) 36", T-8 lamps, Instant Start Ballast, RLO (BF&lt; 0.85)</t>
  </si>
  <si>
    <t>F32ILL-R</t>
  </si>
  <si>
    <t>Fluorescent, (2) 36", T-8 lamps, (2) Instant Start Ballasts, RLO (BF&lt; 0.85)</t>
  </si>
  <si>
    <t>F32ILL/2-R</t>
  </si>
  <si>
    <t>Fluorescent, (2) 36", T-8 lamps, Tandem 4-lamp IS Ballast, NLO (0.85 &lt; BF &lt; 0.95)</t>
  </si>
  <si>
    <t>F32ILL/T4</t>
  </si>
  <si>
    <t>Fluorescent, (2) 36", T-8 lamps, Tandem 4-lamp IS Ballast, RLO (BF&lt; 0.85)</t>
  </si>
  <si>
    <t>F32ILL/T4-R</t>
  </si>
  <si>
    <t>F32ILU</t>
  </si>
  <si>
    <t>F32ILU-R</t>
  </si>
  <si>
    <t>F32ILU/T4-R</t>
  </si>
  <si>
    <t>Fluorescent, (2) 36", T-8 lamps, Rapid Start Ballast, NLO (0.85 &lt; BF &lt; 0.95)</t>
  </si>
  <si>
    <t>F32LL</t>
  </si>
  <si>
    <t>Fluorescent, (2) 36", T-8 lamps, Rapid Start Ballast, HLO (0.95 &lt; BF &lt; 1.1)</t>
  </si>
  <si>
    <t>F32LL-H</t>
  </si>
  <si>
    <t>Fluorescent, (2) 36", T-8 lamps, Rapid Start Ballast, RLO (BF&lt; 0.85)</t>
  </si>
  <si>
    <t>F32LL-R</t>
  </si>
  <si>
    <t>Fluorescent, (2) 36", T-8 lamps, Rapid Start Ballast, VHLO (BF &gt; 1.1)</t>
  </si>
  <si>
    <t>F32LL-V</t>
  </si>
  <si>
    <t>Fluorescent, (2) 36", T-8 lamps, Tandem 4-lamp RS Ballast, NLO (0.85 &lt; BF &lt; 0.95)</t>
  </si>
  <si>
    <t>F32LL/T4</t>
  </si>
  <si>
    <t>Fluorescent, (3) 36", T-8 lamps, Instant Start Ballast, NLO (0.85 &lt; BF &lt; 0.95)</t>
  </si>
  <si>
    <t>F33ILL</t>
  </si>
  <si>
    <t>Fluorescent, (3) 36", T-8 lamps, Instant Start Ballast, RLO (BF&lt; 0.85)</t>
  </si>
  <si>
    <t>F33ILL-R</t>
  </si>
  <si>
    <t>F33ILU</t>
  </si>
  <si>
    <t>F33ILU-R</t>
  </si>
  <si>
    <t>Fluorescent, (3) 36", T-8 lamps, Rapid Start Ballast, NLO (0.85 &lt; BF &lt; 0.95)</t>
  </si>
  <si>
    <t>F33LL</t>
  </si>
  <si>
    <t>Fluorescent, (3) 36", T-8 lamps, Rapid Start Ballast, RLO (BF&lt; 0.85)</t>
  </si>
  <si>
    <t>F33LL-R</t>
  </si>
  <si>
    <t>Fluorescent, (4) 36", T-8 lamps, Instant Start Ballast, NLO (0.85 &lt; BF &lt; 0.95)</t>
  </si>
  <si>
    <t>F34ILL</t>
  </si>
  <si>
    <t>Fluorescent, (4) 36", T-8 lamps, Instant Start Ballast, RLO (BF&lt; 0.85)</t>
  </si>
  <si>
    <t>F34ILL-R</t>
  </si>
  <si>
    <t>Fluorescent, (4) 36", T-8 lamps, (2) Instant Start Ballasts, RLO (BF&lt; 0.85)</t>
  </si>
  <si>
    <t>F34ILL/2-R</t>
  </si>
  <si>
    <t>F34ILU</t>
  </si>
  <si>
    <t>F34ILU-R</t>
  </si>
  <si>
    <t>Fluorescent, (4) 36", T-8 lamps, Rapid Start Ballast, NLO (0.85 &lt; BF &lt; 0.95)</t>
  </si>
  <si>
    <t>F34LL</t>
  </si>
  <si>
    <t>Fluorescent, (4) 36", T-8 lamps, Rapid Start Ballast, RLO (BF&lt; 0.85)</t>
  </si>
  <si>
    <t>F34LL-R</t>
  </si>
  <si>
    <t>Fluorescent, (6) 36", T-8 lamps, (2) Instant Start Ballasts, NLO (0.85 &lt; BF &lt; 0.95)</t>
  </si>
  <si>
    <t>F36ILL/2</t>
  </si>
  <si>
    <t>Fluorescent, (6) 36", T-8 lamps, (2) Instant Start Ballasts, RLO (BF&lt; 0.85)</t>
  </si>
  <si>
    <t>F36ILL/2-R</t>
  </si>
  <si>
    <t>Fluorescent, (2) 48", T-8 lamps, Prog. Start or PRS Ballast, VHLO (BF &gt; 1.1)</t>
  </si>
  <si>
    <t>F42GRLL-V</t>
  </si>
  <si>
    <t>Fluorescent, (3) 48", T-8 lamps, Prog. Start or PRS Ballast, VHLO (BF &gt; 1.1)</t>
  </si>
  <si>
    <t>F43GRLL-V</t>
  </si>
  <si>
    <t>Fluorescent (1) 48" T-8 lamp, Prog. Start or PRS Ballast, NLO (0.85 &lt; BF &lt; 0.95)</t>
  </si>
  <si>
    <t>F41GLL</t>
  </si>
  <si>
    <t>Fluorescent (1) 48" T-8 lamp, Prog. Start or PRS Ballast, RLO (BF&lt; 0.85)</t>
  </si>
  <si>
    <t>F41GLL-R</t>
  </si>
  <si>
    <t>Fluorescent, (1) 48", T-8 lamp, Instant Start Ballast, NLO (0.85 &lt; BF &lt; 0.95)</t>
  </si>
  <si>
    <t>F41ILL</t>
  </si>
  <si>
    <t>Fluorescent, (1) 48", T-8 lamp, Instant Start Ballast, HLO (0.95 &lt; BF &lt; 1.1)</t>
  </si>
  <si>
    <t>F41ILL-H</t>
  </si>
  <si>
    <t>Fluorescent, (1) 48", T-8 lamp, Instant Start Ballast, RLO (BF&lt; 0.85)</t>
  </si>
  <si>
    <t>F41ILL-R</t>
  </si>
  <si>
    <t>Fluorescent, (1) 48", T-8 lamp, Tandem 2-lamp IS Ballast, NLO (0.85 &lt; BF &lt; 0.95)</t>
  </si>
  <si>
    <t>F41ILL/T2</t>
  </si>
  <si>
    <t>Fluorescent, (1) 48", T-8 lamp, Tandem 3-lamp IS Ballast, 1 lead capped, HLO (0.95 &lt; BF &lt; 1.1)</t>
  </si>
  <si>
    <t>F41ILL/T2-H</t>
  </si>
  <si>
    <t>Fluorescent, (1) 48", T-8 lamp, Tandem 2-lamp IS Ballast, RLO (BF&lt; 0.85)</t>
  </si>
  <si>
    <t>F41ILL/T2-R</t>
  </si>
  <si>
    <t>Fluorescent, (1) 48", T-8 lamp, Tandem 3-lamp IS Ballast, NLO (0.85 &lt; BF &lt; 0.95)</t>
  </si>
  <si>
    <t>F41ILL/T3</t>
  </si>
  <si>
    <t>Fluorescent, (1) 48", T-8 lamp, Tandem 4-lamp IS Ballast, 1 lead capped, HLO (0.95 &lt; BF &lt; 1.1)</t>
  </si>
  <si>
    <t>F41ILL/T3-H</t>
  </si>
  <si>
    <t>Fluorescent, (1) 48", T-8 lamp, Tandem 3-lamp IS Ballast, RLO (BF&lt; 0.85)</t>
  </si>
  <si>
    <t>F41ILL/T3-R</t>
  </si>
  <si>
    <t>Fluorescent, (1) 48", T-8 lamp, Tandem 4-lamp IS Ballast, NLO (0.85 &lt; BF &lt; 0.95)</t>
  </si>
  <si>
    <t>F41ILL/T4</t>
  </si>
  <si>
    <t>Fluorescent, (1) 48", T-8 lamp, Tandem 4-lamp IS Ballast, RLO (BF&lt; 0.85)</t>
  </si>
  <si>
    <t>F41ILL/T4-R</t>
  </si>
  <si>
    <t>F41ILU</t>
  </si>
  <si>
    <t>F41ILU-H</t>
  </si>
  <si>
    <t>F41ILU-R</t>
  </si>
  <si>
    <t>F41ILU/T2</t>
  </si>
  <si>
    <t>F41ILU/T2-R</t>
  </si>
  <si>
    <t>F41ILU/T3</t>
  </si>
  <si>
    <t>F41ILU/T3-R</t>
  </si>
  <si>
    <t>F41ILU/T4</t>
  </si>
  <si>
    <t>F41ILU/T4-R</t>
  </si>
  <si>
    <t>Mag-ES</t>
  </si>
  <si>
    <t>Fluorescent, (1) 48", T-8 lamp</t>
  </si>
  <si>
    <t>F41LE</t>
  </si>
  <si>
    <t>Fluorescent, (1) 48", T-8 lamp, Rapid Start Ballast, NLO (0.85 &lt; BF &lt; 0.95)</t>
  </si>
  <si>
    <t>F41LL</t>
  </si>
  <si>
    <t>Fluorescent, (1) 48", T-8 lamp, Rapid Start Ballast, HLO (0.95 &lt; BF &lt; 1.1)</t>
  </si>
  <si>
    <t>F41LL-H</t>
  </si>
  <si>
    <t>Fluorescent, (1) 48", T-8 lamp, Rapid Start Ballast, RLO (BF&lt; 0.85)</t>
  </si>
  <si>
    <t>F41LL-R</t>
  </si>
  <si>
    <t>Fluorescent, (1) 48", T-8 lamp, Tandem 2-lamp RS Ballast, NLO (0.85 &lt; BF &lt; 0.95)</t>
  </si>
  <si>
    <t>F41LL/T2</t>
  </si>
  <si>
    <t>Fluorescent, (1) 48", T-8 lamp, Tandem 3-lamp RS Ballast, 1 lead capped, HLO (0.95 &lt; BF &lt; 1.1)</t>
  </si>
  <si>
    <t>F41LL/T2-H</t>
  </si>
  <si>
    <t>Fluorescent, (1) 48", T-8 lamp, Tandem 2-lamp RS Ballast, RLO (BF&lt; 0.85)</t>
  </si>
  <si>
    <t>F41LL/T2-R</t>
  </si>
  <si>
    <t>Fluorescent, (1) 48", T-8 lamp, Tandem 3-lamp RS Ballast, NLO (0.85 &lt; BF &lt; 0.95)</t>
  </si>
  <si>
    <t>F41LL/T3</t>
  </si>
  <si>
    <t>Fluorescent, (1) 48", T-8 lamp, Tandem 4-lamp RS Ballast, 1 lead capped, HLO (0.95 &lt; BF &lt; 1.1)</t>
  </si>
  <si>
    <t>F41LL/T3-H</t>
  </si>
  <si>
    <t>Fluorescent, (1) 48", T-8 lamp, Tandem 3-lamp RS Ballast, RLO (BF&lt; 0.85)</t>
  </si>
  <si>
    <t>F41LL/T3-R</t>
  </si>
  <si>
    <t>Fluorescent, (1) 48", T-8 lamp, Tandem 4-lamp RS Ballast, NLO (0.85 &lt; BF &lt; 0.95)</t>
  </si>
  <si>
    <t>F41LL/T4</t>
  </si>
  <si>
    <t>Fluorescent, (1) 48", T-8 lamp, Tandem 4-lamp RS Ballast, RLO (BF&lt; 0.85)</t>
  </si>
  <si>
    <t>F41LL/T4-R</t>
  </si>
  <si>
    <t>Fluorescent (2) 48" T-8 lamps, Prog. Start or PRS Ballast, NLO (0.85 &lt; BF &lt; 0.95)</t>
  </si>
  <si>
    <t>F42GLL</t>
  </si>
  <si>
    <t>Fluorescent (2) 48" T-8 lamps, Prog. Start or PRS Ballast, RLO (BF &lt; 0.85)</t>
  </si>
  <si>
    <t>F42GLL-R</t>
  </si>
  <si>
    <t>Fluorescent, (2) 48" T-8 lamps, Prog. Start or PRS Ballast, VHLO (BF &gt; 1.1)</t>
  </si>
  <si>
    <t>F42GLL-V</t>
  </si>
  <si>
    <t>Fluorescent, (2) 48", T-8 lamps, Instant Start Ballast, NLO (0.85 &lt; BF &lt; 0.95)</t>
  </si>
  <si>
    <t>F42ILL</t>
  </si>
  <si>
    <t>Fluorescent, (2) 48", T-8 lamp, Instant Start Ballast, HLO (0.95 &lt; BF &lt; 1.1)</t>
  </si>
  <si>
    <t>F42ILL-H</t>
  </si>
  <si>
    <t>Fluorescent, (2) 48", T-8 lamps, Instant Start Ballast, RLO (BF&lt; 0.85)</t>
  </si>
  <si>
    <t>F42ILL-R</t>
  </si>
  <si>
    <t>Fluorescent, (2) 48", T-8 lamps, Instant Start Ballast, VHLO (BF &gt; 1.1)</t>
  </si>
  <si>
    <t>F42ILL-V</t>
  </si>
  <si>
    <t>Fluorescent, (2) 48", T-8 lamps, (2) 1-lamp Instant Start Ballast, NLO (0.85 &lt; BF &lt; 0.95)</t>
  </si>
  <si>
    <t>F42ILL/2</t>
  </si>
  <si>
    <t>Fluorescent, (2) 48" T-8 lamps, (2) 1-lamp Instant Start Ballasts, RLO (BF&lt; 0.85)</t>
  </si>
  <si>
    <t>F42ILL/2-R</t>
  </si>
  <si>
    <t>Fluorescent, (2) 48", T-8 lamps, Tandem 4-lamp IS Ballast, NLO (0.85 &lt; BF &lt; 0.95)</t>
  </si>
  <si>
    <t>F42ILL/T4</t>
  </si>
  <si>
    <t>Fluorescent, (2) 48", T-8 lamps, Tandem 4-lamp IS Ballast, RLO (BF&lt; 0.85)</t>
  </si>
  <si>
    <t>F42ILL/T4-R</t>
  </si>
  <si>
    <t>F42ILU</t>
  </si>
  <si>
    <t>F42ILU-H</t>
  </si>
  <si>
    <t>Fluorescent, (2) 48", T-8 lamps, Instant Start, RLO (BF&lt; 0.85)</t>
  </si>
  <si>
    <t>F42ILU-R</t>
  </si>
  <si>
    <t>Fluorescent, (2) 48", T-8 lamps, Instant Start, VHLO (BF&gt; 1.1)</t>
  </si>
  <si>
    <t>F42ILU-V</t>
  </si>
  <si>
    <t>F42ILU/T4</t>
  </si>
  <si>
    <t>F42ILU/T4-R</t>
  </si>
  <si>
    <t>Fluorescent, (2) 48", T-8 lamp</t>
  </si>
  <si>
    <t>F42LE</t>
  </si>
  <si>
    <t>Fluorescent, (2) 48", T-8 lamps, Rapid Start Ballast, NLO (0.85 &lt; BF &lt; 0.95)</t>
  </si>
  <si>
    <t>F42LL</t>
  </si>
  <si>
    <t>Fluorescent, (2) 48", T-8 lamp, Rapid Start Ballast, HLO (0.95 &lt; BF &lt; 1.1)</t>
  </si>
  <si>
    <t>F42LL-H</t>
  </si>
  <si>
    <t>Fluorescent, (2) 48", T-8 lamp, Rapid Start Ballast, RLO (BF&lt; 0.85)</t>
  </si>
  <si>
    <t>F42LL-R</t>
  </si>
  <si>
    <t>Fluorescent, (2) 48", T-8 lamp, Rapid Start Ballast, VHLO (BF &gt; 1.1)</t>
  </si>
  <si>
    <t>F42LL-V</t>
  </si>
  <si>
    <t>Fluorescent, (2) 48", T-8 lamps, (2) 1-lamp Rapid Start Ballasts, NLO (0.85 &lt; BF &lt; 0.95)</t>
  </si>
  <si>
    <t>F42LL/2</t>
  </si>
  <si>
    <t>Fluorescent, (2) 48", T-8 lamps, Tandem 4-lamp RS Ballast, NLO (0.85 &lt; BF &lt; 0.95)</t>
  </si>
  <si>
    <t>F42LL/T4</t>
  </si>
  <si>
    <t>Fluorescent, (2) 48", T-8 lamp, Tandem 4-lamp RS Ballast, RLO (BF&lt; 0.85)</t>
  </si>
  <si>
    <t>F42LL/T4-R</t>
  </si>
  <si>
    <t>Fluorescent (3) 48" T-8 lamps, Prog. Start or PRS Ballast, NLO (0.85 &lt; BF &lt; 0.95)</t>
  </si>
  <si>
    <t>F43GLL</t>
  </si>
  <si>
    <t>Fluorescent (3) 48" T-8 lamps, Prog. Start or PRS Ballast, RLO (BF &lt; 0.85)</t>
  </si>
  <si>
    <t>F43GLL-R</t>
  </si>
  <si>
    <t>Fluorescent, (3) 48" T-8 lamps, Prog. Start or PRS Ballast, VHLO (BF &gt; 1.1)</t>
  </si>
  <si>
    <t>F43GLL-V</t>
  </si>
  <si>
    <t>Fluorescent, (3) 48" T-8 lamps, Instant Start Ballast, NLO (0.85 &lt; BF &lt; 0.95)</t>
  </si>
  <si>
    <t>F43ILL</t>
  </si>
  <si>
    <t>Fluorescent, (3) 48" T-8 lamps, Instant Start Ballast, HLO (0.95 &lt; BF &lt; 1.1)</t>
  </si>
  <si>
    <t>F43ILL-H</t>
  </si>
  <si>
    <t>Fluorescent, (3) 48" T-8 lamps, Instant Start Ballast, RLO (BF &lt; 0.85)</t>
  </si>
  <si>
    <t>F43ILL-R</t>
  </si>
  <si>
    <t>Fluorescent, (3) 48" T-8 lamps, Instant Start Ballast, VHLO (BF &gt; 1.1)</t>
  </si>
  <si>
    <t>F43ILL-V</t>
  </si>
  <si>
    <t>Fluorescent, (3) 48" T-8 lamps, (2) Instant Start Ballasts, NLO (0.85 &lt; BF &lt; 0.95)</t>
  </si>
  <si>
    <t>F43ILL/2</t>
  </si>
  <si>
    <t>Fluorescent (3) 48" T-8 lamps, (1) 2-lamp and (1) 3-lamp IS Ballast,1 lead capped, HLO (0.95 &lt; BF &lt; 1.1)</t>
  </si>
  <si>
    <t>F43ILL/2-H</t>
  </si>
  <si>
    <t>Fluorescent, (3) 48" T-8 lamps, (1) 1-lamp and (1) 2-lamp IS Ballast, RLO (BF &lt; 0.85)</t>
  </si>
  <si>
    <t>F43ILL/2-R</t>
  </si>
  <si>
    <t>F43ILU</t>
  </si>
  <si>
    <t>Fluorescent, (3) 48", T-8 lamp, Instant Start Ballast, HLO (0.95 &lt; BF &lt; 1.1)</t>
  </si>
  <si>
    <t>F43ILU-H</t>
  </si>
  <si>
    <t>F43ILU-R</t>
  </si>
  <si>
    <t>F43ILU-V</t>
  </si>
  <si>
    <t>Fluorescent, (3) 48", T-8 lamp</t>
  </si>
  <si>
    <t>F43LE</t>
  </si>
  <si>
    <t>Fluorescent, (3) 48", T-8 lamps, Rapid Start Ballast, NLO (0.85 &lt; BF &lt; 0.95)</t>
  </si>
  <si>
    <t>F43LL</t>
  </si>
  <si>
    <t>Fluorescent, (3) 48", T-8 lamp, Rapid Start Ballast, HLO (.95 &lt; BF &lt; 1.1)</t>
  </si>
  <si>
    <t>F43LL-H</t>
  </si>
  <si>
    <t>Fluorescent, (3) 48", T-8 lamp, Rapid Start Ballast, RLO (BF &lt; 0.85)</t>
  </si>
  <si>
    <t>F43LL-R</t>
  </si>
  <si>
    <t>Fluorescent, (3) 48", T-8 lamps, (1) 1-lamp and (1) 2-lamp RS Ballast, NLO (0.85 &lt; BF &lt; 0.95)</t>
  </si>
  <si>
    <t>F43LL/2</t>
  </si>
  <si>
    <t>Fluorescent (4) 48" T-8 lamps, Prog. Start or PRS Ballast, NLO (0.85 &lt; BF &lt; 0.95)</t>
  </si>
  <si>
    <t>F44GLL</t>
  </si>
  <si>
    <t>Fluorescent (4) 48" T-8 lamps, Prog. Start or PRS Ballast, RLO (BF &lt; 0.85)</t>
  </si>
  <si>
    <t>F44GLL-R</t>
  </si>
  <si>
    <t>Fluorescent, (4) 48" T-8 lamps, Prog. Start or PRS Ballast, VHLO (BF &gt; 1.1)</t>
  </si>
  <si>
    <t>F44GLL-V</t>
  </si>
  <si>
    <t>Fluorescent, (4) 48", T-8 lamps, Instant Start Ballast, NLO (0.85 &lt; BF &lt; 0.95)</t>
  </si>
  <si>
    <t>F44ILL</t>
  </si>
  <si>
    <t>Fluorescent, (4) 48", T-8 lamps, Instant Start Ballast, RLO (BF &lt; 0.85)</t>
  </si>
  <si>
    <t>F44ILL-R</t>
  </si>
  <si>
    <t>Fluorescent, (4) 48", T-8 lamps, Instant Start Ballast, VHLO (BF &gt; 1.1)</t>
  </si>
  <si>
    <t>F44ILL-V</t>
  </si>
  <si>
    <t>Fluorescent, (4) 48", T-8 lamps, (2) 2-lamp IS Ballasts, NLO (0.85 &lt; BF &lt; 0.95)</t>
  </si>
  <si>
    <t>F44ILL/2</t>
  </si>
  <si>
    <t>Fluorescent, (4) 48", T-8 lamps, (2) 3-lamp IS Ballasts, 1 lead capped, HLO (.95 &lt; BF &lt; 1.1)</t>
  </si>
  <si>
    <t>F44ILL/2-H</t>
  </si>
  <si>
    <t>Fluorescent, (4) 48", T-8 lamps, (2) 2-lamp IS Ballasts, RLO (BF &lt; 0.85)</t>
  </si>
  <si>
    <t>F44ILL/2-R</t>
  </si>
  <si>
    <t>Fluorescent, (4) 48", T-8 lamps, (2) 2-lamp IS Ballasts, VHLO (BF &gt; 1.1)</t>
  </si>
  <si>
    <t>F44ILL/2-V</t>
  </si>
  <si>
    <t>F44ILU</t>
  </si>
  <si>
    <t>Fluorescent, (4) 48", T-8 lamp, Instant Start Ballast, HLO (0.95 &lt; BF &lt; 1.1)</t>
  </si>
  <si>
    <t>F44ILU-H</t>
  </si>
  <si>
    <t>F44ILU-R</t>
  </si>
  <si>
    <t>F44ILU-V</t>
  </si>
  <si>
    <t>Fluorescent, (4) 48", T-8 lamps</t>
  </si>
  <si>
    <t>F44LE</t>
  </si>
  <si>
    <t>Fluorescent, (4) 48", T-8 lamps, Rapid Start Ballast, NLO (0.85 &lt; BF &lt; 0.95)</t>
  </si>
  <si>
    <t>F44LL</t>
  </si>
  <si>
    <t>Fluorescent, (4) 48", T-8 lamps, Rapid Start Ballast, RLO (BF &lt; 0.85)</t>
  </si>
  <si>
    <t>F44LL-R</t>
  </si>
  <si>
    <t>Fluorescent, (4) 48", T-8 lamps, (2) 2-lamp Rapid Start Ballast, NLO (0.85 &lt; BF &lt; 0.95)</t>
  </si>
  <si>
    <t>F44LL/2</t>
  </si>
  <si>
    <t>Fluorescent, (5) 48", T-8 lamps, (1) 3-lamp and (1) 2-lamp IS ballast, NLO (0.85 &lt; BF &lt; 0.95)</t>
  </si>
  <si>
    <t>F45ILL/2</t>
  </si>
  <si>
    <t>Fluorescent, (5) 48", T-8 lamps, (1) 3-lamp and (1) 2-lamp Prog. Start Ballast, VHLO (BF &gt; 1.1)</t>
  </si>
  <si>
    <t>F45GLL/2-V</t>
  </si>
  <si>
    <t>Fluorescent (6) 48" T-8 lamps, (2) Prog. Start or PRS Ballasts, NLO (0.85 &lt; BF &lt; 0.95)</t>
  </si>
  <si>
    <t>F46GLL/2</t>
  </si>
  <si>
    <t>Fluorescent (6) 48" T-8 lamps, (2) Prog. Start or PRS Ballasts, RLO (BF &lt; 0.85)</t>
  </si>
  <si>
    <t>F46GLL/2-R</t>
  </si>
  <si>
    <t>Fluorescent (6) 48" T-8 lamps, (2) Prog. Start or PRS Ballasts, VHLO (BF &gt; 1.1)</t>
  </si>
  <si>
    <t>F46GLL/2-V</t>
  </si>
  <si>
    <t>Fluorescent, (6) 48", T-8 lamps, (2) IS Ballasts, NLO (0.85 &lt; BF &lt; 0.95)</t>
  </si>
  <si>
    <t>F46ILL/2</t>
  </si>
  <si>
    <t>Fluorescent, (6) 48", T-8 lamps, (2) IS Ballasts, RLO (BF &lt; 0.85)</t>
  </si>
  <si>
    <t>F46ILL/2-R</t>
  </si>
  <si>
    <t>Fluorescent (6) 48" T-8 lamps, (2) IS Ballasts, VHLO (BF &gt; 1.1)</t>
  </si>
  <si>
    <t>F46ILL/2-V</t>
  </si>
  <si>
    <t>Fluorescent (6) 48" T-8 lamps, (2) IS Ballasts, NLO (0.85 &lt; BF &lt; 0.95)</t>
  </si>
  <si>
    <t>F46ILU/2</t>
  </si>
  <si>
    <t>Fluorescent (6) 48" T-8 lamps, (2) IS Ballasts, RLO (BF &lt; 0.85)</t>
  </si>
  <si>
    <t>F46ILU/2-R</t>
  </si>
  <si>
    <t>F46ILU/2-V</t>
  </si>
  <si>
    <t>Fluorescent, (6) 48", T-8 lamps, (2) Rapid Start Ballasts, NLO (0.85 &lt; BF &lt; 0.95)</t>
  </si>
  <si>
    <t>F465LL/2</t>
  </si>
  <si>
    <t>Fluorescent (8) 48" T-8 lamps, (2) Prog. Start or PRS Ballasts, NLO (0.85 &lt; BF &lt; 0.95)</t>
  </si>
  <si>
    <t>F48GLL/2</t>
  </si>
  <si>
    <t>Fluorescent (8) 48" T-8 lamps, (2) Prog. Start or PRS Ballasts, RLO (BF &lt; 0.85)</t>
  </si>
  <si>
    <t>F48GLL/2-R</t>
  </si>
  <si>
    <t>Fluorescent (8) 48" T-8 lamps, (2) Prog. Start or PRS Ballasts, VHLO (BF &gt; 1.1)</t>
  </si>
  <si>
    <t>F48GLL/2-V</t>
  </si>
  <si>
    <t>Fluorescent, (8) 48", T-8 lamps, (2) 4-lamp IS Ballasts, NLO (0.85 &lt; BF &lt; 0.95)</t>
  </si>
  <si>
    <t>F48ILL/2</t>
  </si>
  <si>
    <t>Fluorescent, (8) 48", T-8 lamps, (2) 4-lamp IS Ballasts, RLO (BF &lt; 0.85)</t>
  </si>
  <si>
    <t>F48ILL/2-R</t>
  </si>
  <si>
    <t>F48ILU/2</t>
  </si>
  <si>
    <t>F48ILU/2-R</t>
  </si>
  <si>
    <t>Fluorescent, (8) 48", T-8 lamps, (2) 4-lamp IS Ballasts, VHLO (BF &gt; 1.1)</t>
  </si>
  <si>
    <t>F48ILU/2-V</t>
  </si>
  <si>
    <t>Fluorescent (1) 48" T-8 @ 25W lamp, Prog. Start or PRS Ballast, NLO (0.85 &lt; BF &lt; 0.95)</t>
  </si>
  <si>
    <t>F41GNLL</t>
  </si>
  <si>
    <t>Fluorescent (1) 48" T-8 @ 25W lamp, Prog. Start or PRS Ballast, RLO (BF&lt; 0.85)</t>
  </si>
  <si>
    <t>F41GNLL-R</t>
  </si>
  <si>
    <t>Fluorescent, (1) 48", T-8 @ 25W lamps, Instant Start Ballast, NLO (0.85 &lt; BF &lt; 0.95)</t>
  </si>
  <si>
    <t>F41INLL</t>
  </si>
  <si>
    <t>Fluorescent, (1), T-8 @ 25W lamp, Instant Start Ballast, NLO (0.85 &lt; BF &lt; 0.95)</t>
  </si>
  <si>
    <t>F41INLU</t>
  </si>
  <si>
    <t>Fluorescent, (1), T-8 @ 25W lamp, Instant Start Ballast, RLO (BF&lt; 0.85)</t>
  </si>
  <si>
    <t>F41INLU-R</t>
  </si>
  <si>
    <t>Fluorescent, (1), T-8 @ 25W lamp, Instant Start Ballast, VHLO (BF &gt; 1.1)</t>
  </si>
  <si>
    <t>F41INLU-V</t>
  </si>
  <si>
    <t>Fluorescent, (1) 48", T-8 @ 25W lamp, Tandem 3-lamp IS Ballast, RLO (BF&lt; 0.85)</t>
  </si>
  <si>
    <t>F41INLU/T3-R</t>
  </si>
  <si>
    <t>Fluorescent, (1) 48", T-8 @ 25W lamp, Tandem 4-lamp IS Ballast, RLO (BF&lt; 0.85)</t>
  </si>
  <si>
    <t>F41INLU/T4-R</t>
  </si>
  <si>
    <t>Fluorescent (2) 48" T-8 @ 25W lamps, Prog. Start or PRS Ballast, NLO (0.85 &lt; BF &lt; 0.95)</t>
  </si>
  <si>
    <t>F42GNLL</t>
  </si>
  <si>
    <t>Fluorescent (2) 48" T-8 @ 25W lamps, Prog. Start or PRS Ballast, RLO (BF&lt; 0.85)</t>
  </si>
  <si>
    <t>F42GNLL-R</t>
  </si>
  <si>
    <t>Fluorescent, (2) 48", T-8 @ 25W lamps, Instant Start Ballast, NLO (0.85 &lt; BF &lt; 0.95)</t>
  </si>
  <si>
    <t>F42INLL</t>
  </si>
  <si>
    <t>Fluorescent, (2) 48" T-8 @ 25W lamps, Instant Start Ballast, VHLO (BF &gt; 1.1)</t>
  </si>
  <si>
    <t>F42INLL-V</t>
  </si>
  <si>
    <t>Fluorescent, (2), T-8 @ 25W lamps, Instant Start Ballast, NLO (0.85 &lt; BF &lt; 0.95)</t>
  </si>
  <si>
    <t>F42INLU</t>
  </si>
  <si>
    <t>Fluorescent (2) 48" T8 @ 25W lamps, Instant Start Ballast, RLO (BF&lt; 0.85)</t>
  </si>
  <si>
    <t>F42INLU-R</t>
  </si>
  <si>
    <t>Fluorescent, (2) 48", T-8 @ 25W lamps, Instant Start Ballast, VHLO (BF &gt; 1.1)</t>
  </si>
  <si>
    <t>F42INLU-V</t>
  </si>
  <si>
    <t>Fluorescent, (2) 48", T-8 @ 25W lamps, Tandem 4-lamp IS Ballast, RLO (BF&lt; 0.85)</t>
  </si>
  <si>
    <t>F42INLU/T4-R</t>
  </si>
  <si>
    <t>Fluorescent (3) 48" T-8 @ 25W lamps, Prog. Start or PRS Ballast, NLO (0.85 &lt; BF &lt; 0.95)</t>
  </si>
  <si>
    <t>F43GNLL</t>
  </si>
  <si>
    <t>Fluorescent, (3) 48" T-8 @ 25W lamps, Prog. Start or PRS Ballast, RLO (BF &lt; 0.85)</t>
  </si>
  <si>
    <t>F43GNLL-R</t>
  </si>
  <si>
    <t>Fluorescent, (3) 48" T-8 @ 25W lamps, Instant Start Ballast, NLO (0.85 &lt; BF &lt; 0.95)</t>
  </si>
  <si>
    <t>F43INLL</t>
  </si>
  <si>
    <t>Fluorescent, (3) 48" T-8 @ 25W lamps, Instant Start Ballast, VHLO (BF &gt; 1.1)</t>
  </si>
  <si>
    <t>F43INLL-V</t>
  </si>
  <si>
    <t>Fluorescent, (3) 48" T-8 lamps @ 25W, Instant Start Ballast, NLO (0.85 &lt; BF &lt; 0.95)</t>
  </si>
  <si>
    <t>F43INLU</t>
  </si>
  <si>
    <t>Fluorescent, (3) 48" T-8 @ 25W lamps, Instant Start Ballast, RLO (BF &lt; 0.85)</t>
  </si>
  <si>
    <t>F43INLU-R</t>
  </si>
  <si>
    <t>F43INLU-V</t>
  </si>
  <si>
    <t>Fluorescent (4) 48" T-8 @ 25W lamps, Prog. Start or PRS Ballast, NLO (0.85 &lt; BF &lt; 0.95)</t>
  </si>
  <si>
    <t>F44GNLL</t>
  </si>
  <si>
    <t>Fluorescent (4) 48" T-8 @ 25W lamps, Prog. Start or PRS Ballast, RLO (BF &lt; 0.85)</t>
  </si>
  <si>
    <t>F44GNLL-R</t>
  </si>
  <si>
    <t>Fluorescent, (4) 48", T-8 @ 25W lamps, Instant Start Ballast, NLO (0.85 &lt; BF &lt; 0.95)</t>
  </si>
  <si>
    <t>F44INLL</t>
  </si>
  <si>
    <t>F44INLU</t>
  </si>
  <si>
    <t>Fluorescent, (4) 48" T-8 @ 25W lamps, Instant Start Ballast, RLO (BF &lt; 0.85)</t>
  </si>
  <si>
    <t>F44INLU-R</t>
  </si>
  <si>
    <t>Fluorescent, (4) 48" T-8 @ 25W lamps, Instant Start Ballast, VHLO (BF &gt; 1.1)</t>
  </si>
  <si>
    <t>F44INLU-V</t>
  </si>
  <si>
    <t>Fluorescent (6) 48" T-8 @ 25W lamps, (2) IS Ballasts, RLO (BF &lt; 0.85)</t>
  </si>
  <si>
    <t>F46INLU/2-R</t>
  </si>
  <si>
    <t>Fluorescent (6) 48" T-8 @ 25W lamps, (2) IS Ballasts, VHLO (BF &gt; 1.1)</t>
  </si>
  <si>
    <t>F46INLU/2-V</t>
  </si>
  <si>
    <t>Fluorescent (1) 48" T-8 @ 28W lamp, Prog. Start or PRS Ballast, NLO (0.85 &lt; BF &lt; 0.95)</t>
  </si>
  <si>
    <t>F41GRLL</t>
  </si>
  <si>
    <t>Fluorescent (1) 48" T-8 @ 28W lamp, Prog. Start or PRS Ballast, RLO (BF&lt; 0.85)</t>
  </si>
  <si>
    <t>F41GRLL-R</t>
  </si>
  <si>
    <t>Fluorescent, (1) 48" T-8 @ 28W lamp, Instant Start Ballast, NLO (0.85 &lt; BF &lt; 0.95)</t>
  </si>
  <si>
    <t>F41IRLL</t>
  </si>
  <si>
    <t>Fluorescent, (1) 48" T-8 @ 28W lamp, Instant Start Ballast, VHLO (BF &gt; 1.1)</t>
  </si>
  <si>
    <t>F41IRLL-V</t>
  </si>
  <si>
    <t>Fluorescent, (1), T-8 @ 28W lamp, Instant Start Ballast, NLO (0.85 &lt; BF &lt; 0.95)</t>
  </si>
  <si>
    <t>F41IRLU</t>
  </si>
  <si>
    <t>Fluorescent, (1), T-8 @ 28W lamp, Instant Start Ballast, RLO (BF&lt; 0.85)</t>
  </si>
  <si>
    <t>F41IRLU-R</t>
  </si>
  <si>
    <t>Fluorescent, (1), T-8 @ 28W lamp, Instant Start Ballast, VHLO (BF &gt; 1.1)</t>
  </si>
  <si>
    <t>F41IRLU-V</t>
  </si>
  <si>
    <t>Fluorescent, (1) 48", T-8 @ 28W lamp, Tandem 3-lamp IS Ballast, RLO (BF&lt; 0.85)</t>
  </si>
  <si>
    <t>F41IRLU/T3-R</t>
  </si>
  <si>
    <t>Fluorescent, (1) 48", T-8 @ 28W lamp, Tandem 4-lamp IS Ballast, RLO (BF&lt; 0.85)</t>
  </si>
  <si>
    <t>F41IRLU/T4-R</t>
  </si>
  <si>
    <t>Fluorescent (2) 48" T-8 @ 28W lamps, Prog. Start or PRS Ballast, NLO (0.85 &lt; BF &lt; 0.95)</t>
  </si>
  <si>
    <t>F42GRLL</t>
  </si>
  <si>
    <t>Fluorescent (2) 48" T-8 @ 28W lamps, Prog. Start or PRS Ballast, RLO (BF&lt; 0.85)</t>
  </si>
  <si>
    <t>F42GRLL-R</t>
  </si>
  <si>
    <t>Fluorescent, (2) 48", T-8 @ 28W lamps, Instant Start Ballast, NLO (0.85 &lt; BF &lt; 0.95)</t>
  </si>
  <si>
    <t>F42IRLL</t>
  </si>
  <si>
    <t>Fluorescent, (2) 48" T-8 @ 28W lamps, Instant Start Ballast, VHLO (BF &gt; 1.1)</t>
  </si>
  <si>
    <t>F42IRLL-V</t>
  </si>
  <si>
    <t>Fluorescent, (2), T-8 @ 28W lamps, Instant Start Ballast, NLO (0.85 &lt; BF &lt; 0.95)</t>
  </si>
  <si>
    <t>F42IRLU</t>
  </si>
  <si>
    <t>Fluorescent, (2) 48", T-8 @ 28W lamps, Instant Start Ballast, RLO (BF&lt; 0.85)</t>
  </si>
  <si>
    <t>F42IRLU-R</t>
  </si>
  <si>
    <t>Fluorescent, (2) 48", T-8 @ 28W lamps, Instant Start Ballast, VHLO (BF &gt; 1.1)</t>
  </si>
  <si>
    <t>F42IRLU-V</t>
  </si>
  <si>
    <t>Fluorescent, (2) 48", T-8 @ 28W lamps, Tandem 4-lamp IS Ballast, RLO (BF&lt; 0.85)</t>
  </si>
  <si>
    <t>F42IRLU/T4-R</t>
  </si>
  <si>
    <t>Fluorescent (3) 48" T-8 @ 28W lamps, Prog. Start or PRS Ballast, NLO (0.85 &lt; BF &lt; 0.95)</t>
  </si>
  <si>
    <t>F43GRLL</t>
  </si>
  <si>
    <t>Fluorescent, (3) 48" T-8 @ 28W lamps, Prog. Start or PRS Ballast, RLO (BF &lt; 0.85)</t>
  </si>
  <si>
    <t>F43GRLL-R</t>
  </si>
  <si>
    <t>Fluorescent, (3) 48" T-8 @ 28W lamps, Instant Start Ballast, NLO (0.85 &lt; BF &lt; 0.95)</t>
  </si>
  <si>
    <t>F43IRLL</t>
  </si>
  <si>
    <t>Fluorescent, (3) 48" T-8 @ 28W lamps, Instant Start Ballast, HLO (.95 &lt; BF &lt; 1.1)</t>
  </si>
  <si>
    <t>F43IRLL-H</t>
  </si>
  <si>
    <t>Fluorescent, (3) 48" T-8 @ 28W lamps, Instant Start Ballast, VHLO (BF &gt; 1.1)</t>
  </si>
  <si>
    <t>F43IRLL-V</t>
  </si>
  <si>
    <t>Fluorescent, (3) 48" T-8 lamps @ 28W, Instant Start Ballast, NLO (0.85 &lt; BF &lt; 0.95)</t>
  </si>
  <si>
    <t>F43IRLU</t>
  </si>
  <si>
    <t>Fluorescent, (3) 48" T-8 @ 28W lamps, Instant Start Ballast, RLO (BF &lt; 0.85)</t>
  </si>
  <si>
    <t>F43IRLU-R</t>
  </si>
  <si>
    <t>F43IRLU-V</t>
  </si>
  <si>
    <t>Fluorescent (4) 48" T-8 @ 28W lamps, Prog. Start or PRS Ballast, NLO (0.85 &lt; BF &lt; 0.95)</t>
  </si>
  <si>
    <t>F44GRLL</t>
  </si>
  <si>
    <t>Fluorescent (4) 48" T-8 @ 28W lamps, Prog. Start or PRS Ballast, RLO (BF &lt; 0.85)</t>
  </si>
  <si>
    <t>F44GRLL-R</t>
  </si>
  <si>
    <t>Fluorescent, (4) 48", T-8 @ 28W lamps, Instant Start Ballast, NLO (0.85 &lt; BF &lt; 0.95)</t>
  </si>
  <si>
    <t>F44IRLL</t>
  </si>
  <si>
    <t>Fluorescent, (4) 48", T-8 @ 28W lamps, Instant Start Ballast, RLO (BF &lt; 0.85)</t>
  </si>
  <si>
    <t>F44IRLL-R</t>
  </si>
  <si>
    <t>F44IRLU</t>
  </si>
  <si>
    <t>Fluorescent, (4) 48" T-8 @ 28W lamps, Instant Start Ballast, RLO (BF &lt; 0.85)</t>
  </si>
  <si>
    <t>F44IRLU-R</t>
  </si>
  <si>
    <t>Fluorescent, (4) 48" T-8 @ 28W lamps, Instant Start Ballast, VHLO (BF &gt; 1.1)</t>
  </si>
  <si>
    <t>F44IRLU-V</t>
  </si>
  <si>
    <t>Fluorescent (6) 48" T-8 @ 28W lamps, (2) IS Ballasts, RLO (BF &lt; 0.85)</t>
  </si>
  <si>
    <t>F46IRLU/2-R</t>
  </si>
  <si>
    <t>Fluorescent (6) 48" T-8 @ 28W lamps, (2) IS Ballasts, VHLO (BF &gt; 1.1)</t>
  </si>
  <si>
    <t>F46IRLU/2-V</t>
  </si>
  <si>
    <t>Fluorescent (8) 48" T-8 @ 28W lamps, (2) IS Ballasts, VHLO (BF &gt; 1.1)</t>
  </si>
  <si>
    <t>F48IRLU/2-V</t>
  </si>
  <si>
    <t>Fluorescent (1) 48" T-8 @ 30W lamp, Prog. Start or PRS Ballast, NLO (0.85 &lt; BF &lt; 0.95)</t>
  </si>
  <si>
    <t>F41GELL</t>
  </si>
  <si>
    <t>Fluorescent (1) 48" T-8 @ 30W lamp, Prog. Start or PRS Ballast, RLO (BF &lt; 0.85)</t>
  </si>
  <si>
    <t>F41GELL-R</t>
  </si>
  <si>
    <t>Fluorescent (1) 48" T-8 @ 30W lamp, Instant Start Ballast, NLO (0.85 &lt; BF &lt; 0.95)</t>
  </si>
  <si>
    <t>F41IELL</t>
  </si>
  <si>
    <t>Fluorescent (1) 48" T-8 @ 30W lamp, Instant Start Ballast, HLO (0.95 &lt; BF &lt; 1.1)</t>
  </si>
  <si>
    <t>F41IELL-H</t>
  </si>
  <si>
    <t>Fluorescent (1) 48" T-8 @ 30W lamp, Instant Start Ballast, RLO (BF &lt; 0.85)</t>
  </si>
  <si>
    <t>F41IELL-R</t>
  </si>
  <si>
    <t>Fluorescent (1) 48" T-8 @ 30W lamp, Tandem 2-lamp IS Ballast, NLO (0.85 &lt; BF &lt; 0.95)</t>
  </si>
  <si>
    <t>F41IELL/T2</t>
  </si>
  <si>
    <t>Fluorescent (1) 48" T-8 @ 30W lamp, Tandem 3-lamp IS Ballast, NLO (0.85 &lt; BF &lt; 0.95)</t>
  </si>
  <si>
    <t>F41IELL/T3</t>
  </si>
  <si>
    <t>Fluorescent (1) 48" T-8 @ 30W lamp, Tandem 4-lamp IS Ballast, NLO (0.85 &lt; BF &lt; 0.95)</t>
  </si>
  <si>
    <t>F41IELL/T4</t>
  </si>
  <si>
    <t>Fluorescent, (1) 48", T-8 @ 30W lamp, Instant Start Ballast, NLO (0.85 &lt; BF &lt; 0.95)</t>
  </si>
  <si>
    <t>F41IELU</t>
  </si>
  <si>
    <t>F41IELU-H</t>
  </si>
  <si>
    <t>Fluorescent (1) 48" T-8 @ 30W lamp, Instant Start Ballast, RLO (BF&lt; 0.85)</t>
  </si>
  <si>
    <t>F41IELU-R</t>
  </si>
  <si>
    <t>F41IELU/T2</t>
  </si>
  <si>
    <t>Fluorescent (1) 48" T-8 @ 30W lamp, Tandem 2-lamp IS Ballast, RLO (BF&lt; 0.85)</t>
  </si>
  <si>
    <t>F41IELU/T2-R</t>
  </si>
  <si>
    <t>F41IELU/T3</t>
  </si>
  <si>
    <t>Fluorescent (1) 48" T-8 @ 30W lamp, Tandem 3-lamp IS Ballast, RLO (BF&lt; 0.85)</t>
  </si>
  <si>
    <t>F41IELU/T3-R</t>
  </si>
  <si>
    <t>F41IELU/T4</t>
  </si>
  <si>
    <t>Fluorescent (1) 48" T-8 @ 30W lamp, Tandem 4-lamp IS Ballast, RLO (BF&lt; 0.85)</t>
  </si>
  <si>
    <t>F41IELU/T4-R</t>
  </si>
  <si>
    <t>Fluorescent (2) 48" T-8 @ 30W lamps, Prog. Start or PRS Ballast, NLO (0.85 &lt; BF &lt; 0.95)</t>
  </si>
  <si>
    <t>F42GELL</t>
  </si>
  <si>
    <t>Fluorescent (2) 48" T-8 @ 30W lamps, Prog. Start or PRS Ballast, RLO (BF &lt; 0.85)</t>
  </si>
  <si>
    <t>F42GELL-R</t>
  </si>
  <si>
    <t>Fluorescent (2) 48" T-8 @ 30W lamps, Instant Start Ballast, NLO (0.85 &lt; BF &lt; 0.95)</t>
  </si>
  <si>
    <t>F42IELL</t>
  </si>
  <si>
    <t>Fluorescent (2) 48" T-8 @ 30W lamps, Instant Start Ballast, HLO (0.95 &lt; BF &lt; 1.1)</t>
  </si>
  <si>
    <t>F42IELL-H</t>
  </si>
  <si>
    <t>Fluorescent (2) 48" T-8 @ 30W lamps, Instant Start Ballast, RLO (BF&lt; 0.85)</t>
  </si>
  <si>
    <t>F42IELL-R</t>
  </si>
  <si>
    <t>Fluorescent (4) 48" T-8 @ 30W lamps, Tandem 4-lamp IS Ballast, NLO (0.85 &lt; BF &lt; 0.95)</t>
  </si>
  <si>
    <t>F42IELL/T4</t>
  </si>
  <si>
    <t>Fluorescent (4) 48" T-8 @ 30W lamps, Tandem 4-lamp IS Ballast, RLO (BF&lt; 0.85)</t>
  </si>
  <si>
    <t>F42IELL/T4-R</t>
  </si>
  <si>
    <t>F42IELU</t>
  </si>
  <si>
    <t>Fluorescent (2) 48" T-8 @ 30W lamps, Instant Start, RLO (BF&lt; 0.85)</t>
  </si>
  <si>
    <t>F42IELU-R</t>
  </si>
  <si>
    <t>Fluorescent (2) 48" T-8 @ 30W lamps, Instant Start, VHLO (BF &gt; 1.1)</t>
  </si>
  <si>
    <t>F42IELU-V</t>
  </si>
  <si>
    <t>Fluorescent (2) 48" T-8 @ 30W lamps, Tandem 4-lamp IS Ballast, NLO (0.85 &lt; BF &lt; 0.95)</t>
  </si>
  <si>
    <t>F42IELU/T4</t>
  </si>
  <si>
    <t>Fluorescent (2) 48" T-8 @ 30W lamps, Tandem 4-lamp IS Ballast, RLO (BF&lt; 0.85)</t>
  </si>
  <si>
    <t>F42IELU/T4-R</t>
  </si>
  <si>
    <t>Fluorescent (3) 48" T-8 @ 30W lamps, Prog. Start or PRS Ballast, NLO (0.85 &lt; BF &lt; 0.95)</t>
  </si>
  <si>
    <t>F43GELL</t>
  </si>
  <si>
    <t>Fluorescent (3) 48" T-8 @ 30W lamps, Prog. Start or PRS Ballast, RLO (BF &lt; 0.85)</t>
  </si>
  <si>
    <t>F43GELL-R</t>
  </si>
  <si>
    <t>Fluorescent (3) 48" T-8 @ 30 W lamps, Instant Start Ballast, NLO (0.85 &lt; BF &lt; 0.95)</t>
  </si>
  <si>
    <t>F43IELL</t>
  </si>
  <si>
    <t>Fluorescent (3) 48" T-8 @ 30 W lamps, Instant Start Ballast, HLO (0.95 &lt; BF &lt; 1.1)</t>
  </si>
  <si>
    <t>F43IELL-H</t>
  </si>
  <si>
    <t>Fluorescent (3) 48" T-8 @ 30 W lamps, Instant Start Ballast, RLO (BF &lt; 0.85)</t>
  </si>
  <si>
    <t>F43IELL-R</t>
  </si>
  <si>
    <t>Fluorescent (3) 48" T-8 @ 30 W lamps, (1) 1-lamp and (1) 2-lamp IS Ballast, NLO (0.85 &lt; BF &lt; 0.95)</t>
  </si>
  <si>
    <t>F43IELL/2</t>
  </si>
  <si>
    <t>Fluorescent (3) 48" T-8 @ 30 W lamps, (1) 2-lamp, (1) 3-lamp IS Ballast, 1 lead capped, HLO (0.95 &lt; BF &lt; 1.1)</t>
  </si>
  <si>
    <t>F43IELL/2-H</t>
  </si>
  <si>
    <t>Fluorescent (3) 48" T-8 @ 30 W lamps, (1) 1-lamp and (1) 2-lamp IS Ballast, RLO (BF &lt; 0.85)</t>
  </si>
  <si>
    <t>F43IELL/2-R</t>
  </si>
  <si>
    <t>Fluorescent (3) 48" T-8 @ 30W lamps, Instant Start Ballast, NLO (0.85 &lt; BF &lt; 0.95)</t>
  </si>
  <si>
    <t>F43IELU</t>
  </si>
  <si>
    <t>Fluorescent (3) 48" T-8 @ 30W lamps, Instant Start Ballast, RLO (BF &lt; 0.85)</t>
  </si>
  <si>
    <t>F43IELU-R</t>
  </si>
  <si>
    <t>Fluorescent (3) 48" T-8 @ 30W lamps, Instant Start Ballast, VHLO (BF &gt; 1.1)</t>
  </si>
  <si>
    <t>F43IELU-V</t>
  </si>
  <si>
    <t>Fluorescent (4) 48" T-8 @ 30W lamps, Prog. Start or PRS Ballast, NLO (0.85 &lt; BF &lt; 0.95)</t>
  </si>
  <si>
    <t>F44GELL</t>
  </si>
  <si>
    <t>Fluorescent (4) 48" T-8 @ 30W lamps, Prog. Start or PRS Ballast, RLO (BF &lt; 0.85)</t>
  </si>
  <si>
    <t>F44GELL-R</t>
  </si>
  <si>
    <t>Fluorescent (4) 48" T-8 @ 30W lamps, Instant Start Ballast, NLO (0.85 &lt; BF &lt; 0.95)</t>
  </si>
  <si>
    <t>F44IELL</t>
  </si>
  <si>
    <t>Fluorescent (4) 48" T-8 @ 30W lamps, Instant Start Ballast, RLO (BF &lt; 0.85)</t>
  </si>
  <si>
    <t>F44IELL-R</t>
  </si>
  <si>
    <t>Fluorescent (4) 48" T-8 @ 30W lamps, (2) 2-lamp IS Ballasts, NLO (0.85 &lt; BF &lt; 0.95)</t>
  </si>
  <si>
    <t>F44IELL/2</t>
  </si>
  <si>
    <t>Fluorescent (4) 48" T-8 @ 30W lamps, (2) 3-lamp IS Ballasts, 1 lead capped, HLO (.95 &lt; BF &lt; 1.1)</t>
  </si>
  <si>
    <t>F44IELL/2-H</t>
  </si>
  <si>
    <t>Fluorescent (4) 48" T-8 @ 30W lamps, (2) 2-lamp IS Ballasts, RLO (BF&lt; 0.85)</t>
  </si>
  <si>
    <t>F44IELL/2-R</t>
  </si>
  <si>
    <t>F44IELU</t>
  </si>
  <si>
    <t>F44IELU-R</t>
  </si>
  <si>
    <t>Fluorescent (6) 48" T-8 @ 30W lamps, (2) IS Ballasts, NLO (0.85 &lt; BF &lt; 0.95)</t>
  </si>
  <si>
    <t>F46IELU/2</t>
  </si>
  <si>
    <t>Fluorescent (6) 48" T-8 @ 30W lamps, (2) IS Ballasts, RLO (BF &lt; 0.85)</t>
  </si>
  <si>
    <t>F46IELU/2-R</t>
  </si>
  <si>
    <t>Fluorescent, (1) 60", T-8 lamp, Instant Start Ballast, NLO (0.85 &lt; BF &lt; 0.95)</t>
  </si>
  <si>
    <t>F51ILL</t>
  </si>
  <si>
    <t>Fluorescent, (1) 60", T-8 lamp, Instant Start Ballast, RLO (BF &lt; 0.85)</t>
  </si>
  <si>
    <t>F51ILL-R</t>
  </si>
  <si>
    <t>Fluorescent, (1) 60", T-8 lamp, Tandem 2-lamp IS Ballast, NLO (0.85 &lt; BF &lt; 0.95)</t>
  </si>
  <si>
    <t>F51ILL/T2</t>
  </si>
  <si>
    <t>Fluorescent, (1) 60", T-8 lamp, Tandem 3-lamp IS Ballast, NLO (0.85 &lt; BF &lt; 0.95)</t>
  </si>
  <si>
    <t>F51ILL/T3</t>
  </si>
  <si>
    <t>Fluorescent, (1) 60", T-8 lamp, Tandem 4-lamp IS Ballast, NLO (0.85 &lt; BF &lt; 0.95)</t>
  </si>
  <si>
    <t>F51ILL/T4</t>
  </si>
  <si>
    <t>Fluorescent, (2) 60", T-8 lamps, Instant Start Ballast, NLO (0.85 &lt; BF &lt; 0.95)</t>
  </si>
  <si>
    <t>F52ILL</t>
  </si>
  <si>
    <t>Fluorescent, (2) 60", T-8 lamps, Instant Start Ballast, HILO (.95 &lt; BF &lt; 1.1)</t>
  </si>
  <si>
    <t>F52ILL-H</t>
  </si>
  <si>
    <t>Fluorescent, (2) 60", T-8 lamps, Instant Start Ballast, RLO (BF &lt; 0.85)</t>
  </si>
  <si>
    <t>F52ILL-R</t>
  </si>
  <si>
    <t>Fluorescent, (2) 60", T-8 lamps, Tandem 4-lamp IS Ballast, NLO (0.85 &lt; BF &lt; 0.95)</t>
  </si>
  <si>
    <t>F52ILL/T4</t>
  </si>
  <si>
    <t>Fluorescent, (3) 60", T-8 lamps, Instant Start Ballast, NLO (0.85 &lt; BF &lt; 0.95)</t>
  </si>
  <si>
    <t>F53ILL</t>
  </si>
  <si>
    <t>Fluorescent, (3) 60", T-8 lamps, Instant Start Ballast, HILO (.95 &lt; BF &lt; 1.1)</t>
  </si>
  <si>
    <t>F53ILL-H</t>
  </si>
  <si>
    <t>Fluorescent, (4) 60", T-8 lamps, Instant Start Ballast, NLO (0.85 &lt; BF &lt; 0.95)</t>
  </si>
  <si>
    <t>F54ILL</t>
  </si>
  <si>
    <t>Fluorescent, (4) 60", T-8 lamps, Instant Start Ballast, HLO (.95 &lt; BF &lt; 1.1)</t>
  </si>
  <si>
    <t>F54ILL-H</t>
  </si>
  <si>
    <t>T8 HO</t>
  </si>
  <si>
    <t>Fluorescent, (1) 48", T-8 HO lamps, (1) Instant Start Ballast, NLO (0.85 &lt; BF &lt; 0.95)</t>
  </si>
  <si>
    <t>F41LHL</t>
  </si>
  <si>
    <t>Fluorescent, (2) 48", T-8 HO lamps, (1) Instant Start Ballast, NLO (0.85 &lt; BF &lt; 0.95)</t>
  </si>
  <si>
    <t>F42LHL</t>
  </si>
  <si>
    <t>Fluorescent, (3) 48", T-8 HO lamps, (2) Instant Start Ballasts, NLO (0.85 &lt; BF &lt; 0.95)</t>
  </si>
  <si>
    <t>F43LHL</t>
  </si>
  <si>
    <t>Fluorescent, (4) 48", T-8 HO lamps, (2) Instant Start Ballasts, NLO (0.85 &lt; BF &lt; 0.95)</t>
  </si>
  <si>
    <t>F44LHL</t>
  </si>
  <si>
    <t>Fluorescent, (1) 96", T-8 lamp, Instant Start Ballast, NLO (0.85 &lt; BF &lt; 0.95)</t>
  </si>
  <si>
    <t>F81ILL</t>
  </si>
  <si>
    <t>Fluorescent, (1) 96", T-8 lamp, Instant Start Ballast, HILO (.95 &lt; BF &lt; 1.1)</t>
  </si>
  <si>
    <t>F81ILL-H</t>
  </si>
  <si>
    <t>Fluorescent, (1) 96", T-8 lamp, Instant Start Ballast, RLO (BF &lt; 0.85)</t>
  </si>
  <si>
    <t>F81ILL-R</t>
  </si>
  <si>
    <t>Fluorescent, (1) 96", T-8 lamp, Instant Start Ballast, VHLO (BF &gt; 1.1)</t>
  </si>
  <si>
    <t>F81ILL-V</t>
  </si>
  <si>
    <t>Fluorescent, (1) 96", T-8 lamp, Tandem 2-lamp IS Ballast, NLO (0.85 &lt; BF &lt; 0.95)</t>
  </si>
  <si>
    <t>F81ILL/T2</t>
  </si>
  <si>
    <t>Fluorescent, (1) 96", T-8 lamp, Tandem 2-lamp IS Ballast, RLO (BF &lt; 0.85)</t>
  </si>
  <si>
    <t>F81ILL/T2-R</t>
  </si>
  <si>
    <t>Fluorescent, (1) 96" T-8 lamp, Instant Start Ballast, NLO (0.85 &lt; BF &lt; 0.95)</t>
  </si>
  <si>
    <t>F81ILU</t>
  </si>
  <si>
    <t>Fluorescent, (2) 96", T-8 lamps, Instant Start Ballast, NLO (0.85 &lt; BF &lt; 0.95)</t>
  </si>
  <si>
    <t>F82ILL</t>
  </si>
  <si>
    <t>Fluorescent, (2) 96", T-8 lamps, Instant Start Ballast, RLO (BF &lt; 0.85)</t>
  </si>
  <si>
    <t>F82ILL-R</t>
  </si>
  <si>
    <t>Fluorescent, (2) 96", T-8 lamps, Instant Start Ballast, VHLO (BF &gt; 1.1)</t>
  </si>
  <si>
    <t>F82ILL-V</t>
  </si>
  <si>
    <t>Fluorescent, (2) 96" T-8 ES lamps, Instant Start Ballast, NLO (0.85 &lt; BF &lt; 0.95)</t>
  </si>
  <si>
    <t>F82ILU</t>
  </si>
  <si>
    <t>Fluorescent, (3) 96", T-8 lamps, Instant Start Ballast, NLO (0.85 &lt; BF &lt; 0.95)</t>
  </si>
  <si>
    <t>F83ILL</t>
  </si>
  <si>
    <t>Fluorescent, (4) 96", T-8 lamps, Instant Start Ballast, NLO (0.85 &lt; BF &lt; 0.95)</t>
  </si>
  <si>
    <t>F84ILL</t>
  </si>
  <si>
    <t>Fluorescent, (4) 96", T-8 lamps, (2) Instant Start Ballasts, VHLO (BF &gt; 1.1)</t>
  </si>
  <si>
    <t>F84ILL/2-V</t>
  </si>
  <si>
    <t>Fluorescent, (6) 96", T-8 lamps, (2) 3-lamp IS Ballasts, NLO (0.85 &lt; BF &lt; 0.95)</t>
  </si>
  <si>
    <t>F86ILL</t>
  </si>
  <si>
    <t>Fluorescent, (1) 96", T-8 HO lamp, Tandem 2-lamp Ballast</t>
  </si>
  <si>
    <t>F81LHL/T2</t>
  </si>
  <si>
    <t>Fluorescent, (2) 96", T-8 HO lamps</t>
  </si>
  <si>
    <t>F82LHL</t>
  </si>
  <si>
    <t>Fluorescent, (4) 96", T-8 HO lamps</t>
  </si>
  <si>
    <t>F84LHL</t>
  </si>
  <si>
    <t>Fluorescent, (1) 96" T-8 reduced-wattage lamp, Instant Start Ballast, NLO (0.85 &lt; BF &lt; 0.95)</t>
  </si>
  <si>
    <t>F81IERU</t>
  </si>
  <si>
    <t>Fluorescent, (2) 96" T-8 @ reduced-wattage lamps, Instant Start Ballast, NLO (0.85 &lt; BF &lt; 0.95)</t>
  </si>
  <si>
    <t>F82IERU</t>
  </si>
  <si>
    <t>T12</t>
  </si>
  <si>
    <t>Fluorescent, (1) 18" T12 lamp</t>
  </si>
  <si>
    <t>F1.51SS</t>
  </si>
  <si>
    <t>Fluorescent, (2) 18", T12 lamps</t>
  </si>
  <si>
    <t>F1.52SS</t>
  </si>
  <si>
    <t>Fluorescent, (1) 24", STD lamp</t>
  </si>
  <si>
    <t>F21SS</t>
  </si>
  <si>
    <t>Fluorescent, (2) 24", STD lamps</t>
  </si>
  <si>
    <t>F22SS</t>
  </si>
  <si>
    <t>Fluorescent, (3) 24", STD lamps</t>
  </si>
  <si>
    <t>F23SS</t>
  </si>
  <si>
    <t>Fluorescent, (4) 24", STD lamps</t>
  </si>
  <si>
    <t>F24SS</t>
  </si>
  <si>
    <t>Fluorescent, (6) 24", STD lamps, (2) ballasts</t>
  </si>
  <si>
    <t>F26SS/2</t>
  </si>
  <si>
    <t>T12 HO</t>
  </si>
  <si>
    <t>Fluorescent, (1) 24", HO lamp</t>
  </si>
  <si>
    <t>F21HS</t>
  </si>
  <si>
    <t>Fluorescent, (2) 24", HO lamps</t>
  </si>
  <si>
    <t>F22HS</t>
  </si>
  <si>
    <t>Fluorescent, (2) 36" ES lamps, Tandem 4-lamp ballast, NLO (0.85 &lt; BF &lt; 0.95)</t>
  </si>
  <si>
    <t>F32EL/T4</t>
  </si>
  <si>
    <t>Fluorescent, (1) 48", F25T12 lamp, Instant Start Ballast</t>
  </si>
  <si>
    <t>F41IAL</t>
  </si>
  <si>
    <t>Fluorescent, (1) 48", F25T12 lamp, Tandem 2-Lamp IS ballast, RLO (BF &lt; 0.85)</t>
  </si>
  <si>
    <t>F41IAL/T2-R</t>
  </si>
  <si>
    <t>Fluorescent, (1) 48", F25T12 lamp, Tandem 3-Lamp IS ballast, RLO (BF &lt; 0.85)</t>
  </si>
  <si>
    <t>F41IAL/T3-R</t>
  </si>
  <si>
    <t>Fluorescent, (1) 48", F25T12 lamp, Tandem 4-Lamp IS ballast, RLO (BF &lt; 0.85)</t>
  </si>
  <si>
    <t>F41IAL/T4-R</t>
  </si>
  <si>
    <t>Fluorescent, (2) 48", F25T12 lamps, Instant Start Ballast, RLO (BF &lt; 0.85)</t>
  </si>
  <si>
    <t>F42IAL-R</t>
  </si>
  <si>
    <t>Fluorescent, (2) 48", F25T12 lamps, Tandem 4-lamp IS Ballast, RLO (BF &lt; 0.85)</t>
  </si>
  <si>
    <t>F42IAL/T4-R</t>
  </si>
  <si>
    <t>Fluorescent, (3) 48", F25T12 lamps, Instant Start Ballast, RLO (BF &lt; 0.85)</t>
  </si>
  <si>
    <t>F43IAL-R</t>
  </si>
  <si>
    <t>Fluorescent, (4) 48", F25T12 lamps, Instant Start Ballast, RLO (BF &lt; 0.85)</t>
  </si>
  <si>
    <t>F44IAL-R</t>
  </si>
  <si>
    <t>Fluorescent, (1) 36", STD lamp, Tandem 2-lamp ballast</t>
  </si>
  <si>
    <t>F31SE/T2</t>
  </si>
  <si>
    <t>Fluorescent, (1) 36", STD lamp</t>
  </si>
  <si>
    <t>F31SL</t>
  </si>
  <si>
    <t>F31SS</t>
  </si>
  <si>
    <t>F31SS/T2</t>
  </si>
  <si>
    <t>Fluorescent, (2) 36", STD lamps</t>
  </si>
  <si>
    <t>F32SE</t>
  </si>
  <si>
    <t>F32SL</t>
  </si>
  <si>
    <t>F32SS</t>
  </si>
  <si>
    <t>Fluorescent, (3) 36", STD lamps, (1) STD ballast and (1) ES ballast</t>
  </si>
  <si>
    <t>F33SE</t>
  </si>
  <si>
    <t>Fluorescent, (3) 36", STD lamps</t>
  </si>
  <si>
    <t>F33SS</t>
  </si>
  <si>
    <t>Fluorescent, (4) 36", STD lamps</t>
  </si>
  <si>
    <t>F34SE</t>
  </si>
  <si>
    <t>F34SL</t>
  </si>
  <si>
    <t>F34SS</t>
  </si>
  <si>
    <t>Fluorescent, (6) 36", STD lamps</t>
  </si>
  <si>
    <t>F36SE</t>
  </si>
  <si>
    <t>F36SS</t>
  </si>
  <si>
    <t>Fluorescent, (1) 36", ES lamp, Tandem 2-lamp ballast</t>
  </si>
  <si>
    <t>F31EE/T2</t>
  </si>
  <si>
    <t>Fluorescent, (1) 36", ES lamp</t>
  </si>
  <si>
    <t>F31EL</t>
  </si>
  <si>
    <t>F31ES</t>
  </si>
  <si>
    <t>F31ES/T2</t>
  </si>
  <si>
    <t>Fluorescent, (2) 36", ES lamps</t>
  </si>
  <si>
    <t>F32EE</t>
  </si>
  <si>
    <t>F32EL</t>
  </si>
  <si>
    <t>F32ES</t>
  </si>
  <si>
    <t>Fluorescent, (3) 36", ES lamps</t>
  </si>
  <si>
    <t>F33ES</t>
  </si>
  <si>
    <t>Fluorescent, (4) 36", ES lamps</t>
  </si>
  <si>
    <t>F34EE</t>
  </si>
  <si>
    <t>Fluorescent, (6) 36", ES lamps</t>
  </si>
  <si>
    <t>F36EE</t>
  </si>
  <si>
    <t>F36ES</t>
  </si>
  <si>
    <t>Fluorescent, (1) 36", HO lamp</t>
  </si>
  <si>
    <t>F31SHS</t>
  </si>
  <si>
    <t>Fluorescent, (2) 36", HO, lamps</t>
  </si>
  <si>
    <t>F32SHS</t>
  </si>
  <si>
    <t>Fluorescent, (1) 48", STD IS lamp, Electronic ballast</t>
  </si>
  <si>
    <t>F41SIL</t>
  </si>
  <si>
    <t>Fluorescent, (1) 48", STD IS lamp, Tandem 2-lamp IS ballast</t>
  </si>
  <si>
    <t>F41SIL/T2</t>
  </si>
  <si>
    <t>Fluorescent, (2) 48", STD IS lamps, Electronic ballast</t>
  </si>
  <si>
    <t>F42SIL</t>
  </si>
  <si>
    <t>Fluorescent, (3) 48", STD IS lamps, Electronic ballast</t>
  </si>
  <si>
    <t>F43SIL</t>
  </si>
  <si>
    <t>Fluorescent, (4) 48", STD IS lamps, Electronic ballast</t>
  </si>
  <si>
    <t>F44SIL</t>
  </si>
  <si>
    <t>Fluorescent, (6) 48", STD lamps</t>
  </si>
  <si>
    <t>F46SL</t>
  </si>
  <si>
    <t>T10</t>
  </si>
  <si>
    <t>Fluorescent, (1) 48", T-10 lamp</t>
  </si>
  <si>
    <t>F41TS</t>
  </si>
  <si>
    <t>Fluorescent, (1) 48", ES lamp</t>
  </si>
  <si>
    <t>F41EE</t>
  </si>
  <si>
    <t>Fluorescent, (1) 48", ES lamp, 2 ballast</t>
  </si>
  <si>
    <t>F41EE/2</t>
  </si>
  <si>
    <t>Fluorescent, (1) 48", ES lamp, Tandem 2-lamp ballast</t>
  </si>
  <si>
    <t>F41EE/T2</t>
  </si>
  <si>
    <t>Fluorescent, (1) 48", T12 ES lamp, Electronic Ballast</t>
  </si>
  <si>
    <t>F41EL</t>
  </si>
  <si>
    <t>Fluorescent, (2) 48", ES lamp</t>
  </si>
  <si>
    <t>F42EE</t>
  </si>
  <si>
    <t>Fluorescent, (2) 48", ES lamps, (2) 1-lamp ballasts</t>
  </si>
  <si>
    <t>F42EE/2</t>
  </si>
  <si>
    <t>Fluorescent, (2) 48", ES lamps, 2 Ballasts (delamped)</t>
  </si>
  <si>
    <t>F42EE/D2</t>
  </si>
  <si>
    <t>Fluorescent, (2) 48", T12 ES lamps, Electronic Ballast</t>
  </si>
  <si>
    <t>F42EL</t>
  </si>
  <si>
    <t>Fluorescent, (3) 48", ES lamps</t>
  </si>
  <si>
    <t>F43EE</t>
  </si>
  <si>
    <t>Fluorescent, (3) 48", ES lamps, Tandem 2-lamp ballasts</t>
  </si>
  <si>
    <t>F43EE/T2</t>
  </si>
  <si>
    <t>Fluorescent, (3) 48", T12 ES lamps, Electronic Ballast</t>
  </si>
  <si>
    <t>F43EL</t>
  </si>
  <si>
    <t>Fluorescent, (4) 48", ES lamps</t>
  </si>
  <si>
    <t>F44EE</t>
  </si>
  <si>
    <t>Fluorescent, (4) 48", ES lamps, 3 Ballasts (delamped)</t>
  </si>
  <si>
    <t>F44EE/D3</t>
  </si>
  <si>
    <t>Fluorescent, (4) 48", ES lamps, 4 Ballasts (delamped)</t>
  </si>
  <si>
    <t>F44EE/D4</t>
  </si>
  <si>
    <t>Fluorescent, (4) 48", T12 ES lamps, Electronic Ballast</t>
  </si>
  <si>
    <t>F44EL</t>
  </si>
  <si>
    <t>Fluorescent, (6) 48", ES lamps</t>
  </si>
  <si>
    <t>F46EE</t>
  </si>
  <si>
    <t>F46EL</t>
  </si>
  <si>
    <t>Fluorescent, (8) 48", ES lamps</t>
  </si>
  <si>
    <t>F48EE</t>
  </si>
  <si>
    <t>Fluorescent, (2) 42", HO lamps (3.5' lamp)</t>
  </si>
  <si>
    <t>F42EHS</t>
  </si>
  <si>
    <t>Fluorescent, (3) 42", HO lamps (3.5' lamp)</t>
  </si>
  <si>
    <t>F43EHS</t>
  </si>
  <si>
    <t>Fluorescent, (1) 48" ES Instant Start lamp. Magnetic ballast</t>
  </si>
  <si>
    <t>F41EIS</t>
  </si>
  <si>
    <t>Fluorescent, (2) 48" ES Instant Start lamps. Magnetic ballast</t>
  </si>
  <si>
    <t>F42EIS</t>
  </si>
  <si>
    <t>Fluorescent, (3) 48" ES Instant Start lamps. Magnetic ballast</t>
  </si>
  <si>
    <t>F43EIS</t>
  </si>
  <si>
    <t>Fluorescent, (4) 48" ES Instant Start lamps. Magnetic ballast</t>
  </si>
  <si>
    <t>F44EIS</t>
  </si>
  <si>
    <t>Fluorescent, (1) 48", STD HO lamp</t>
  </si>
  <si>
    <t>F41SHS</t>
  </si>
  <si>
    <t>Fluorescent, (2) 48", STD HO lamps</t>
  </si>
  <si>
    <t>F42SHS</t>
  </si>
  <si>
    <t>Fluorescent, (3) 48", STD HO lamps</t>
  </si>
  <si>
    <t>F43SHS</t>
  </si>
  <si>
    <t>Fluorescent, (4) 48", STD HO lamps</t>
  </si>
  <si>
    <t>F44SHS</t>
  </si>
  <si>
    <t>Fluorescent, (1) 48", ES HO lamp</t>
  </si>
  <si>
    <t>F41EHS</t>
  </si>
  <si>
    <t>Fluorescent, (4) 48", ES HO lamps</t>
  </si>
  <si>
    <t>F44EHS</t>
  </si>
  <si>
    <t>T12 VHO</t>
  </si>
  <si>
    <t>Fluorescent, (1) 48", STD VHO lamp</t>
  </si>
  <si>
    <t>F41SVS</t>
  </si>
  <si>
    <t>Fluorescent, (2) 48", STD VHO lamps</t>
  </si>
  <si>
    <t>F42SVS</t>
  </si>
  <si>
    <t>Fluorescent, (3) 48", STD VHO lamps</t>
  </si>
  <si>
    <t>F43SVS</t>
  </si>
  <si>
    <t>Fluorescent, (4) 48", STD VHO lamps</t>
  </si>
  <si>
    <t>F44SVS</t>
  </si>
  <si>
    <t>Fluorescent, (4) 48", VHO ES lamps</t>
  </si>
  <si>
    <t>F44EVS</t>
  </si>
  <si>
    <t>Fluorescent, (1) 60", STD lamp</t>
  </si>
  <si>
    <t>F51SL</t>
  </si>
  <si>
    <t>F51SS</t>
  </si>
  <si>
    <t>Fluorescent, (2) 60", STD lamps</t>
  </si>
  <si>
    <t>F52SL</t>
  </si>
  <si>
    <t>F52SS</t>
  </si>
  <si>
    <t>Fluorescent, (1) 60", STD HO lamp</t>
  </si>
  <si>
    <t>F51SHE</t>
  </si>
  <si>
    <t>F51SHL</t>
  </si>
  <si>
    <t>F51SHS</t>
  </si>
  <si>
    <t>Fluorescent, (2) 60", STD HO lamps</t>
  </si>
  <si>
    <t>F52SHE</t>
  </si>
  <si>
    <t>F52SHL</t>
  </si>
  <si>
    <t>F52SHS</t>
  </si>
  <si>
    <t>Fluorescent, (1) 60", VHO ES lamp</t>
  </si>
  <si>
    <t>F51SVS</t>
  </si>
  <si>
    <t>Fluorescent, (2) 60", VHO ES lamps</t>
  </si>
  <si>
    <t>F52SVS</t>
  </si>
  <si>
    <t>Fluorescent, (1) 72", STD lamp, IS electronic ballast</t>
  </si>
  <si>
    <t>F61ISL</t>
  </si>
  <si>
    <t>Fluorescent, (1) 72", STD lamp</t>
  </si>
  <si>
    <t>F61SS</t>
  </si>
  <si>
    <t>Fluorescent, (2) 72", STD lamps, IS electronic ballast</t>
  </si>
  <si>
    <t>F62ISL</t>
  </si>
  <si>
    <t>Fluorescent, (2) 72", STD lamps</t>
  </si>
  <si>
    <t>F62SE</t>
  </si>
  <si>
    <t>F62SL</t>
  </si>
  <si>
    <t>F62SS</t>
  </si>
  <si>
    <t>Fluorescent, (3) 72", STD lamps, IS electronic ballast</t>
  </si>
  <si>
    <t>F63ISL</t>
  </si>
  <si>
    <t>Fluorescent, (3) 72", STD lamps</t>
  </si>
  <si>
    <t>F63SS</t>
  </si>
  <si>
    <t>Fluorescent, (4) 72", STD lamps, IS electronic ballast</t>
  </si>
  <si>
    <t>F64ISL</t>
  </si>
  <si>
    <t>Fluorescent, (4) 72", STD lamps</t>
  </si>
  <si>
    <t>F64SE</t>
  </si>
  <si>
    <t>F64SS</t>
  </si>
  <si>
    <t>Fluorescent, (1) 72", STD HO lamp</t>
  </si>
  <si>
    <t>F61SHS</t>
  </si>
  <si>
    <t>Fluorescent, (2) 72", STD HO lamps</t>
  </si>
  <si>
    <t>F62SHE</t>
  </si>
  <si>
    <t>F62SHL</t>
  </si>
  <si>
    <t>F62SHS</t>
  </si>
  <si>
    <t>Fluorescent, (4) 72", HO lamps</t>
  </si>
  <si>
    <t>F64SHE</t>
  </si>
  <si>
    <t>Fluorescent, (1) 72", VHO lamp</t>
  </si>
  <si>
    <t>F61SVS</t>
  </si>
  <si>
    <t>Fluorescent, (2) 72", VHO lamps</t>
  </si>
  <si>
    <t>F62SVS</t>
  </si>
  <si>
    <t>Fluorescent, (1) 84", HO lamp</t>
  </si>
  <si>
    <t>F71HS</t>
  </si>
  <si>
    <t>Fluorescent, (2) 84", HO lamp</t>
  </si>
  <si>
    <t>F72HS</t>
  </si>
  <si>
    <t>Fluorescent, (1) 96", STD lamp</t>
  </si>
  <si>
    <t>F81SL</t>
  </si>
  <si>
    <t>Fluorescent, (1) 96", STD lamp, Tandem 2-lamp ballast</t>
  </si>
  <si>
    <t>F81SL/T2</t>
  </si>
  <si>
    <t>Fluorescent, (2) 96", STD lamps</t>
  </si>
  <si>
    <t>F82SL</t>
  </si>
  <si>
    <t>Fluorescent, (3) 96", STD lamps</t>
  </si>
  <si>
    <t>F83SL</t>
  </si>
  <si>
    <t>Fluorescent, (4) 96", STD lamps</t>
  </si>
  <si>
    <t>F84SL</t>
  </si>
  <si>
    <t>Fluorescent, (1) 96" ES lamp</t>
  </si>
  <si>
    <t>F81EE</t>
  </si>
  <si>
    <t>Fluorescent, (1) 96", ES lamp, Tandem 2-lamp ballast</t>
  </si>
  <si>
    <t>F81EE/T2</t>
  </si>
  <si>
    <t>Fluorescent, (1) 96", ES lamp</t>
  </si>
  <si>
    <t>F81EL</t>
  </si>
  <si>
    <t>F81EL/T2</t>
  </si>
  <si>
    <t>Fluorescent, (2) 96", ES lamps</t>
  </si>
  <si>
    <t>F82EE</t>
  </si>
  <si>
    <t>F82EL</t>
  </si>
  <si>
    <t>Fluorescent, (3) 96", ES lamps</t>
  </si>
  <si>
    <t>F83EE</t>
  </si>
  <si>
    <t>F83EL</t>
  </si>
  <si>
    <t>Fluorescent, (4) 96", ES lamps</t>
  </si>
  <si>
    <t>F84EE</t>
  </si>
  <si>
    <t>F84EL</t>
  </si>
  <si>
    <t>Fluorescent, (6) 96", ES lamps</t>
  </si>
  <si>
    <t>F86EE</t>
  </si>
  <si>
    <t>Fluorescent, (1) 96", STD HO lamp</t>
  </si>
  <si>
    <t>F81SHS</t>
  </si>
  <si>
    <t>Fluorescent, (2) 96", STD HO lamps</t>
  </si>
  <si>
    <t>F82SHE</t>
  </si>
  <si>
    <t>F82SHL</t>
  </si>
  <si>
    <t>F82SHS</t>
  </si>
  <si>
    <t>Fluorescent, (3) 96", STD HO lamps</t>
  </si>
  <si>
    <t>F83SHE</t>
  </si>
  <si>
    <t>F83SHS</t>
  </si>
  <si>
    <t>Fluorescent, (4) 96", STD HO lamps</t>
  </si>
  <si>
    <t>F84SHE</t>
  </si>
  <si>
    <t>F84SHL</t>
  </si>
  <si>
    <t>F84SHS</t>
  </si>
  <si>
    <t>Fluorescent, (8) 96", STD HO lamps</t>
  </si>
  <si>
    <t>F88SHS</t>
  </si>
  <si>
    <t>Fluorescent, (1) 96", ES HO lamp</t>
  </si>
  <si>
    <t>F81EHL</t>
  </si>
  <si>
    <t>F81EHS</t>
  </si>
  <si>
    <t>Fluorescent, (2) 96", ES HO lamps</t>
  </si>
  <si>
    <t>F82EHE</t>
  </si>
  <si>
    <t>F82EHL</t>
  </si>
  <si>
    <t>F82EHS</t>
  </si>
  <si>
    <t>Mag-ES/STD</t>
  </si>
  <si>
    <t>Fluorescent, (3) 96", ES HO lamps, (1) 2-lamp ES Ballast and (1) 1-lamp STD Ballast</t>
  </si>
  <si>
    <t>F83EHE</t>
  </si>
  <si>
    <t>Fluorescent, (3) 96", ES HO lamps</t>
  </si>
  <si>
    <t>F83EHS</t>
  </si>
  <si>
    <t>Fluorescent, (4) 96", ES HO lamps</t>
  </si>
  <si>
    <t>F84EHE</t>
  </si>
  <si>
    <t>F84EHL</t>
  </si>
  <si>
    <t>F84EHS</t>
  </si>
  <si>
    <t>Fluorescent, (6) 96", ES HO lamps</t>
  </si>
  <si>
    <t>F86EHS</t>
  </si>
  <si>
    <t>Fluorescent, (8) 96", ES HO lamps</t>
  </si>
  <si>
    <t>F88EHE</t>
  </si>
  <si>
    <t>Fluorescent, (1) 96", STD VHO lamp</t>
  </si>
  <si>
    <t>F81SVS</t>
  </si>
  <si>
    <t>Fluorescent, (2) 96", STD VHO lamps</t>
  </si>
  <si>
    <t>F82SVS</t>
  </si>
  <si>
    <t>Fluorescent, (3) 96", STD VHO lamps</t>
  </si>
  <si>
    <t>F83SVS</t>
  </si>
  <si>
    <t>Fluorescent, (4) 96", STD VHO lamps</t>
  </si>
  <si>
    <t>F84SVS</t>
  </si>
  <si>
    <t>Fluorescent, (1) 96", ES VHO lamp</t>
  </si>
  <si>
    <t>F81EVS</t>
  </si>
  <si>
    <t>Fluorescent, (2) 96", ES VHO lamps</t>
  </si>
  <si>
    <t>F82EVS</t>
  </si>
  <si>
    <t>Fluorescent, (3) 96", ES VHO lamps</t>
  </si>
  <si>
    <t>F83EVS</t>
  </si>
  <si>
    <t>Fluorescent, (4) 96", ES VHO lamps</t>
  </si>
  <si>
    <t>F84EVS</t>
  </si>
  <si>
    <t>Fluorescent, (1) 96", T17 Grooved lamp</t>
  </si>
  <si>
    <t>F81SGS</t>
  </si>
  <si>
    <t>Fluorescent, (0) 48" lamps, Completely delamped fixture with (1) hot ballast</t>
  </si>
  <si>
    <t>F40SE/D1</t>
  </si>
  <si>
    <t>Fluorescent, (0) 48" lamps, Completely delamped fixture with (2) hot ballast</t>
  </si>
  <si>
    <t>F40SE/D2</t>
  </si>
  <si>
    <t>T9</t>
  </si>
  <si>
    <t>Fluorescent, (1) 6" circular lamp, RS ballast</t>
  </si>
  <si>
    <t>FC6/1</t>
  </si>
  <si>
    <t>Fluorescent, (1) 8" circular lamp, RS ballast</t>
  </si>
  <si>
    <t>FC8/1</t>
  </si>
  <si>
    <t>Fluorescent, (2) 8" circular lamps, RS ballast</t>
  </si>
  <si>
    <t>FC8/2</t>
  </si>
  <si>
    <t>Fluorescent, Circline, (1) 20W lamp, preheat ballast</t>
  </si>
  <si>
    <t>FC20</t>
  </si>
  <si>
    <t>Fluorescent, Circline, (1) 22W lamp, preheat ballast</t>
  </si>
  <si>
    <t>FC22</t>
  </si>
  <si>
    <t>Fluorescent, (1) 12" circular lamp, RS ballast</t>
  </si>
  <si>
    <t>FC12/1</t>
  </si>
  <si>
    <t>Fluorescent, (2) 12" circular lamps, RS ballast</t>
  </si>
  <si>
    <t>FC12/2</t>
  </si>
  <si>
    <t>Fluorescent, Circline, (1) 32W lamp, preheat ballast</t>
  </si>
  <si>
    <t>FC32</t>
  </si>
  <si>
    <t>Fluorescent, (1) 16" circular lamp</t>
  </si>
  <si>
    <t>FC16/1</t>
  </si>
  <si>
    <t>FC40</t>
  </si>
  <si>
    <t>Induction</t>
  </si>
  <si>
    <t>Electrodeless Fluorescent System, (1) 40W lamp</t>
  </si>
  <si>
    <t>FEI40/1</t>
  </si>
  <si>
    <t>Electrodeless Fluorescent System, (1) 55W lamp</t>
  </si>
  <si>
    <t>FEI55/1</t>
  </si>
  <si>
    <t>Electrodeless Fluorescent System, (1) 60W lamp</t>
  </si>
  <si>
    <t>FEI60/1</t>
  </si>
  <si>
    <t>Electrodeless Fluorescent System, (1) 70W lamp</t>
  </si>
  <si>
    <t>FEI70/1</t>
  </si>
  <si>
    <t>Electrodeless Fluorescent System, (1) 80W lamp</t>
  </si>
  <si>
    <t>FEI80/1</t>
  </si>
  <si>
    <t>Electrodeless Fluorescent System, (1) 85W lamp</t>
  </si>
  <si>
    <t>FEI85/1</t>
  </si>
  <si>
    <t>Electrodeless Fluorescent System, (1) 100W lamp</t>
  </si>
  <si>
    <t>FEI100/1</t>
  </si>
  <si>
    <t>Electrodeless Fluorescent System, (1) 125W lamp</t>
  </si>
  <si>
    <t>FEI125/1</t>
  </si>
  <si>
    <t>Electrodeless Fluorescent System, (1) 150W lamp</t>
  </si>
  <si>
    <t>FEI150/1</t>
  </si>
  <si>
    <t>Electrodeless Fluorescent System, (1) 165W lamp</t>
  </si>
  <si>
    <t>FEI165/1</t>
  </si>
  <si>
    <t>Electrodeless Fluorescent System, (1) 200W lamp</t>
  </si>
  <si>
    <t>FEI200/1</t>
  </si>
  <si>
    <t>Electrodeless Fluorescent System, (1) 250W lamp</t>
  </si>
  <si>
    <t>FEI250/1</t>
  </si>
  <si>
    <t>Electrodeless Fluorescent System, (1) 300W lamp</t>
  </si>
  <si>
    <t>FEI300/1</t>
  </si>
  <si>
    <t>Electrodeless Fluorescent System, (1) 400W lamp</t>
  </si>
  <si>
    <t>FEI400/1</t>
  </si>
  <si>
    <t>U T8</t>
  </si>
  <si>
    <t>Fluorescent, (1) U-Tube, T-8 lamp, Instant Start ballast</t>
  </si>
  <si>
    <t>FU1ILL</t>
  </si>
  <si>
    <t>Fluorescent, (1) U-Tube, T-8 lamp</t>
  </si>
  <si>
    <t>FU1LL</t>
  </si>
  <si>
    <t>Fluorescent, (1) U-Tube, T-8 lamp, RLO (BF &lt; 0.85)</t>
  </si>
  <si>
    <t>FU1LL-R</t>
  </si>
  <si>
    <t>Fluorescent, (2) U-Tube, T-8 lamps, Instant Start Ballast</t>
  </si>
  <si>
    <t>FU2ILL</t>
  </si>
  <si>
    <t>Fluorescent, (2) U-Tube, T-8 lamps, Instant Start HLO Ballast</t>
  </si>
  <si>
    <t>FU2ILL-H</t>
  </si>
  <si>
    <t>Fluorescent, (2) U-Tube, T-8 lamps, Instant Start RLO Ballast</t>
  </si>
  <si>
    <t>FU2ILL-R</t>
  </si>
  <si>
    <t>Fluorescent, (2) U-Tube, T-8 lamps, Instant Start Ballast, Tandem 4-lamp ballast</t>
  </si>
  <si>
    <t>FU2ILL/T4</t>
  </si>
  <si>
    <t>Fluorescent, (2) U-Tube, T-8 lamps, Instant Start Ballast, RLO, Tandem 4-lamp ballast</t>
  </si>
  <si>
    <t>FU2ILL/T4-R</t>
  </si>
  <si>
    <t>Fluorescent, (2) U-Tube, T-8 lamps</t>
  </si>
  <si>
    <t>FU2LL</t>
  </si>
  <si>
    <t>Fluorescent, (2) U-Tube, T-8 lamps, RLO (BF &lt; 0.85)</t>
  </si>
  <si>
    <t>FU2LL-R</t>
  </si>
  <si>
    <t>Fluorescent, (2) U-Tube, T-8 lamps, Tandem 4-lamp ballast</t>
  </si>
  <si>
    <t>FU2LL/T2</t>
  </si>
  <si>
    <t>Fluorescent, (3) U-Tube, T-8 lamps, Instant Start Ballast</t>
  </si>
  <si>
    <t>FU3ILL</t>
  </si>
  <si>
    <t>Fluorescent, (3) U-Tube, T-8 lamps, Instant Start RLO Ballast</t>
  </si>
  <si>
    <t>FU3ILL-R</t>
  </si>
  <si>
    <t>Fluorescent, (1) 6" spacing U-Tube, T-8 lamp, IS Ballast, NLO (0.85 &lt; BF &lt; 0.95)</t>
  </si>
  <si>
    <t>FU1ILU</t>
  </si>
  <si>
    <t>Fluorescent, (1) 6" spacing U-Tube, T-8 lamp, IS Ballast, HLO (.95 &lt; BF &lt; 1.1)</t>
  </si>
  <si>
    <t>FU1ILU-H</t>
  </si>
  <si>
    <t>Fluorescent, (2) 6" spacing U-Tube, T-8 lamps, IS Ballast, NLO (0.85 &lt; BF &lt; 0.95)</t>
  </si>
  <si>
    <t>FU2ILU</t>
  </si>
  <si>
    <t>Fluorescent, (2) 6" spacing U-Tube, T-8 lamps, IS Ballast, RLO (BF &lt; 0.85)</t>
  </si>
  <si>
    <t>FU2ILU-R</t>
  </si>
  <si>
    <t>Fluorescent, (2) 6" spacing U-Tube, T-8 lamps, IS Ballast, VHLO (BF &gt; 1.1)</t>
  </si>
  <si>
    <t>FU2ILU-V</t>
  </si>
  <si>
    <t>Fluorescent, (3) 6" spacing U-Tube, T-8 lamps, IS Ballast, NLO (0.85 &lt; BF &lt; 0.95)</t>
  </si>
  <si>
    <t>FU3ILU</t>
  </si>
  <si>
    <t>Fluorescent, (3) 6" spacing U-Tube, T-8 lamps, IS Ballast, RLO (BF &lt; 0.85)</t>
  </si>
  <si>
    <t>FU3ILU-R</t>
  </si>
  <si>
    <t>U T12</t>
  </si>
  <si>
    <t>Fluorescent, (1) U-Tube, STD lamp</t>
  </si>
  <si>
    <t>FU1SE</t>
  </si>
  <si>
    <t>Fluorescent, (1) U-Tube, ES Lamp</t>
  </si>
  <si>
    <t>FU1SS</t>
  </si>
  <si>
    <t>Fluorescent, (2) U-Tube, STD lamps</t>
  </si>
  <si>
    <t>FU2SE</t>
  </si>
  <si>
    <t>Fluorescent (2) 48" U-bent Standard lamps, Electronic ballast, NLO (0.85 &lt; BF &lt; 0.95)</t>
  </si>
  <si>
    <t>FU2SL</t>
  </si>
  <si>
    <t>Fluorescent, (1) U-Tube, STD lamp, STD Mag Ballast</t>
  </si>
  <si>
    <t>FU2SS</t>
  </si>
  <si>
    <t>Fluorescent, (3) U-Tube, STD lamps</t>
  </si>
  <si>
    <t>FU3SE</t>
  </si>
  <si>
    <t>Fluorescent, (1) U-Tube, ES lamp</t>
  </si>
  <si>
    <t>FU1EE</t>
  </si>
  <si>
    <t>FU1ES</t>
  </si>
  <si>
    <t>Fluorescent, (2) U-Tube, ES lamps</t>
  </si>
  <si>
    <t>FU2EE</t>
  </si>
  <si>
    <t>Fluorescent (2) 48" U-bent ES lamps, Electronic ballast, NLO (0.85 &lt; BF &lt; 0.95)</t>
  </si>
  <si>
    <t>FU2EL</t>
  </si>
  <si>
    <t>FU2ES</t>
  </si>
  <si>
    <t>Fluorescent, (3) U-Tube, ES lamps</t>
  </si>
  <si>
    <t>FU3EE</t>
  </si>
  <si>
    <t>High Pressure Sodium</t>
  </si>
  <si>
    <t>High Pressure Sodium, (1) 35W lamp</t>
  </si>
  <si>
    <t>HPS35/1</t>
  </si>
  <si>
    <t>High Pressure Sodium, (1) 50W lamp</t>
  </si>
  <si>
    <t>HPS50/1</t>
  </si>
  <si>
    <t>High Pressure Sodium, (1) 70W lamp</t>
  </si>
  <si>
    <t>HPS70/1</t>
  </si>
  <si>
    <t>High Pressure Sodium, (1) 100W lamp</t>
  </si>
  <si>
    <t>HPS100/1</t>
  </si>
  <si>
    <t>High Pressure Sodium, (1) 150W lamp</t>
  </si>
  <si>
    <t>HPS150/1</t>
  </si>
  <si>
    <t>High Pressure Sodium, (1) 200W lamp</t>
  </si>
  <si>
    <t>HPS200/1</t>
  </si>
  <si>
    <t>High Pressure Sodium, (1) 250W lamp</t>
  </si>
  <si>
    <t>HPS250/1</t>
  </si>
  <si>
    <t>High Pressure Sodium, (1) 310W lamp</t>
  </si>
  <si>
    <t>HPS310/1</t>
  </si>
  <si>
    <t>High Pressure Sodium, (1) 360W lamp</t>
  </si>
  <si>
    <t>HPS360/1</t>
  </si>
  <si>
    <t>High Pressure Sodium, (1) 400W lamp</t>
  </si>
  <si>
    <t>HPS400/1</t>
  </si>
  <si>
    <t>High Pressure Sodium, (1) 1000W lamp</t>
  </si>
  <si>
    <t>HPS1000/1</t>
  </si>
  <si>
    <t>Metal Halide</t>
  </si>
  <si>
    <t>Metal Halide, (1) 20W lamp</t>
  </si>
  <si>
    <t>MH20/1-L</t>
  </si>
  <si>
    <t>Metal Halide, (1) 22W lamp</t>
  </si>
  <si>
    <t>MH22/1-L</t>
  </si>
  <si>
    <t>Magnetic</t>
  </si>
  <si>
    <t>Metal Halide, (1) 32W lamp, Magnetic ballast</t>
  </si>
  <si>
    <t>MH32/1</t>
  </si>
  <si>
    <t>Metal Halide, (1) 39W lamp, Magnetic ballast</t>
  </si>
  <si>
    <t>MH39/1</t>
  </si>
  <si>
    <t>Metal Halide, (1) 39W lamp</t>
  </si>
  <si>
    <t>MH39/1-L</t>
  </si>
  <si>
    <t>Metal Halide, (1) 50W lamp, Magnetic ballast</t>
  </si>
  <si>
    <t>MH50/1</t>
  </si>
  <si>
    <t>Metal Halide, (1) 50W lamp</t>
  </si>
  <si>
    <t>MH50/1-L</t>
  </si>
  <si>
    <t>Metal Halide, (1) 70W lamp, Magnetic ballast</t>
  </si>
  <si>
    <t>MH70/1</t>
  </si>
  <si>
    <t>Metal Halide, (1) 70W lamp</t>
  </si>
  <si>
    <t>MH70/1-L</t>
  </si>
  <si>
    <t>Metal Halide, (1) 100W lamp, Magnetic ballast</t>
  </si>
  <si>
    <t>MH100/1</t>
  </si>
  <si>
    <t>Metal Halide, (1) 100W lamp</t>
  </si>
  <si>
    <t>MH100/1-L</t>
  </si>
  <si>
    <t>Metal Halide, (1) 125W lamp, Magnetic ballast</t>
  </si>
  <si>
    <t>MH125/1</t>
  </si>
  <si>
    <t>Metal Halide, (1) 150W lamp, Magnetic ballast</t>
  </si>
  <si>
    <t>MH150/1</t>
  </si>
  <si>
    <t>Metal Halide, (1) 150W lamp</t>
  </si>
  <si>
    <t>MH150/1-L</t>
  </si>
  <si>
    <t>Metal Halide, (1) 175W lamp, Magnetic ballast</t>
  </si>
  <si>
    <t>MH175/1</t>
  </si>
  <si>
    <t>Metal Halide, (1) 175W lamp</t>
  </si>
  <si>
    <t>MH175/1-L</t>
  </si>
  <si>
    <t>Metal Halide, (1) 200W lamp, Magnetic ballast</t>
  </si>
  <si>
    <t>MH200/1</t>
  </si>
  <si>
    <t>Metal Halide, (1) 200W lamp</t>
  </si>
  <si>
    <t>MH200/1-L</t>
  </si>
  <si>
    <t>Metal Halide, (1) 250W lamp, Magnetic ballast</t>
  </si>
  <si>
    <t>MH250/1</t>
  </si>
  <si>
    <t>Metal Halide, (1) 250W lamp</t>
  </si>
  <si>
    <t>MH250/1-L</t>
  </si>
  <si>
    <t>Metal Halide, (1) 320W lamp, Magnetic ballast</t>
  </si>
  <si>
    <t>MH320/1</t>
  </si>
  <si>
    <t>Metal Halide, (1) 320W lamp</t>
  </si>
  <si>
    <t>MH320/1-L</t>
  </si>
  <si>
    <t>Metal Halide, (1) 350W lamp, Magnetic ballast</t>
  </si>
  <si>
    <t>MH350/1</t>
  </si>
  <si>
    <t>Metal Halide, (1) 350W lamp</t>
  </si>
  <si>
    <t>MH350/1-L</t>
  </si>
  <si>
    <t>Metal Halide, (1) 360W lamp, Magnetic ballast</t>
  </si>
  <si>
    <t>MH360/1</t>
  </si>
  <si>
    <t>Metal Halide, (1) 400W lamp, Magnetic ballast</t>
  </si>
  <si>
    <t>MH400/1</t>
  </si>
  <si>
    <t>Metal Halide, (1) 400W lamp</t>
  </si>
  <si>
    <t>MH400/1-L</t>
  </si>
  <si>
    <t>Metal Halide, (1) 450W lamp, Magnetic ballast</t>
  </si>
  <si>
    <t>MH450/1</t>
  </si>
  <si>
    <t>Metal Halide, (1) 450W lamp</t>
  </si>
  <si>
    <t>MH450/1-L</t>
  </si>
  <si>
    <t>Metal Halide, (1) 575W lamp, Magnetic ballast</t>
  </si>
  <si>
    <t>MH575/1</t>
  </si>
  <si>
    <t>Metal Halide, (1) 750W lamp, Magnetic ballast</t>
  </si>
  <si>
    <t>MH750/1</t>
  </si>
  <si>
    <t>Metal Halide, (1) 775W lamp, Magnetic ballast</t>
  </si>
  <si>
    <t>MH775/1</t>
  </si>
  <si>
    <t>Metal Halide, (1) 875W lamp</t>
  </si>
  <si>
    <t>MH875/1</t>
  </si>
  <si>
    <t>Metal Halide, (1) 1000W lamp, Magnetic ballast</t>
  </si>
  <si>
    <t>MH1000/1</t>
  </si>
  <si>
    <t>Metal Halide, (1) 1000W lamp</t>
  </si>
  <si>
    <t>MH1000/1-L</t>
  </si>
  <si>
    <t>Metal Halide, (1) 1500W lamp, Magnetic ballast</t>
  </si>
  <si>
    <t>MH1500/1</t>
  </si>
  <si>
    <t>Metal Halide, (1) 1650W lamp</t>
  </si>
  <si>
    <t>MH1650/1</t>
  </si>
  <si>
    <t>Metal Halide, (1) 2000W lamp</t>
  </si>
  <si>
    <t>MH2000/1</t>
  </si>
  <si>
    <t>Mercury Vapor</t>
  </si>
  <si>
    <t>Mercury Vapor, (1) 40W lamp</t>
  </si>
  <si>
    <t>MV40/1</t>
  </si>
  <si>
    <t>Mercury Vapor, (1) 50W lamp</t>
  </si>
  <si>
    <t>MV50/1</t>
  </si>
  <si>
    <t>Mercury Vapor, (1) 75W lamp</t>
  </si>
  <si>
    <t>MV75/1</t>
  </si>
  <si>
    <t>Mercury Vapor, (1) 100W lamp</t>
  </si>
  <si>
    <t>MV100/1</t>
  </si>
  <si>
    <t>Mercury Vapor, Self-Ballasted, (1) 160W self-ballasted lamp</t>
  </si>
  <si>
    <t>MV160/1</t>
  </si>
  <si>
    <t>Mercury Vapor, (1) 175W lamp</t>
  </si>
  <si>
    <t>MV175/1</t>
  </si>
  <si>
    <t>Mercury Vapor, (1) 250W lamp</t>
  </si>
  <si>
    <t>MV250/1</t>
  </si>
  <si>
    <t>Mercury Vapor, (1) 400W lamp</t>
  </si>
  <si>
    <t>MV400/1</t>
  </si>
  <si>
    <t>Mercury Vapor, (1) 700W lamp</t>
  </si>
  <si>
    <t>MV700/1</t>
  </si>
  <si>
    <t>Mercury Vapor, (1) 1000W lamp</t>
  </si>
  <si>
    <t>MV1000/1</t>
  </si>
  <si>
    <t>T8-T12</t>
  </si>
  <si>
    <t>T12 Baseline Substitute</t>
  </si>
  <si>
    <t>T12Lamp1Base48</t>
  </si>
  <si>
    <t>T12Lamp2Base48</t>
  </si>
  <si>
    <t>T12Lamp3Base48</t>
  </si>
  <si>
    <t>T12Lamp4Base48</t>
  </si>
  <si>
    <t>T12Lamp6Base48</t>
  </si>
  <si>
    <t>T12Lamp8Base48</t>
  </si>
  <si>
    <t>T12Lamp1Base60-75W</t>
  </si>
  <si>
    <t>T12Lamp2Base60-75W</t>
  </si>
  <si>
    <t>T12Lamp3Base60-75W</t>
  </si>
  <si>
    <t>T12Lamp4Base60-75W</t>
  </si>
  <si>
    <t>T12Lamp6Base60-75W</t>
  </si>
  <si>
    <t>T12Lamp8Base60-75W</t>
  </si>
  <si>
    <t>T12Lamp1Base95-110W</t>
  </si>
  <si>
    <t>T12Lamp2Base95-110W</t>
  </si>
  <si>
    <t>T12Lamp3Base95-110W</t>
  </si>
  <si>
    <t>T12Lamp4Base95-110W</t>
  </si>
  <si>
    <t>T12Lamp6Base95-110W</t>
  </si>
  <si>
    <t>T12Lamp8Base95-110W</t>
  </si>
  <si>
    <t>T12Lamp1U</t>
  </si>
  <si>
    <t>T12Lamp2U</t>
  </si>
  <si>
    <t>T12Lamp3U</t>
  </si>
  <si>
    <t>Project summary report</t>
  </si>
  <si>
    <r>
      <t xml:space="preserve">Energy Smart is proud to help New Orleans businesses increase energy efficiency and lower costs. 
Contact us at </t>
    </r>
    <r>
      <rPr>
        <b/>
        <sz val="10"/>
        <color theme="8"/>
        <rFont val="Arial"/>
        <family val="2"/>
      </rPr>
      <t>info@energysmartnola.com</t>
    </r>
    <r>
      <rPr>
        <b/>
        <sz val="10"/>
        <color theme="1"/>
        <rFont val="Arial"/>
        <family val="2"/>
      </rPr>
      <t xml:space="preserve"> for more opportunities to save.</t>
    </r>
  </si>
  <si>
    <t>Project summary</t>
  </si>
  <si>
    <t>Total gross project cost</t>
  </si>
  <si>
    <t>Estimated project incentive</t>
  </si>
  <si>
    <t>Net project cost</t>
  </si>
  <si>
    <t>Project energy savings (kWh)</t>
  </si>
  <si>
    <t xml:space="preserve">Project contacts </t>
  </si>
  <si>
    <t>Customer</t>
  </si>
  <si>
    <t>Trade ally</t>
  </si>
  <si>
    <t>Additional contact</t>
  </si>
  <si>
    <t>Energy savings summary</t>
  </si>
  <si>
    <t>Incentive type</t>
  </si>
  <si>
    <t>kW reduction</t>
  </si>
  <si>
    <t>Prescriptive lighting</t>
  </si>
  <si>
    <t>Custom lighting</t>
  </si>
  <si>
    <t>Prescriptive controls</t>
  </si>
  <si>
    <t>Total</t>
  </si>
  <si>
    <t>Financial details</t>
  </si>
  <si>
    <t>Gross project cost</t>
  </si>
  <si>
    <t>Project Completion Notice</t>
  </si>
  <si>
    <t>All project information shown below reflects inputs in the Project Tab of the project application, to update any information shown below, please update the information in the Project Tab of the application.</t>
  </si>
  <si>
    <t>This form should not be used or signed until after the project is installed.  To indicate that a project has been installed, please update the Project Stage field on the Project Tab to "Post-Retrofit"</t>
  </si>
  <si>
    <t>Project Summary</t>
  </si>
  <si>
    <t>Total Gross Project Cost</t>
  </si>
  <si>
    <t>Estimated Project Incentive</t>
  </si>
  <si>
    <t>Net Project Cost</t>
  </si>
  <si>
    <t>Project Energy Savings (kWh)</t>
  </si>
  <si>
    <t>Business/Organization Name</t>
  </si>
  <si>
    <t>Customer Contact Name</t>
  </si>
  <si>
    <t>Business/Organization Classification</t>
  </si>
  <si>
    <t>Trade Ally/Contractor Information</t>
  </si>
  <si>
    <t>Business Name</t>
  </si>
  <si>
    <t>Trade Ally Contact Name</t>
  </si>
  <si>
    <t>Registered Trade Ally?</t>
  </si>
  <si>
    <t>Incentive Payment Information</t>
  </si>
  <si>
    <t>Mail To</t>
  </si>
  <si>
    <t>Attention To</t>
  </si>
  <si>
    <t>Make Check Payable To</t>
  </si>
  <si>
    <t>Federal Tax ID Number</t>
  </si>
  <si>
    <t>Tax Entity</t>
  </si>
  <si>
    <t>Project Installation Completion Date</t>
  </si>
  <si>
    <t xml:space="preserve">I, the below signed, certify that the stated energy efficient measures detailed in this application were completed at the project location identified above and that the actual costs reported represents the final and eligible costs of the approved project. I further certify that, to the best of my knowledge, the statements made on this notice are correct. I have submitted the appropriate supporting documentation including all project invoices. </t>
  </si>
  <si>
    <t>Electronic Signature (Customer)</t>
  </si>
  <si>
    <t>Table 382: Annual Operating Hours (AOH) and Coincidence Factors (CF)</t>
  </si>
  <si>
    <t>Interpreted from Table 383: Commercial Interactive Effects</t>
  </si>
  <si>
    <t>Table 375: Lighting Controls – Power Adjustment Factors</t>
  </si>
  <si>
    <t>Named Values &amp; Inputs</t>
  </si>
  <si>
    <t>Table_Prescript_Meas</t>
  </si>
  <si>
    <t>Table_Custom_Measure_No</t>
  </si>
  <si>
    <t>Table_IntExt_Match</t>
  </si>
  <si>
    <t>Table_Bldg_Type</t>
  </si>
  <si>
    <t>Table_Special_AOH</t>
  </si>
  <si>
    <t>Table_IEFD_IEFE</t>
  </si>
  <si>
    <t>Table_Control_PAF</t>
  </si>
  <si>
    <t>Table_Measure_PAF</t>
  </si>
  <si>
    <t>Table_Programs_Rates</t>
  </si>
  <si>
    <t>Value_Project_CAP</t>
  </si>
  <si>
    <t>Sort Order</t>
  </si>
  <si>
    <t>Measure Number</t>
  </si>
  <si>
    <t>Measure Description</t>
  </si>
  <si>
    <t>Incentive - SC</t>
  </si>
  <si>
    <t>Incentive - LC</t>
  </si>
  <si>
    <t>Unit</t>
  </si>
  <si>
    <t>Lighting Type Selection List</t>
  </si>
  <si>
    <t>Interior or Exterior</t>
  </si>
  <si>
    <t>Deemed kWh Savings</t>
  </si>
  <si>
    <t>Deemed kW Reduction</t>
  </si>
  <si>
    <t>List_Light_Type</t>
  </si>
  <si>
    <t>Custom Measure No</t>
  </si>
  <si>
    <t>Inetrior or Exterior</t>
  </si>
  <si>
    <t>Measure Selection List</t>
  </si>
  <si>
    <t>List_Bldg_Types</t>
  </si>
  <si>
    <t>AOH</t>
  </si>
  <si>
    <t>CFbldg</t>
  </si>
  <si>
    <t>List_Special_AOHs</t>
  </si>
  <si>
    <t>List_HVAC</t>
  </si>
  <si>
    <r>
      <t>IEF</t>
    </r>
    <r>
      <rPr>
        <vertAlign val="subscript"/>
        <sz val="11"/>
        <color theme="1"/>
        <rFont val="Calibri"/>
        <family val="2"/>
        <scheme val="minor"/>
      </rPr>
      <t>D</t>
    </r>
  </si>
  <si>
    <r>
      <t>IEF</t>
    </r>
    <r>
      <rPr>
        <vertAlign val="subscript"/>
        <sz val="11"/>
        <color theme="1"/>
        <rFont val="Calibri"/>
        <family val="2"/>
        <scheme val="minor"/>
      </rPr>
      <t>E</t>
    </r>
  </si>
  <si>
    <t>List_Control_Types</t>
  </si>
  <si>
    <t>CFcontrol</t>
  </si>
  <si>
    <t>List_Control_Measure</t>
  </si>
  <si>
    <t>List_Program_Names</t>
  </si>
  <si>
    <t>Custom Incentive Rate</t>
  </si>
  <si>
    <t>List_Biz_Class</t>
  </si>
  <si>
    <t>List_Tax_Entity</t>
  </si>
  <si>
    <t>List_Y_N_U</t>
  </si>
  <si>
    <t>List_Y_N</t>
  </si>
  <si>
    <t>List_DBE_Option</t>
  </si>
  <si>
    <t>List_Project_Stage</t>
  </si>
  <si>
    <t>List_Install_Type</t>
  </si>
  <si>
    <t>List_Ownership</t>
  </si>
  <si>
    <t>List_Water_Heating</t>
  </si>
  <si>
    <t>List_Contacts</t>
  </si>
  <si>
    <t>List_Source</t>
  </si>
  <si>
    <t>List_T5HO_Type</t>
  </si>
  <si>
    <t>List_T8T12_Type</t>
  </si>
  <si>
    <t>List_T8HO_T12HO_Type</t>
  </si>
  <si>
    <t>List_UT8_UT12_Type</t>
  </si>
  <si>
    <t>List_Exit_Type</t>
  </si>
  <si>
    <t>List_Screw_In_Type</t>
  </si>
  <si>
    <t>List_HID_Type</t>
  </si>
  <si>
    <t>List_Gen_Replace_Option</t>
  </si>
  <si>
    <t>List_Lamp_Replace_Option</t>
  </si>
  <si>
    <t>List_LampsperFixture</t>
  </si>
  <si>
    <t>List_In_Out</t>
  </si>
  <si>
    <t>List_Cert_Body</t>
  </si>
  <si>
    <t>List_Hours</t>
  </si>
  <si>
    <t>List_Project_Type</t>
  </si>
  <si>
    <t>List_Int_Prescript_Measure</t>
  </si>
  <si>
    <t>List_Ext_Prescript_Measure</t>
  </si>
  <si>
    <t>Value_Measure_CAP</t>
  </si>
  <si>
    <t>LED Downlight Lamp/Kit</t>
  </si>
  <si>
    <t>Fixture or Lamp</t>
  </si>
  <si>
    <t>Interior</t>
  </si>
  <si>
    <t>Non-Linear LED Fixture</t>
  </si>
  <si>
    <t>LED replacing Non-Linear LED Fixture</t>
  </si>
  <si>
    <t>Leisure Dining: Bar Area</t>
  </si>
  <si>
    <t>Exit</t>
  </si>
  <si>
    <t>A/C with Gas/Propane Heat</t>
  </si>
  <si>
    <t>Switch/No Controls</t>
  </si>
  <si>
    <t>Daylighting Controller (Controlling &lt; 500 W)</t>
  </si>
  <si>
    <t>Small Commercial Solutions (project site demand &lt; 100kW)</t>
  </si>
  <si>
    <t xml:space="preserve">Corporation </t>
  </si>
  <si>
    <t>Individual/Sole Proprietor</t>
  </si>
  <si>
    <t>Yes</t>
  </si>
  <si>
    <t>No</t>
  </si>
  <si>
    <t>Pre-Retrofit</t>
  </si>
  <si>
    <t>Contractor Install</t>
  </si>
  <si>
    <t>Rent/Lease</t>
  </si>
  <si>
    <t>Electric</t>
  </si>
  <si>
    <t>Bill Insert</t>
  </si>
  <si>
    <t>T5, Electronic HLO Ballast</t>
  </si>
  <si>
    <t>T8, Electronic RLO Ballast</t>
  </si>
  <si>
    <t>T8, Electronic VHLO Ballast</t>
  </si>
  <si>
    <t>U T8, Electronic RLO Ballast</t>
  </si>
  <si>
    <t>CFL</t>
  </si>
  <si>
    <t>Halogen/Downlight</t>
  </si>
  <si>
    <t>Lamp</t>
  </si>
  <si>
    <t>ENERGY STAR</t>
  </si>
  <si>
    <t>Default</t>
  </si>
  <si>
    <t>Lighting Fixture Retrofit Only</t>
  </si>
  <si>
    <t>Value_FastTrack_Limit</t>
  </si>
  <si>
    <t>2' Linear LED (T8/T12 2ft Linear Fluorescent Baseline)</t>
  </si>
  <si>
    <t>Inefficient Fixture</t>
  </si>
  <si>
    <t>LED replacing Inefficient Fixture</t>
  </si>
  <si>
    <t>Exterior</t>
  </si>
  <si>
    <t>Corridor/Hallway/Stairwell</t>
  </si>
  <si>
    <t>Parking Lot</t>
  </si>
  <si>
    <t>A/C with Electric Resistance Heat</t>
  </si>
  <si>
    <t>Daylighting Control – Continuous Dimming</t>
  </si>
  <si>
    <t>Daylighting Controller (Controlling &gt;= 500 W)</t>
  </si>
  <si>
    <t>Large Commercial &amp; Industrial Solutions (project site demand &gt;100 kW)</t>
  </si>
  <si>
    <t>LLC, C,S,P</t>
  </si>
  <si>
    <t>LLC</t>
  </si>
  <si>
    <t>Unknown</t>
  </si>
  <si>
    <t>Post-Retrofit</t>
  </si>
  <si>
    <t>Self Install</t>
  </si>
  <si>
    <t>Own</t>
  </si>
  <si>
    <t>Natural Gas</t>
  </si>
  <si>
    <t>Trade Ally/Contractor</t>
  </si>
  <si>
    <t>Calling Campaign</t>
  </si>
  <si>
    <t>T5, Magnetic HLO Ballast</t>
  </si>
  <si>
    <t>T8, Electronic STD Ballast</t>
  </si>
  <si>
    <t>T8, Electronic HLO Ballast</t>
  </si>
  <si>
    <t>U T8, Electronic STD Ballast</t>
  </si>
  <si>
    <t>Fluorescent</t>
  </si>
  <si>
    <t>Metal Halide, Electronic Ballast</t>
  </si>
  <si>
    <t>Fixture</t>
  </si>
  <si>
    <t>DLC</t>
  </si>
  <si>
    <t>Custom</t>
  </si>
  <si>
    <t>Lighting &amp; Controls Retrofit</t>
  </si>
  <si>
    <t>Value_SC_IncentRate</t>
  </si>
  <si>
    <t>2' Linear LED (T5 2ft Linear Fluorescent Baseline)</t>
  </si>
  <si>
    <t>LED replacing T5</t>
  </si>
  <si>
    <t>Education: College/University</t>
  </si>
  <si>
    <t>A/C with Heat Pump</t>
  </si>
  <si>
    <t>Daylighting Control – Multiple Step Dimming</t>
  </si>
  <si>
    <t>Occupancy Sensor (Controlling &lt; 500 W)</t>
  </si>
  <si>
    <t>Individual/Sole Proprietorship</t>
  </si>
  <si>
    <t>Corporation</t>
  </si>
  <si>
    <t>Yes-DOT Disadvantaged Business Enterprise</t>
  </si>
  <si>
    <t>Direct Install</t>
  </si>
  <si>
    <t>Oil</t>
  </si>
  <si>
    <t>Additional Contact</t>
  </si>
  <si>
    <t>Direct Mail</t>
  </si>
  <si>
    <t>T8, Magnetic STD Ballast</t>
  </si>
  <si>
    <t>T12, Magnetic HLO Ballast</t>
  </si>
  <si>
    <t>U T8, Electronic HLO Ballast</t>
  </si>
  <si>
    <t>Halogen/Incandescent</t>
  </si>
  <si>
    <t>Metal Halide, Magnetic Ballast</t>
  </si>
  <si>
    <t>Value_LC_IncentRate</t>
  </si>
  <si>
    <t>2' Linear LED (T5 (HO) 2ft Linear Fluorescent Baseline)</t>
  </si>
  <si>
    <t>LED replacing T8</t>
  </si>
  <si>
    <t>Education: K-12</t>
  </si>
  <si>
    <t>Average</t>
  </si>
  <si>
    <t>A/C with No/Unknown Heat</t>
  </si>
  <si>
    <t>Daylighting Control – ON/OFF (Indoor)</t>
  </si>
  <si>
    <t>Occupancy Sensor (Controlling &gt;= 500 W)</t>
  </si>
  <si>
    <t>Partnership</t>
  </si>
  <si>
    <t>Yes-Disabled Veteran-Owned Business Enterprise (DVET)</t>
  </si>
  <si>
    <t>Other</t>
  </si>
  <si>
    <t>Propane</t>
  </si>
  <si>
    <t>Job Site</t>
  </si>
  <si>
    <t>Energy Advisor</t>
  </si>
  <si>
    <t>T12, Electronic RLO Ballast</t>
  </si>
  <si>
    <t>T12, Electronic HLO Ballast</t>
  </si>
  <si>
    <t>U T8, Electronic VHLO Ballast</t>
  </si>
  <si>
    <t>Tungsten</t>
  </si>
  <si>
    <t>Value_Max_ItoC_Ratio</t>
  </si>
  <si>
    <t>4' Linear LED (T8/T12 4ft Linear Fluorescent Baseline)</t>
  </si>
  <si>
    <t>LED replacing T12</t>
  </si>
  <si>
    <t>Refrigeration</t>
  </si>
  <si>
    <t>Refrigerated Space - Med. Temp (33-41°F)</t>
  </si>
  <si>
    <t>Daylighting Control – ON/OFF (Outdoor)</t>
  </si>
  <si>
    <t>Occupancy Sensor w/ Daylighting Control (Controlling &lt; 500 W)</t>
  </si>
  <si>
    <t>Trust/Estate</t>
  </si>
  <si>
    <t>Trust/estate</t>
  </si>
  <si>
    <t>Yes-Veteran-Owned Business Enterprise (VBE)</t>
  </si>
  <si>
    <t>Steam</t>
  </si>
  <si>
    <t>Event/Trade Show</t>
  </si>
  <si>
    <t>T12, Electronic STD Ballast</t>
  </si>
  <si>
    <t>U T12, Electronic STD Ballast</t>
  </si>
  <si>
    <t>Value_Application_Version</t>
  </si>
  <si>
    <t>4' Linear LED (T8/T12 (HO) 4ft Linear Fluorescent Baseline)</t>
  </si>
  <si>
    <t>Circline Fluorescent</t>
  </si>
  <si>
    <t>LED replacing Circline Fluorescent</t>
  </si>
  <si>
    <t>Food Sales: 24-Hour Supermarket</t>
  </si>
  <si>
    <t>Refrigerated Space - Low Temp (-10-10°F)</t>
  </si>
  <si>
    <t>Occupancy Sensor</t>
  </si>
  <si>
    <t>Occupancy Sensor w/ Daylighting Control (Controlling &gt;= 500 W)</t>
  </si>
  <si>
    <t>Non-Profit</t>
  </si>
  <si>
    <t>Exempt</t>
  </si>
  <si>
    <t>Yes-Woman-Owned Business Enterprise (WBE)</t>
  </si>
  <si>
    <t>Search Engine</t>
  </si>
  <si>
    <t>T12, Magnetic STD Ballast</t>
  </si>
  <si>
    <t>U T12, Magnetic STD Ballast</t>
  </si>
  <si>
    <t>Value_Bonus_Rate</t>
  </si>
  <si>
    <t>4' Linear LED (T5 4ft Linear Fluorescent Baseline)</t>
  </si>
  <si>
    <t>Halogen</t>
  </si>
  <si>
    <t>LED replacing Halogen</t>
  </si>
  <si>
    <t>Food Sales: Non-24-Hour Supermarket</t>
  </si>
  <si>
    <t>Unconditioned</t>
  </si>
  <si>
    <t>Occupancy Sensor w/ Daylighting Control – Continuous Dimming</t>
  </si>
  <si>
    <t>Bi-Level Parking Garage Lighting Controls (Controlling &lt;= 50 W)</t>
  </si>
  <si>
    <t>Yes-SBA 8(a) program</t>
  </si>
  <si>
    <t>Not Applicable</t>
  </si>
  <si>
    <t>SMS Text</t>
  </si>
  <si>
    <t>4' Linear LED (T5 (HO) 4ft Linear Fluorescent Baseline)</t>
  </si>
  <si>
    <t>LED replacing Metal Halide</t>
  </si>
  <si>
    <t>Food Service: Fast Food</t>
  </si>
  <si>
    <t>Occupancy Sensor w/ Daylighting Control – Multiple Step Dimming</t>
  </si>
  <si>
    <t>Bi-Level Parking Garage Lighting Controls (Controlling 50 to 100 W)</t>
  </si>
  <si>
    <t>Yes-SMA Small Disadvantaged Business Enterprise (SDB)</t>
  </si>
  <si>
    <t>Social Media</t>
  </si>
  <si>
    <t>Value_Custom_IncentRate</t>
  </si>
  <si>
    <t>8' Linear LED (T8/T12 8ft Linear Fluorescent Baseline)</t>
  </si>
  <si>
    <t>U-Tube Fluorescent</t>
  </si>
  <si>
    <t>LED replacing U-Tube Fluorescent</t>
  </si>
  <si>
    <t>Food Service: Sit-Down Restaurant</t>
  </si>
  <si>
    <t>Occupancy Sensor w/ Daylighting Control – ON/OFF</t>
  </si>
  <si>
    <t>Bi-Level Parking Garage Lighting Controls (Controlling 101 to 150 W)</t>
  </si>
  <si>
    <t>Yes-SBA HubZone Business Enterprise (HubZone)</t>
  </si>
  <si>
    <t>Utility Website</t>
  </si>
  <si>
    <t>8' Linear LED (T8/T12 (HO) 8ft Linear Fluorescent Baseline)</t>
  </si>
  <si>
    <t>Inefficient Induction Fixture</t>
  </si>
  <si>
    <t>LED replacing Inefficient Induction Fixture</t>
  </si>
  <si>
    <t>Health Care: In-Patient</t>
  </si>
  <si>
    <t>Bi-Level Parking Garage Lighting Controls (Controlling 151 to 200 W)</t>
  </si>
  <si>
    <t>Yes-LGBT-Owned Business Enterprise</t>
  </si>
  <si>
    <t>U-Tube LED (T8/T12 U-Tube Fluorescent Baseline)</t>
  </si>
  <si>
    <t>LED replacing Mercury Vapor</t>
  </si>
  <si>
    <t>Health Care: Nursing Home</t>
  </si>
  <si>
    <t>Yes-DBE Type Not Listed</t>
  </si>
  <si>
    <t>LED Lamp/Fixture (HID (&lt;175W) Baseline)</t>
  </si>
  <si>
    <t>LED replacing High Pressure Sodium</t>
  </si>
  <si>
    <t>Health Care: Out-Patient</t>
  </si>
  <si>
    <t>LED Lamp/Fixture (HID (175 to 250W) Baseline)</t>
  </si>
  <si>
    <t>T17</t>
  </si>
  <si>
    <t>LED replacing T17</t>
  </si>
  <si>
    <t>Convenience Store (non-24 hour)</t>
  </si>
  <si>
    <t>LED Lamp/Fixture (HID (251 to 400W) Baseline)</t>
  </si>
  <si>
    <t>LED replacing LED</t>
  </si>
  <si>
    <t>Lodging (Hotel/Motel/Dorm): Common Areas</t>
  </si>
  <si>
    <t>LED Lamp/Fixture (HID (401 to 1000W) Baseline)</t>
  </si>
  <si>
    <t>Inefficient NEON Fixture</t>
  </si>
  <si>
    <t>LED replacing Inefficient NEON Fixture</t>
  </si>
  <si>
    <t>Lodging (Hotel/Motel/Dorm): Room</t>
  </si>
  <si>
    <t>LED Lamp/Fixture (HID (&gt;1000W) Baseline)</t>
  </si>
  <si>
    <t>NA</t>
  </si>
  <si>
    <t>Manufacturing</t>
  </si>
  <si>
    <t xml:space="preserve">LED Exit Sign </t>
  </si>
  <si>
    <t>Multi-family Housing: Common Areas</t>
  </si>
  <si>
    <t>LED Refrigerated Case Lighting (without Controls)</t>
  </si>
  <si>
    <t>Door</t>
  </si>
  <si>
    <t>Non-Warehouse Storage (Generic)</t>
  </si>
  <si>
    <t>LED Refrigerated Case Lighting (with Controls)</t>
  </si>
  <si>
    <t>Office</t>
  </si>
  <si>
    <t>Exterior: LED Lamp/Fixture (HID (&lt;175W) Baseline)</t>
  </si>
  <si>
    <t>Office (attached to other facility)</t>
  </si>
  <si>
    <t>Exterior: LED Lamp/Fixture (HID (175 to 250W) Baseline)</t>
  </si>
  <si>
    <t>Parking Structure</t>
  </si>
  <si>
    <t>Exterior: LED Lamp/Fixture (HID (251 to 400W) Baseline)</t>
  </si>
  <si>
    <t>Public Assembly</t>
  </si>
  <si>
    <t>Exterior: LED Lamp/Fixture (HID (401 to 1000W) Baseline)</t>
  </si>
  <si>
    <t>Public Order and Safety</t>
  </si>
  <si>
    <t>Exterior: LED Lamp/Fixture (HID (&gt;1000W) Baseline)</t>
  </si>
  <si>
    <t>Religious Gathering</t>
  </si>
  <si>
    <t>Park/Athletic Field LED replacing &lt;175 W HID (lamp wattage)</t>
  </si>
  <si>
    <t>Restroom (Generic)</t>
  </si>
  <si>
    <t>Park/Athletic Field LED replacing 175 W to 250 W HID (lamp wattage)</t>
  </si>
  <si>
    <t>Retail: Enclosed Mall</t>
  </si>
  <si>
    <t>Park/Athletic Field LED replacing 251 W to 400 W HID (lamp wattage)</t>
  </si>
  <si>
    <t>Retail: Freestanding</t>
  </si>
  <si>
    <t>Park/Athletic Field LED replacing 401 W to 1000 W HID (lamp wattage)</t>
  </si>
  <si>
    <t>Retail: Other</t>
  </si>
  <si>
    <t>Park/Athletic Field LED replacing &gt;1000 W HID (lamp wattage)</t>
  </si>
  <si>
    <t>Retail: Strip Mall</t>
  </si>
  <si>
    <t>Exterior: LED Downlight Lamp/Kit</t>
  </si>
  <si>
    <t>Service: Excluding Food</t>
  </si>
  <si>
    <t>Exterior: 2' Linear LED (T8/T12 2ft Linear Fluorescent Baseline)</t>
  </si>
  <si>
    <t>Warehouse: Non-Refrigerated</t>
  </si>
  <si>
    <t>Exterior: 2' Linear LED (T5 2ft Linear Fluorescent Baseline)</t>
  </si>
  <si>
    <t>Warehouse: Refrigerated</t>
  </si>
  <si>
    <t>Exterior: 2' Linear LED (T5 (HO) 2ft Linear Fluorescent Baseline)</t>
  </si>
  <si>
    <t>Exterior: 4' Linear LED (T8/T12 4ft Linear Fluorescent Baseline)</t>
  </si>
  <si>
    <t>Exterior: 4' Linear LED (T8/T12 (HO) 4ft Linear Fluorescent Baseline)</t>
  </si>
  <si>
    <t>Exterior: 4' Linear LED (T5 4ft Linear Fluorescent Baseline)</t>
  </si>
  <si>
    <t>Exterior: 4' Linear LED (T5 (HO) 4ft Linear Fluorescent Baseline)</t>
  </si>
  <si>
    <t>Exterior: 8' Linear LED (T8/T12 8ft Linear Fluorescent Baseline)</t>
  </si>
  <si>
    <t>Exterior: 8' Linear LED (T8/T12 (HO) 8ft Linear Fluorescent Baseline)</t>
  </si>
  <si>
    <t>Exterior: U-Tube LED (T8/T12 U-Tube Fluorescent Baseline)</t>
  </si>
  <si>
    <t>n/a</t>
  </si>
  <si>
    <r>
      <t xml:space="preserve">TRM Data from 12/1/22. </t>
    </r>
    <r>
      <rPr>
        <b/>
        <sz val="11"/>
        <color rgb="FFFF0000"/>
        <rFont val="Calibri"/>
        <family val="2"/>
        <scheme val="minor"/>
      </rPr>
      <t xml:space="preserve"> DO NOT RECOPY/PASTE DATA TABLE - SOME COLUMNS TO THE RIGHT CONTAIN HARD CODED DATA THAT WILL NOT UPDATE CORRECTLY IF THE SAME TRM FIXTURES ARE NOT IN THE CORRECT ROW.</t>
    </r>
  </si>
  <si>
    <r>
      <t xml:space="preserve">APTIM Derived Data </t>
    </r>
    <r>
      <rPr>
        <b/>
        <sz val="12"/>
        <color rgb="FFFF0000"/>
        <rFont val="Calibri"/>
        <family val="2"/>
        <scheme val="minor"/>
      </rPr>
      <t>(Some data does not automatically update and must be manually updated)</t>
    </r>
  </si>
  <si>
    <t>Fixture code  (TRM Data)</t>
  </si>
  <si>
    <t>Lamp code  (TRM Data)</t>
  </si>
  <si>
    <t>Description  (TRM Data)</t>
  </si>
  <si>
    <t>Layman term  (TRM Data)</t>
  </si>
  <si>
    <t>Ballast  (TRM Data)</t>
  </si>
  <si>
    <t>No. of Lamps  (TRM Data)</t>
  </si>
  <si>
    <t>Lamp Watts  (TRM Data)</t>
  </si>
  <si>
    <t>Fixture Watts  (TRM Data)</t>
  </si>
  <si>
    <t>EUL  (TRM Data)</t>
  </si>
  <si>
    <t>Index</t>
  </si>
  <si>
    <t>Lamp Watts</t>
  </si>
  <si>
    <t>No. of Lamps</t>
  </si>
  <si>
    <t>Linear Fluorescent Length (Inches)</t>
  </si>
  <si>
    <t>Lamp Output</t>
  </si>
  <si>
    <t>Ballast Type</t>
  </si>
  <si>
    <t>Ballast Code</t>
  </si>
  <si>
    <t>Combined Lighting/Ballast Types</t>
  </si>
  <si>
    <t>Fixture Code</t>
  </si>
  <si>
    <t>Eligible for Prescriptive Replacement?</t>
  </si>
  <si>
    <t>Eligibility Exclusion</t>
  </si>
  <si>
    <t>Pre-EISA Baseline</t>
  </si>
  <si>
    <t>Modified Baseline Fixture Watts</t>
  </si>
  <si>
    <t>Detailed Prescriptive Baseline Fixture Lookup</t>
  </si>
  <si>
    <t>Generalized Baseline Fixture Lookup</t>
  </si>
  <si>
    <t>Fixture Wattage for Baseline Calculations</t>
  </si>
  <si>
    <t>LEDINT1W</t>
  </si>
  <si>
    <t>Integrated Ballast LED, (1) 1W screw-in lamp/base, any bulb shape</t>
  </si>
  <si>
    <t>1W LED - Int. Ballast</t>
  </si>
  <si>
    <t>Nominal</t>
  </si>
  <si>
    <t>LEDINT2W</t>
  </si>
  <si>
    <t>Integrated Ballast LED, (1) 2W screw-in lamp/base, any bulb shape</t>
  </si>
  <si>
    <t>2W LED - Int. Ballast</t>
  </si>
  <si>
    <t>LEDINT3W</t>
  </si>
  <si>
    <t>Integrated Ballast LED, (1) 3W screw-in lamp/base, any bulb shape</t>
  </si>
  <si>
    <t>3W LED - Int. Ballast</t>
  </si>
  <si>
    <t>LEDINT4W</t>
  </si>
  <si>
    <t>Integrated Ballast LED, (1) 4W screw-in lamp/base, any bulb shape</t>
  </si>
  <si>
    <t>4W LED - Int. Ballast</t>
  </si>
  <si>
    <t>LEDINT5W</t>
  </si>
  <si>
    <t>Integrated Ballast LED, (1) 5W screw-in lamp/base, any bulb shape</t>
  </si>
  <si>
    <t>5W LED - Int. Ballast</t>
  </si>
  <si>
    <t>LEDINT6W</t>
  </si>
  <si>
    <t>Integrated Ballast LED, (1) 6W screw-in lamp/base, any bulb shape</t>
  </si>
  <si>
    <t>6W LED - Int. Ballast</t>
  </si>
  <si>
    <t>LEDINT7W</t>
  </si>
  <si>
    <t>Integrated Ballast LED, (1) 7W screw-in lamp/base, any bulb shape</t>
  </si>
  <si>
    <t>7W LED - Int. Ballast</t>
  </si>
  <si>
    <t>LEDINT8W</t>
  </si>
  <si>
    <t>Integrated Ballast LED, (1) 8W screw-in lamp/base, any bulb shape</t>
  </si>
  <si>
    <t>8W LED - Int. Ballast</t>
  </si>
  <si>
    <t>LEDINT9W</t>
  </si>
  <si>
    <t>Integrated Ballast LED, (1) 9W screw-in lamp/base, any bulb shape</t>
  </si>
  <si>
    <t>9W LED - Int. Ballast</t>
  </si>
  <si>
    <t>LEDINT10W</t>
  </si>
  <si>
    <t>Integrated Ballast LED, (1) 10W screw-in lamp/base, any bulb shape</t>
  </si>
  <si>
    <t>10W LED - Int. Ballast</t>
  </si>
  <si>
    <t>LEDINT11W</t>
  </si>
  <si>
    <t>Integrated Ballast LED, (1) 11W screw-in lamp/ base, any bulb shape</t>
  </si>
  <si>
    <t>11W LED - Int. Ballast</t>
  </si>
  <si>
    <t>LEDINT12W</t>
  </si>
  <si>
    <t>Integrated Ballast LED, (1) 12W screw-in lamp/base, any bulb shape</t>
  </si>
  <si>
    <t>12W LED - Int. Ballast</t>
  </si>
  <si>
    <t>LEDINT13W</t>
  </si>
  <si>
    <t>Integrated Ballast LED, (1) 13W screw-in lamp/base, any bulb shape</t>
  </si>
  <si>
    <t>13W LED - Int. Ballast</t>
  </si>
  <si>
    <t>LEDINT14W</t>
  </si>
  <si>
    <t>Integrated Ballast LED, (1) 14W screw-in lamp/base, any bulb shape</t>
  </si>
  <si>
    <t>14W LED - Int. Ballast</t>
  </si>
  <si>
    <t>LEDINT15W</t>
  </si>
  <si>
    <t>Integrated Ballast LED, (1) 15W screw-in lamp/base, any bulb shape</t>
  </si>
  <si>
    <t>15W LED - Int. Ballast</t>
  </si>
  <si>
    <t>LEDINT16W</t>
  </si>
  <si>
    <t>Integrated Ballast LED, (1) 16W screw-in lamp/base, any bulb shape</t>
  </si>
  <si>
    <t>16W LED - Int. Ballast</t>
  </si>
  <si>
    <t>LEDINT17W</t>
  </si>
  <si>
    <t>Integrated Ballast LED, (1) 17W screw-in lamp/base, any bulb shape</t>
  </si>
  <si>
    <t>17W LED - Int. Ballast</t>
  </si>
  <si>
    <t>LEDINT18W</t>
  </si>
  <si>
    <t>Integrated Ballast LED, (1) 18W screw-in lamp/base, any bulb shape</t>
  </si>
  <si>
    <t>18W LED - Int. Ballast</t>
  </si>
  <si>
    <t>LEDINT19W</t>
  </si>
  <si>
    <t>Integrated Ballast LED, (1) 19W screw-in lamp/base, any bulb shape</t>
  </si>
  <si>
    <t>19W LED - Int. Ballast</t>
  </si>
  <si>
    <t>LEDINT20W</t>
  </si>
  <si>
    <t>Integrated Ballast LED, (1) 20W screw-in lamp/base, any bulb shape</t>
  </si>
  <si>
    <t>20W LED - Int. Ballast</t>
  </si>
  <si>
    <t>LEDINT21W</t>
  </si>
  <si>
    <t>Integrated Ballast LED, (1) 21W screw-in lamp/base, any bulb shape</t>
  </si>
  <si>
    <t>21W LED - Int. Ballast</t>
  </si>
  <si>
    <t>LEDINT22W</t>
  </si>
  <si>
    <t>Integrated Ballast LED, (1) 22W screw-in lamp/base, any bulb shape</t>
  </si>
  <si>
    <t>22W LED - Int. Ballast</t>
  </si>
  <si>
    <t>LEDINT23W</t>
  </si>
  <si>
    <t>Integrated Ballast LED, (1) 23W screw-in lamp/base, any bulb shape</t>
  </si>
  <si>
    <t>23W LED - Int. Ballast</t>
  </si>
  <si>
    <t>LEDINT24W</t>
  </si>
  <si>
    <t>Integrated Ballast LED, (1) 24W screw-in lamp/base, any bulb shape</t>
  </si>
  <si>
    <t>24W LED - Int. Ballast</t>
  </si>
  <si>
    <t>LEDINT25W</t>
  </si>
  <si>
    <t>Integrated Ballast LED, (1) 25W screw-in lamp/base, any bulb shape</t>
  </si>
  <si>
    <t>25W LED - Int. Ballast</t>
  </si>
  <si>
    <t>LEDINT26W</t>
  </si>
  <si>
    <t>Integrated Ballast LED, (1) 26W screw-in lamp/base, any bulb shape</t>
  </si>
  <si>
    <t>26W LED - Int. Ballast</t>
  </si>
  <si>
    <t>LEDINT27W</t>
  </si>
  <si>
    <t>Integrated Ballast LED, (1) 27W screw-in lamp/base, any bulb shape</t>
  </si>
  <si>
    <t>27W LED - Int. Ballast</t>
  </si>
  <si>
    <t>LEDINT28W</t>
  </si>
  <si>
    <t>Integrated Ballast LED, (1) 28W screw-in lamp/base, any bulb shape</t>
  </si>
  <si>
    <t>28W LED - Int. Ballast</t>
  </si>
  <si>
    <t>LEDINT29W</t>
  </si>
  <si>
    <t>Integrated Ballast LED, (1) 29W screw-in lamp/base, any bulb shape</t>
  </si>
  <si>
    <t>29W LED - Int. Ballast</t>
  </si>
  <si>
    <t>LEDINT30W</t>
  </si>
  <si>
    <t>Integrated Ballast LED, (1) 30W screw-in lamp/base, any bulb shape</t>
  </si>
  <si>
    <t>30W LED - Int. Ballast</t>
  </si>
  <si>
    <t>LEDINT31W</t>
  </si>
  <si>
    <t>Integrated Ballast LED, (1) 31W screw-in lamp/base, any bulb shape</t>
  </si>
  <si>
    <t>31W LED - Int. Ballast</t>
  </si>
  <si>
    <t>LEDINT32W</t>
  </si>
  <si>
    <t>Integrated Ballast LED, (1) 32W screw-in lamp/base, any bulb shape</t>
  </si>
  <si>
    <t>32W LED - Int. Ballast</t>
  </si>
  <si>
    <t>LEDINT33W</t>
  </si>
  <si>
    <t>Integrated Ballast LED, (1) 33W screw-in lamp/base, any bulb shape</t>
  </si>
  <si>
    <t>33W LED - Int. Ballast</t>
  </si>
  <si>
    <t>LEDINT34W</t>
  </si>
  <si>
    <t>Integrated Ballast LED, (1) 34W screw-in lamp/base, any bulb shape</t>
  </si>
  <si>
    <t>34W LED - Int. Ballast</t>
  </si>
  <si>
    <t>LEDINT35W</t>
  </si>
  <si>
    <t>Integrated Ballast LED, (1) 35W screw-in lamp/base, any bulb shape</t>
  </si>
  <si>
    <t>35W LED - Int. Ballast</t>
  </si>
  <si>
    <t>LEDINT36W</t>
  </si>
  <si>
    <t>Integrated Ballast LED, (1) 36W screw-in lamp/base, any bulb shape</t>
  </si>
  <si>
    <t>36W LED - Int. Ballast</t>
  </si>
  <si>
    <t>LEDINT37W</t>
  </si>
  <si>
    <t>Integrated Ballast LED, (1) 37W screw-in lamp/base, any bulb shape</t>
  </si>
  <si>
    <t>37W LED - Int. Ballast</t>
  </si>
  <si>
    <t>LEDINT38W</t>
  </si>
  <si>
    <t>Integrated Ballast LED, (1) 38W screw-in lamp/base, any bulb shape</t>
  </si>
  <si>
    <t>38W LED - Int. Ballast</t>
  </si>
  <si>
    <t>LEDINT39W</t>
  </si>
  <si>
    <t>Integrated Ballast LED, (1) 39W screw-in lamp/base, any bulb shape</t>
  </si>
  <si>
    <t>39W LED - Int. Ballast</t>
  </si>
  <si>
    <t>LEDINT40W</t>
  </si>
  <si>
    <t>Integrated Ballast LED, (1) 40W screw-in lamp/base, any bulb shape</t>
  </si>
  <si>
    <t>40W LED - Int. Ballast</t>
  </si>
  <si>
    <t>LEDINT41W</t>
  </si>
  <si>
    <t>Integrated Ballast LED, (1) 41W screw-in lamp/base, any bulb shape</t>
  </si>
  <si>
    <t>41W LED - Int. Ballast</t>
  </si>
  <si>
    <t>LEDINT42W</t>
  </si>
  <si>
    <t>Integrated Ballast LED, (1) 42W screw-in lamp/base, any bulb shape</t>
  </si>
  <si>
    <t>42W LED - Int. Ballast</t>
  </si>
  <si>
    <t>LEDINT43W</t>
  </si>
  <si>
    <t>Integrated Ballast LED, (1) 43W screw-in lamp/base, any bulb shape</t>
  </si>
  <si>
    <t>43W LED - Int. Ballast</t>
  </si>
  <si>
    <t>LEDINT44W</t>
  </si>
  <si>
    <t>Integrated Ballast LED, (1) 44W screw-in lamp/base, any bulb shape</t>
  </si>
  <si>
    <t>44W LED - Int. Ballast</t>
  </si>
  <si>
    <t>LEDINT45W</t>
  </si>
  <si>
    <t>Integrated Ballast LED, (1) 45W screw-in lamp/base, any bulb shape</t>
  </si>
  <si>
    <t>45W LED - Int. Ballast</t>
  </si>
  <si>
    <t>LEDINT46W</t>
  </si>
  <si>
    <t>Integrated Ballast LED, (1) 46W screw-in lamp/base, any bulb shape</t>
  </si>
  <si>
    <t>46W LED - Int. Ballast</t>
  </si>
  <si>
    <t>LEDINT47W</t>
  </si>
  <si>
    <t>Integrated Ballast LED, (1) 47W screw-in lamp/base, any bulb shape</t>
  </si>
  <si>
    <t>47W LED - Int. Ballast</t>
  </si>
  <si>
    <t>LEDINT48W</t>
  </si>
  <si>
    <t>Integrated Ballast LED, (1) 48W screw-in lamp/base, any bulb shape</t>
  </si>
  <si>
    <t>48W LED - Int. Ballast</t>
  </si>
  <si>
    <t>LEDINT49W</t>
  </si>
  <si>
    <t>Integrated Ballast LED, (1) 49W screw-in lamp/base, any bulb shape</t>
  </si>
  <si>
    <t>49W LED - Int. Ballast</t>
  </si>
  <si>
    <t>LEDINT50W</t>
  </si>
  <si>
    <t>Integrated Ballast LED, (1) 50W screw-in lamp/base, any bulb shape</t>
  </si>
  <si>
    <t>50W LED - Int. Ballast</t>
  </si>
  <si>
    <t>LED1W</t>
  </si>
  <si>
    <t>Non-Integrated Ballast LED, 1W, any bulb shape, any application</t>
  </si>
  <si>
    <t>1W LED - Non-Int. Ballast</t>
  </si>
  <si>
    <t>LED2W</t>
  </si>
  <si>
    <t>Non-Integrated Ballast LED, 2W, any bulb shape, any application</t>
  </si>
  <si>
    <t>2W LED - Non-Int. Ballast</t>
  </si>
  <si>
    <t>LED3W</t>
  </si>
  <si>
    <t>Non-Integrated Ballast LED, 3W, any bulb shape, any application</t>
  </si>
  <si>
    <t>3W LED - Non-Int. Ballast</t>
  </si>
  <si>
    <t>LED4W</t>
  </si>
  <si>
    <t>Non-Integrated Ballast LED, 4W, any bulb shape, any application</t>
  </si>
  <si>
    <t>4W LED - Non-Int. Ballast</t>
  </si>
  <si>
    <t>LED5W</t>
  </si>
  <si>
    <t>Non-Integrated Ballast LED, 5W, any bulb shape, any application</t>
  </si>
  <si>
    <t>5W LED - Non-Int. Ballast</t>
  </si>
  <si>
    <t>LED6W</t>
  </si>
  <si>
    <t>Non-Integrated Ballast LED, 6W, any bulb shape, any application</t>
  </si>
  <si>
    <t>6W LED - Non-Int. Ballast</t>
  </si>
  <si>
    <t>LED7W</t>
  </si>
  <si>
    <t>Non-Integrated Ballast LED, 7W, any bulb shape, any application</t>
  </si>
  <si>
    <t>7W LED - Non-Int. Ballast</t>
  </si>
  <si>
    <t>LED8W</t>
  </si>
  <si>
    <t>Non-Integrated Ballast LED, 8W, any bulb shape, any application</t>
  </si>
  <si>
    <t>8W LED - Non-Int. Ballast</t>
  </si>
  <si>
    <t>LED9W</t>
  </si>
  <si>
    <t>Non-Integrated Ballast LED, 9W, any bulb shape, any application</t>
  </si>
  <si>
    <t>9W LED - Non-Int. Ballast</t>
  </si>
  <si>
    <t>LED10W</t>
  </si>
  <si>
    <t>Non-Integrated Ballast LED, 10W, any bulb shape, any application</t>
  </si>
  <si>
    <t>10W LED - Non-Int. Ballast</t>
  </si>
  <si>
    <t>LED11W</t>
  </si>
  <si>
    <t>Non-Integrated Ballast LED, 11W, any bulb shape, any application</t>
  </si>
  <si>
    <t>11W LED - Non-Int. Ballast</t>
  </si>
  <si>
    <t>LED12W</t>
  </si>
  <si>
    <t>Non-Integrated Ballast LED, 12W, any bulb shape, any application</t>
  </si>
  <si>
    <t>12W LED - Non-Int. Ballast</t>
  </si>
  <si>
    <t>LED13W</t>
  </si>
  <si>
    <t>Non-Integrated Ballast LED, 13W, any bulb shape, any application</t>
  </si>
  <si>
    <t>13W LED - Non-Int. Ballast</t>
  </si>
  <si>
    <t>LED14W</t>
  </si>
  <si>
    <t>Non-Integrated Ballast LED, 14W, any bulb shape, any application</t>
  </si>
  <si>
    <t>14W LED - Non-Int. Ballast</t>
  </si>
  <si>
    <t>LED15W</t>
  </si>
  <si>
    <t>Non-Integrated Ballast LED, 15W, any bulb shape, any application</t>
  </si>
  <si>
    <t>15W LED - Non-Int. Ballast</t>
  </si>
  <si>
    <t>LED16W</t>
  </si>
  <si>
    <t>Non-Integrated Ballast LED, 16W, any bulb shape, any application</t>
  </si>
  <si>
    <t>16W LED - Non-Int. Ballast</t>
  </si>
  <si>
    <t>LED17W</t>
  </si>
  <si>
    <t>Non-Integrated Ballast LED, 17W, any bulb shape, any application</t>
  </si>
  <si>
    <t>17W LED - Non-Int. Ballast</t>
  </si>
  <si>
    <t>LED18W</t>
  </si>
  <si>
    <t>Non-Integrated Ballast LED, 18W, any bulb shape, any application</t>
  </si>
  <si>
    <t>18W LED - Non-Int. Ballast</t>
  </si>
  <si>
    <t>LED19W</t>
  </si>
  <si>
    <t>Non-Integrated Ballast LED, 19W, any bulb shape, any application</t>
  </si>
  <si>
    <t>19W LED - Non-Int. Ballast</t>
  </si>
  <si>
    <t>LED20W</t>
  </si>
  <si>
    <t>Non-Integrated Ballast LED, 20W, any bulb shape, any application</t>
  </si>
  <si>
    <t>20W LED - Non-Int. Ballast</t>
  </si>
  <si>
    <t>LED21W</t>
  </si>
  <si>
    <t>Non-Integrated Ballast LED, 21W, any bulb shape, any application</t>
  </si>
  <si>
    <t>21W LED - Non-Int. Ballast</t>
  </si>
  <si>
    <t>LED22W</t>
  </si>
  <si>
    <t>Non-Integrated Ballast LED, 22W, any bulb shape, any application</t>
  </si>
  <si>
    <t>22W LED - Non-Int. Ballast</t>
  </si>
  <si>
    <t>LED23W</t>
  </si>
  <si>
    <t>Non-Integrated Ballast LED, 23W, any bulb shape, any application</t>
  </si>
  <si>
    <t>23W LED - Non-Int. Ballast</t>
  </si>
  <si>
    <t>LED24W</t>
  </si>
  <si>
    <t>Non-Integrated Ballast LED, 24W, any bulb shape, any application</t>
  </si>
  <si>
    <t>24W LED - Non-Int. Ballast</t>
  </si>
  <si>
    <t>LED25W</t>
  </si>
  <si>
    <t>Non-Integrated Ballast LED, 25W, any bulb shape, any application</t>
  </si>
  <si>
    <t>25W LED - Non-Int. Ballast</t>
  </si>
  <si>
    <t>LED26W</t>
  </si>
  <si>
    <t>Non-Integrated Ballast LED, 26W, any bulb shape, any application</t>
  </si>
  <si>
    <t>26W LED - Non-Int. Ballast</t>
  </si>
  <si>
    <t>LED27W</t>
  </si>
  <si>
    <t>Non-Integrated Ballast LED, 27W, any bulb shape, any application</t>
  </si>
  <si>
    <t>27W LED - Non-Int. Ballast</t>
  </si>
  <si>
    <t>LED28W</t>
  </si>
  <si>
    <t>Non-Integrated Ballast LED, 28W, any bulb shape, any application</t>
  </si>
  <si>
    <t>28W LED - Non-Int. Ballast</t>
  </si>
  <si>
    <t>LED29W</t>
  </si>
  <si>
    <t>Non-Integrated Ballast LED, 29W, any bulb shape, any application</t>
  </si>
  <si>
    <t>29W LED - Non-Int. Ballast</t>
  </si>
  <si>
    <t>LED30W</t>
  </si>
  <si>
    <t>Non-Integrated Ballast LED, 30W, any bulb shape, any application</t>
  </si>
  <si>
    <t>30W LED - Non-Int. Ballast</t>
  </si>
  <si>
    <t>LED31W</t>
  </si>
  <si>
    <t>Non-Integrated Ballast LED, 31W, any bulb shape, any application</t>
  </si>
  <si>
    <t>31W LED - Non-Int. Ballast</t>
  </si>
  <si>
    <t>LED32W</t>
  </si>
  <si>
    <t>Non-Integrated Ballast LED, 32W, any bulb shape, any application</t>
  </si>
  <si>
    <t>32W LED - Non-Int. Ballast</t>
  </si>
  <si>
    <t>LED33W</t>
  </si>
  <si>
    <t>Non-Integrated Ballast LED, 33W, any bulb shape, any application</t>
  </si>
  <si>
    <t>33W LED - Non-Int. Ballast</t>
  </si>
  <si>
    <t>LED34W</t>
  </si>
  <si>
    <t>Non-Integrated Ballast LED, 34W, any bulb shape, any application</t>
  </si>
  <si>
    <t>34W LED - Non-Int. Ballast</t>
  </si>
  <si>
    <t>LED35W</t>
  </si>
  <si>
    <t>Non-Integrated Ballast LED, 35W, any bulb shape, any application</t>
  </si>
  <si>
    <t>35W LED - Non-Int. Ballast</t>
  </si>
  <si>
    <t>LED36W</t>
  </si>
  <si>
    <t>Non-Integrated Ballast LED, 36W, any bulb shape, any application</t>
  </si>
  <si>
    <t>36W LED - Non-Int. Ballast</t>
  </si>
  <si>
    <t>LED37W</t>
  </si>
  <si>
    <t>Non-Integrated Ballast LED, 37W, any bulb shape, any application</t>
  </si>
  <si>
    <t>37W LED - Non-Int. Ballast</t>
  </si>
  <si>
    <t>LED38W</t>
  </si>
  <si>
    <t>Non-Integrated Ballast LED, 38W, any bulb shape, any application</t>
  </si>
  <si>
    <t>38W LED - Non-Int. Ballast</t>
  </si>
  <si>
    <t>LED39W</t>
  </si>
  <si>
    <t>Non-Integrated Ballast LED, 39W, any bulb shape, any application</t>
  </si>
  <si>
    <t>39W LED - Non-Int. Ballast</t>
  </si>
  <si>
    <t>LED40W</t>
  </si>
  <si>
    <t>Non-Integrated Ballast LED, 40W, any bulb shape, any application</t>
  </si>
  <si>
    <t>40W LED - Non-Int. Ballast</t>
  </si>
  <si>
    <t>LED41W</t>
  </si>
  <si>
    <t>Non-Integrated Ballast LED, 41W, any bulb shape, any application</t>
  </si>
  <si>
    <t>41W LED - Non-Int. Ballast</t>
  </si>
  <si>
    <t>LED42W</t>
  </si>
  <si>
    <t>Non-Integrated Ballast LED, 42W, any bulb shape, any application</t>
  </si>
  <si>
    <t>42W LED - Non-Int. Ballast</t>
  </si>
  <si>
    <t>LED43W</t>
  </si>
  <si>
    <t>Non-Integrated Ballast LED, 43W, any bulb shape, any application</t>
  </si>
  <si>
    <t>43W LED - Non-Int. Ballast</t>
  </si>
  <si>
    <t>LED44W</t>
  </si>
  <si>
    <t>Non-Integrated Ballast LED, 44W, any bulb shape, any application</t>
  </si>
  <si>
    <t>44W LED - Non-Int. Ballast</t>
  </si>
  <si>
    <t>LED45W</t>
  </si>
  <si>
    <t>Non-Integrated Ballast LED, 45W, any bulb shape, any application</t>
  </si>
  <si>
    <t>45W LED - Non-Int. Ballast</t>
  </si>
  <si>
    <t>LED46W</t>
  </si>
  <si>
    <t>Non-Integrated Ballast LED, 46W, any bulb shape, any application</t>
  </si>
  <si>
    <t>46W LED - Non-Int. Ballast</t>
  </si>
  <si>
    <t>LED47W</t>
  </si>
  <si>
    <t>Non-Integrated Ballast LED, 47W, any bulb shape, any application</t>
  </si>
  <si>
    <t>47W LED - Non-Int. Ballast</t>
  </si>
  <si>
    <t>LED48W</t>
  </si>
  <si>
    <t>Non-Integrated Ballast LED, 48W, any bulb shape, any application</t>
  </si>
  <si>
    <t>48W LED - Non-Int. Ballast</t>
  </si>
  <si>
    <t>LED49W</t>
  </si>
  <si>
    <t>Non-Integrated Ballast LED, 49W, any bulb shape, any application</t>
  </si>
  <si>
    <t>49W LED - Non-Int. Ballast</t>
  </si>
  <si>
    <t>LED50W</t>
  </si>
  <si>
    <t>Non-Integrated Ballast LED, 50W, any bulb shape, any application</t>
  </si>
  <si>
    <t>50W LED - Non-Int. Ballast</t>
  </si>
  <si>
    <t>LED51W</t>
  </si>
  <si>
    <t>Non-Integrated Ballast LED, 51W, any bulb shape, any application</t>
  </si>
  <si>
    <t>51W LED - Non-Int. Ballast</t>
  </si>
  <si>
    <t>LED52W</t>
  </si>
  <si>
    <t>Non-Integrated Ballast LED, 52W, any bulb shape, any application</t>
  </si>
  <si>
    <t>52W LED - Non-Int. Ballast</t>
  </si>
  <si>
    <t>LED53W</t>
  </si>
  <si>
    <t>Non-Integrated Ballast LED, 53W, any bulb shape, any application</t>
  </si>
  <si>
    <t>53W LED - Non-Int. Ballast</t>
  </si>
  <si>
    <t>LED54W</t>
  </si>
  <si>
    <t>Non-Integrated Ballast LED, 54W, any bulb shape, any application</t>
  </si>
  <si>
    <t>54W LED - Non-Int. Ballast</t>
  </si>
  <si>
    <t>LED55W</t>
  </si>
  <si>
    <t>Non-Integrated Ballast LED, 55W, any bulb shape, any application</t>
  </si>
  <si>
    <t>55W LED - Non-Int. Ballast</t>
  </si>
  <si>
    <t>LED56W</t>
  </si>
  <si>
    <t>Non-Integrated Ballast LED, 56W, any bulb shape, any application</t>
  </si>
  <si>
    <t>56W LED - Non-Int. Ballast</t>
  </si>
  <si>
    <t>LED57W</t>
  </si>
  <si>
    <t>Non-Integrated Ballast LED, 57W, any bulb shape, any application</t>
  </si>
  <si>
    <t>57W LED - Non-Int. Ballast</t>
  </si>
  <si>
    <t>LED58W</t>
  </si>
  <si>
    <t>Non-Integrated Ballast LED, 58W, any bulb shape, any application</t>
  </si>
  <si>
    <t>58W LED - Non-Int. Ballast</t>
  </si>
  <si>
    <t>LED59W</t>
  </si>
  <si>
    <t>Non-Integrated Ballast LED, 59W, any bulb shape, any application</t>
  </si>
  <si>
    <t>59W LED - Non-Int. Ballast</t>
  </si>
  <si>
    <t>LED60W</t>
  </si>
  <si>
    <t>Non-Integrated Ballast LED, 60W, any bulb shape, any application</t>
  </si>
  <si>
    <t>60W LED - Non-Int. Ballast</t>
  </si>
  <si>
    <t>LED61W</t>
  </si>
  <si>
    <t>Non-Integrated Ballast LED, 61W, any bulb shape, any application</t>
  </si>
  <si>
    <t>61W LED - Non-Int. Ballast</t>
  </si>
  <si>
    <t>LED62W</t>
  </si>
  <si>
    <t>Non-Integrated Ballast LED, 62W, any bulb shape, any application</t>
  </si>
  <si>
    <t>62W LED - Non-Int. Ballast</t>
  </si>
  <si>
    <t>LED63W</t>
  </si>
  <si>
    <t>Non-Integrated Ballast LED, 63W, any bulb shape, any application</t>
  </si>
  <si>
    <t>63W LED - Non-Int. Ballast</t>
  </si>
  <si>
    <t>LED64W</t>
  </si>
  <si>
    <t>Non-Integrated Ballast LED, 64W, any bulb shape, any application</t>
  </si>
  <si>
    <t>64W LED - Non-Int. Ballast</t>
  </si>
  <si>
    <t>LED65W</t>
  </si>
  <si>
    <t>Non-Integrated Ballast LED, 65W, any bulb shape, any application</t>
  </si>
  <si>
    <t>65W LED - Non-Int. Ballast</t>
  </si>
  <si>
    <t>LED66W</t>
  </si>
  <si>
    <t>Non-Integrated Ballast LED, 66W, any bulb shape, any application</t>
  </si>
  <si>
    <t>66W LED - Non-Int. Ballast</t>
  </si>
  <si>
    <t>LED67W</t>
  </si>
  <si>
    <t>Non-Integrated Ballast LED, 67W, any bulb shape, any application</t>
  </si>
  <si>
    <t>67W LED - Non-Int. Ballast</t>
  </si>
  <si>
    <t>LED68W</t>
  </si>
  <si>
    <t>Non-Integrated Ballast LED, 68W, any bulb shape, any application</t>
  </si>
  <si>
    <t>68W LED - Non-Int. Ballast</t>
  </si>
  <si>
    <t>LED69W</t>
  </si>
  <si>
    <t>Non-Integrated Ballast LED, 69W, any bulb shape, any application</t>
  </si>
  <si>
    <t>69W LED - Non-Int. Ballast</t>
  </si>
  <si>
    <t>LED70W</t>
  </si>
  <si>
    <t>Non-Integrated Ballast LED, 70W, any bulb shape, any application</t>
  </si>
  <si>
    <t>70W LED - Non-Int. Ballast</t>
  </si>
  <si>
    <t>LED71W</t>
  </si>
  <si>
    <t>Non-Integrated Ballast LED, 71W, any bulb shape, any application</t>
  </si>
  <si>
    <t>71W LED - Non-Int. Ballast</t>
  </si>
  <si>
    <t>LED72W</t>
  </si>
  <si>
    <t>Non-Integrated Ballast LED, 72W, any bulb shape, any application</t>
  </si>
  <si>
    <t>72W LED - Non-Int. Ballast</t>
  </si>
  <si>
    <t>LED73W</t>
  </si>
  <si>
    <t>Non-Integrated Ballast LED, 73W, any bulb shape, any application</t>
  </si>
  <si>
    <t>73W LED - Non-Int. Ballast</t>
  </si>
  <si>
    <t>LED74W</t>
  </si>
  <si>
    <t>Non-Integrated Ballast LED, 74W, any bulb shape, any application</t>
  </si>
  <si>
    <t>74W LED - Non-Int. Ballast</t>
  </si>
  <si>
    <t>LED75W</t>
  </si>
  <si>
    <t>Non-Integrated Ballast LED, 75W, any bulb shape, any application</t>
  </si>
  <si>
    <t>75W LED - Non-Int. Ballast</t>
  </si>
  <si>
    <t>LED76W</t>
  </si>
  <si>
    <t>Non-Integrated Ballast LED, 76W, any bulb shape, any application</t>
  </si>
  <si>
    <t>76W LED - Non-Int. Ballast</t>
  </si>
  <si>
    <t>LED77W</t>
  </si>
  <si>
    <t>Non-Integrated Ballast LED, 77W, any bulb shape, any application</t>
  </si>
  <si>
    <t>77W LED - Non-Int. Ballast</t>
  </si>
  <si>
    <t>LED78W</t>
  </si>
  <si>
    <t>Non-Integrated Ballast LED, 78W, any bulb shape, any application</t>
  </si>
  <si>
    <t>78W LED - Non-Int. Ballast</t>
  </si>
  <si>
    <t>LED79W</t>
  </si>
  <si>
    <t>Non-Integrated Ballast LED, 79W, any bulb shape, any application</t>
  </si>
  <si>
    <t>79W LED - Non-Int. Ballast</t>
  </si>
  <si>
    <t>LED80W</t>
  </si>
  <si>
    <t>Non-Integrated Ballast LED, 80W, any bulb shape, any application</t>
  </si>
  <si>
    <t>80W LED - Non-Int. Ballast</t>
  </si>
  <si>
    <t>LED81W</t>
  </si>
  <si>
    <t>Non-Integrated Ballast LED, 81W, any bulb shape, any application</t>
  </si>
  <si>
    <t>81W LED - Non-Int. Ballast</t>
  </si>
  <si>
    <t>LED82W</t>
  </si>
  <si>
    <t>Non-Integrated Ballast LED, 82W, any bulb shape, any application</t>
  </si>
  <si>
    <t>82W LED - Non-Int. Ballast</t>
  </si>
  <si>
    <t>LED83W</t>
  </si>
  <si>
    <t>Non-Integrated Ballast LED, 83W, any bulb shape, any application</t>
  </si>
  <si>
    <t>83W LED - Non-Int. Ballast</t>
  </si>
  <si>
    <t>LED84W</t>
  </si>
  <si>
    <t>Non-Integrated Ballast LED, 84W, any bulb shape, any application</t>
  </si>
  <si>
    <t>84W LED - Non-Int. Ballast</t>
  </si>
  <si>
    <t>LED85W</t>
  </si>
  <si>
    <t>Non-Integrated Ballast LED, 85W, any bulb shape, any application</t>
  </si>
  <si>
    <t>85W LED - Non-Int. Ballast</t>
  </si>
  <si>
    <t>LED86W</t>
  </si>
  <si>
    <t>Non-Integrated Ballast LED, 86W, any bulb shape, any application</t>
  </si>
  <si>
    <t>86W LED - Non-Int. Ballast</t>
  </si>
  <si>
    <t>LED87W</t>
  </si>
  <si>
    <t>Non-Integrated Ballast LED, 87W, any bulb shape, any application</t>
  </si>
  <si>
    <t>87W LED - Non-Int. Ballast</t>
  </si>
  <si>
    <t>LED88W</t>
  </si>
  <si>
    <t>Non-Integrated Ballast LED, 88W, any bulb shape, any application</t>
  </si>
  <si>
    <t>88W LED - Non-Int. Ballast</t>
  </si>
  <si>
    <t>LED89W</t>
  </si>
  <si>
    <t>Non-Integrated Ballast LED, 89W, any bulb shape, any application</t>
  </si>
  <si>
    <t>89W LED - Non-Int. Ballast</t>
  </si>
  <si>
    <t>LED90W</t>
  </si>
  <si>
    <t>Non-Integrated Ballast LED, 90W, any bulb shape, any application</t>
  </si>
  <si>
    <t>90W LED - Non-Int. Ballast</t>
  </si>
  <si>
    <t>LED91W</t>
  </si>
  <si>
    <t>Non-Integrated Ballast LED, 91W, any bulb shape, any application</t>
  </si>
  <si>
    <t>91W LED - Non-Int. Ballast</t>
  </si>
  <si>
    <t>LED92W</t>
  </si>
  <si>
    <t>Non-Integrated Ballast LED, 92W, any bulb shape, any application</t>
  </si>
  <si>
    <t>92W LED - Non-Int. Ballast</t>
  </si>
  <si>
    <t>LED93W</t>
  </si>
  <si>
    <t>Non-Integrated Ballast LED, 93W, any bulb shape, any application</t>
  </si>
  <si>
    <t>93W LED - Non-Int. Ballast</t>
  </si>
  <si>
    <t>LED94W</t>
  </si>
  <si>
    <t>Non-Integrated Ballast LED, 94W, any bulb shape, any application</t>
  </si>
  <si>
    <t>94W LED - Non-Int. Ballast</t>
  </si>
  <si>
    <t>LED95W</t>
  </si>
  <si>
    <t>Non-Integrated Ballast LED, 95W, any bulb shape, any application</t>
  </si>
  <si>
    <t>95W LED - Non-Int. Ballast</t>
  </si>
  <si>
    <t>LED96W</t>
  </si>
  <si>
    <t>Non-Integrated Ballast LED, 96W, any bulb shape, any application</t>
  </si>
  <si>
    <t>96W LED - Non-Int. Ballast</t>
  </si>
  <si>
    <t>LED97W</t>
  </si>
  <si>
    <t>Non-Integrated Ballast LED, 97W, any bulb shape, any application</t>
  </si>
  <si>
    <t>97W LED - Non-Int. Ballast</t>
  </si>
  <si>
    <t>LED98W</t>
  </si>
  <si>
    <t>Non-Integrated Ballast LED, 98W, any bulb shape, any application</t>
  </si>
  <si>
    <t>98W LED - Non-Int. Ballast</t>
  </si>
  <si>
    <t>LED99W</t>
  </si>
  <si>
    <t>Non-Integrated Ballast LED, 99W, any bulb shape, any application</t>
  </si>
  <si>
    <t>99W LED - Non-Int. Ballast</t>
  </si>
  <si>
    <t>LED100W</t>
  </si>
  <si>
    <t>Non-Integrated Ballast LED, 100W, any bulb shape, any application</t>
  </si>
  <si>
    <t>100W LED - Non-Int. Ballast</t>
  </si>
  <si>
    <t>LED101W</t>
  </si>
  <si>
    <t>Non-Integrated Ballast LED, 101W, any bulb shape, any application</t>
  </si>
  <si>
    <t>101W LED - Non-Int. Ballast</t>
  </si>
  <si>
    <t>LED102W</t>
  </si>
  <si>
    <t>Non-Integrated Ballast LED, 102W, any bulb shape, any application</t>
  </si>
  <si>
    <t>102W LED - Non-Int. Ballast</t>
  </si>
  <si>
    <t>LED103W</t>
  </si>
  <si>
    <t>Non-Integrated Ballast LED, 103W, any bulb shape, any application</t>
  </si>
  <si>
    <t>103W LED - Non-Int. Ballast</t>
  </si>
  <si>
    <t>LED104W</t>
  </si>
  <si>
    <t>Non-Integrated Ballast LED, 104W, any bulb shape, any application</t>
  </si>
  <si>
    <t>104W LED - Non-Int. Ballast</t>
  </si>
  <si>
    <t>LED105W</t>
  </si>
  <si>
    <t>Non-Integrated Ballast LED, 105W, any bulb shape, any application</t>
  </si>
  <si>
    <t>105W LED - Non-Int. Ballast</t>
  </si>
  <si>
    <t>LED106W</t>
  </si>
  <si>
    <t>Non-Integrated Ballast LED, 106W, any bulb shape, any application</t>
  </si>
  <si>
    <t>106W LED - Non-Int. Ballast</t>
  </si>
  <si>
    <t>LED107W</t>
  </si>
  <si>
    <t>Non-Integrated Ballast LED, 107W, any bulb shape, any application</t>
  </si>
  <si>
    <t>107W LED - Non-Int. Ballast</t>
  </si>
  <si>
    <t>LED108W</t>
  </si>
  <si>
    <t>Non-Integrated Ballast LED, 108W, any bulb shape, any application</t>
  </si>
  <si>
    <t>108W LED - Non-Int. Ballast</t>
  </si>
  <si>
    <t>LED109W</t>
  </si>
  <si>
    <t>Non-Integrated Ballast LED, 109W, any bulb shape, any application</t>
  </si>
  <si>
    <t>109W LED - Non-Int. Ballast</t>
  </si>
  <si>
    <t>LED110W</t>
  </si>
  <si>
    <t>Non-Integrated Ballast LED, 110W, any bulb shape, any application</t>
  </si>
  <si>
    <t>110W LED - Non-Int. Ballast</t>
  </si>
  <si>
    <t>LED111W</t>
  </si>
  <si>
    <t>Non-Integrated Ballast LED, 111W, any bulb shape, any application</t>
  </si>
  <si>
    <t>111W LED - Non-Int. Ballast</t>
  </si>
  <si>
    <t>LED112W</t>
  </si>
  <si>
    <t>Non-Integrated Ballast LED, 112W, any bulb shape, any application</t>
  </si>
  <si>
    <t>112W LED - Non-Int. Ballast</t>
  </si>
  <si>
    <t>LED113W</t>
  </si>
  <si>
    <t>Non-Integrated Ballast LED, 113W, any bulb shape, any application</t>
  </si>
  <si>
    <t>113W LED - Non-Int. Ballast</t>
  </si>
  <si>
    <t>LED114W</t>
  </si>
  <si>
    <t>Non-Integrated Ballast LED, 114W, any bulb shape, any application</t>
  </si>
  <si>
    <t>114W LED - Non-Int. Ballast</t>
  </si>
  <si>
    <t>LED115W</t>
  </si>
  <si>
    <t>Non-Integrated Ballast LED, 115W, any bulb shape, any application</t>
  </si>
  <si>
    <t>115W LED - Non-Int. Ballast</t>
  </si>
  <si>
    <t>LED116W</t>
  </si>
  <si>
    <t>Non-Integrated Ballast LED, 116W, any bulb shape, any application</t>
  </si>
  <si>
    <t>116W LED - Non-Int. Ballast</t>
  </si>
  <si>
    <t>LED117W</t>
  </si>
  <si>
    <t>Non-Integrated Ballast LED, 117W, any bulb shape, any application</t>
  </si>
  <si>
    <t>117W LED - Non-Int. Ballast</t>
  </si>
  <si>
    <t>LED118W</t>
  </si>
  <si>
    <t>Non-Integrated Ballast LED, 118W, any bulb shape, any application</t>
  </si>
  <si>
    <t>118W LED - Non-Int. Ballast</t>
  </si>
  <si>
    <t>LED119W</t>
  </si>
  <si>
    <t>Non-Integrated Ballast LED, 119W, any bulb shape, any application</t>
  </si>
  <si>
    <t>119W LED - Non-Int. Ballast</t>
  </si>
  <si>
    <t>LED120W</t>
  </si>
  <si>
    <t>Non-Integrated Ballast LED, 120W, any bulb shape, any application</t>
  </si>
  <si>
    <t>120W LED - Non-Int. Ballast</t>
  </si>
  <si>
    <t>LED121W</t>
  </si>
  <si>
    <t>Non-Integrated Ballast LED, 121W, any bulb shape, any application</t>
  </si>
  <si>
    <t>121W LED - Non-Int. Ballast</t>
  </si>
  <si>
    <t>LED122W</t>
  </si>
  <si>
    <t>Non-Integrated Ballast LED, 122W, any bulb shape, any application</t>
  </si>
  <si>
    <t>122W LED - Non-Int. Ballast</t>
  </si>
  <si>
    <t>LED123W</t>
  </si>
  <si>
    <t>Non-Integrated Ballast LED, 123W, any bulb shape, any application</t>
  </si>
  <si>
    <t>123W LED - Non-Int. Ballast</t>
  </si>
  <si>
    <t>LED124W</t>
  </si>
  <si>
    <t>Non-Integrated Ballast LED, 124W, any bulb shape, any application</t>
  </si>
  <si>
    <t>124W LED - Non-Int. Ballast</t>
  </si>
  <si>
    <t>LED125W</t>
  </si>
  <si>
    <t>Non-Integrated Ballast LED, 125W, any bulb shape, any application</t>
  </si>
  <si>
    <t>125W LED - Non-Int. Ballast</t>
  </si>
  <si>
    <t>LED126W</t>
  </si>
  <si>
    <t>Non-Integrated Ballast LED, 126W, any bulb shape, any application</t>
  </si>
  <si>
    <t>126W LED - Non-Int. Ballast</t>
  </si>
  <si>
    <t>LED127W</t>
  </si>
  <si>
    <t>Non-Integrated Ballast LED, 127W, any bulb shape, any application</t>
  </si>
  <si>
    <t>127W LED - Non-Int. Ballast</t>
  </si>
  <si>
    <t>LED128W</t>
  </si>
  <si>
    <t>Non-Integrated Ballast LED, 128W, any bulb shape, any application</t>
  </si>
  <si>
    <t>128W LED - Non-Int. Ballast</t>
  </si>
  <si>
    <t>LED129W</t>
  </si>
  <si>
    <t>Non-Integrated Ballast LED, 129W, any bulb shape, any application</t>
  </si>
  <si>
    <t>129W LED - Non-Int. Ballast</t>
  </si>
  <si>
    <t>LED130W</t>
  </si>
  <si>
    <t>Non-Integrated Ballast LED, 130W, any bulb shape, any application</t>
  </si>
  <si>
    <t>130W LED - Non-Int. Ballast</t>
  </si>
  <si>
    <t>LED131W</t>
  </si>
  <si>
    <t>Non-Integrated Ballast LED, 131W, any bulb shape, any application</t>
  </si>
  <si>
    <t>131W LED - Non-Int. Ballast</t>
  </si>
  <si>
    <t>LED132W</t>
  </si>
  <si>
    <t>Non-Integrated Ballast LED, 132W, any bulb shape, any application</t>
  </si>
  <si>
    <t>132W LED - Non-Int. Ballast</t>
  </si>
  <si>
    <t>LED133W</t>
  </si>
  <si>
    <t>Non-Integrated Ballast LED, 133W, any bulb shape, any application</t>
  </si>
  <si>
    <t>133W LED - Non-Int. Ballast</t>
  </si>
  <si>
    <t>LED134W</t>
  </si>
  <si>
    <t>Non-Integrated Ballast LED, 134W, any bulb shape, any application</t>
  </si>
  <si>
    <t>134W LED - Non-Int. Ballast</t>
  </si>
  <si>
    <t>LED135W</t>
  </si>
  <si>
    <t>Non-Integrated Ballast LED, 135W, any bulb shape, any application</t>
  </si>
  <si>
    <t>135W LED - Non-Int. Ballast</t>
  </si>
  <si>
    <t>LED136W</t>
  </si>
  <si>
    <t>Non-Integrated Ballast LED, 136W, any bulb shape, any application</t>
  </si>
  <si>
    <t>136W LED - Non-Int. Ballast</t>
  </si>
  <si>
    <t>LED137W</t>
  </si>
  <si>
    <t>Non-Integrated Ballast LED, 137W, any bulb shape, any application</t>
  </si>
  <si>
    <t>137W LED - Non-Int. Ballast</t>
  </si>
  <si>
    <t>LED138W</t>
  </si>
  <si>
    <t>Non-Integrated Ballast LED, 138W, any bulb shape, any application</t>
  </si>
  <si>
    <t>138W LED - Non-Int. Ballast</t>
  </si>
  <si>
    <t>LED139W</t>
  </si>
  <si>
    <t>Non-Integrated Ballast LED, 139W, any bulb shape, any application</t>
  </si>
  <si>
    <t>139W LED - Non-Int. Ballast</t>
  </si>
  <si>
    <t>LED140W</t>
  </si>
  <si>
    <t>Non-Integrated Ballast LED, 140W, any bulb shape, any application</t>
  </si>
  <si>
    <t>140W LED - Non-Int. Ballast</t>
  </si>
  <si>
    <t>LED141W</t>
  </si>
  <si>
    <t>Non-Integrated Ballast LED, 141W, any bulb shape, any application</t>
  </si>
  <si>
    <t>141W LED - Non-Int. Ballast</t>
  </si>
  <si>
    <t>LED142W</t>
  </si>
  <si>
    <t>Non-Integrated Ballast LED, 142W, any bulb shape, any application</t>
  </si>
  <si>
    <t>142W LED - Non-Int. Ballast</t>
  </si>
  <si>
    <t>LED143W</t>
  </si>
  <si>
    <t>Non-Integrated Ballast LED, 143W, any bulb shape, any application</t>
  </si>
  <si>
    <t>143W LED - Non-Int. Ballast</t>
  </si>
  <si>
    <t>LED144W</t>
  </si>
  <si>
    <t>Non-Integrated Ballast LED, 144W, any bulb shape, any application</t>
  </si>
  <si>
    <t>144W LED - Non-Int. Ballast</t>
  </si>
  <si>
    <t>LED145W</t>
  </si>
  <si>
    <t>Non-Integrated Ballast LED, 145W, any bulb shape, any application</t>
  </si>
  <si>
    <t>145W LED - Non-Int. Ballast</t>
  </si>
  <si>
    <t>LED146W</t>
  </si>
  <si>
    <t>Non-Integrated Ballast LED, 146W, any bulb shape, any application</t>
  </si>
  <si>
    <t>146W LED - Non-Int. Ballast</t>
  </si>
  <si>
    <t>LED147W</t>
  </si>
  <si>
    <t>Non-Integrated Ballast LED, 147W, any bulb shape, any application</t>
  </si>
  <si>
    <t>147W LED - Non-Int. Ballast</t>
  </si>
  <si>
    <t>LED148W</t>
  </si>
  <si>
    <t>Non-Integrated Ballast LED, 148W, any bulb shape, any application</t>
  </si>
  <si>
    <t>148W LED - Non-Int. Ballast</t>
  </si>
  <si>
    <t>LED149W</t>
  </si>
  <si>
    <t>Non-Integrated Ballast LED, 149W, any bulb shape, any application</t>
  </si>
  <si>
    <t>149W LED - Non-Int. Ballast</t>
  </si>
  <si>
    <t>LED150W</t>
  </si>
  <si>
    <t>Non-Integrated Ballast LED, 150W, any bulb shape, any application</t>
  </si>
  <si>
    <t>150W LED - Non-Int. Ballast</t>
  </si>
  <si>
    <t>LED151W</t>
  </si>
  <si>
    <t>Non-Integrated Ballast LED, 151W, any bulb shape, any application</t>
  </si>
  <si>
    <t>151W LED - Non-Int. Ballast</t>
  </si>
  <si>
    <t>LED152W</t>
  </si>
  <si>
    <t>Non-Integrated Ballast LED, 152W, any bulb shape, any application</t>
  </si>
  <si>
    <t>152W LED - Non-Int. Ballast</t>
  </si>
  <si>
    <t>LED153W</t>
  </si>
  <si>
    <t>Non-Integrated Ballast LED, 153W, any bulb shape, any application</t>
  </si>
  <si>
    <t>153W LED - Non-Int. Ballast</t>
  </si>
  <si>
    <t>LED154W</t>
  </si>
  <si>
    <t>Non-Integrated Ballast LED, 154W, any bulb shape, any application</t>
  </si>
  <si>
    <t>154W LED - Non-Int. Ballast</t>
  </si>
  <si>
    <t>LED155W</t>
  </si>
  <si>
    <t>Non-Integrated Ballast LED, 155W, any bulb shape, any application</t>
  </si>
  <si>
    <t>155W LED - Non-Int. Ballast</t>
  </si>
  <si>
    <t>LED156W</t>
  </si>
  <si>
    <t>Non-Integrated Ballast LED, 156W, any bulb shape, any application</t>
  </si>
  <si>
    <t>156W LED - Non-Int. Ballast</t>
  </si>
  <si>
    <t>LED157W</t>
  </si>
  <si>
    <t>Non-Integrated Ballast LED, 157W, any bulb shape, any application</t>
  </si>
  <si>
    <t>157W LED - Non-Int. Ballast</t>
  </si>
  <si>
    <t>LED158W</t>
  </si>
  <si>
    <t>Non-Integrated Ballast LED, 158W, any bulb shape, any application</t>
  </si>
  <si>
    <t>158W LED - Non-Int. Ballast</t>
  </si>
  <si>
    <t>LED159W</t>
  </si>
  <si>
    <t>Non-Integrated Ballast LED, 159W, any bulb shape, any application</t>
  </si>
  <si>
    <t>159W LED - Non-Int. Ballast</t>
  </si>
  <si>
    <t>LED160W</t>
  </si>
  <si>
    <t>Non-Integrated Ballast LED, 160W, any bulb shape, any application</t>
  </si>
  <si>
    <t>160W LED - Non-Int. Ballast</t>
  </si>
  <si>
    <t>LED161W</t>
  </si>
  <si>
    <t>Non-Integrated Ballast LED, 161W, any bulb shape, any application</t>
  </si>
  <si>
    <t>161W LED - Non-Int. Ballast</t>
  </si>
  <si>
    <t>LED162W</t>
  </si>
  <si>
    <t>Non-Integrated Ballast LED, 162W, any bulb shape, any application</t>
  </si>
  <si>
    <t>162W LED - Non-Int. Ballast</t>
  </si>
  <si>
    <t>LED163W</t>
  </si>
  <si>
    <t>Non-Integrated Ballast LED, 163W, any bulb shape, any application</t>
  </si>
  <si>
    <t>163W LED - Non-Int. Ballast</t>
  </si>
  <si>
    <t>LED164W</t>
  </si>
  <si>
    <t>Non-Integrated Ballast LED, 164W, any bulb shape, any application</t>
  </si>
  <si>
    <t>164W LED - Non-Int. Ballast</t>
  </si>
  <si>
    <t>LED165W</t>
  </si>
  <si>
    <t>Non-Integrated Ballast LED, 165W, any bulb shape, any application</t>
  </si>
  <si>
    <t>165W LED - Non-Int. Ballast</t>
  </si>
  <si>
    <t>LED166W</t>
  </si>
  <si>
    <t>Non-Integrated Ballast LED, 166W, any bulb shape, any application</t>
  </si>
  <si>
    <t>166W LED - Non-Int. Ballast</t>
  </si>
  <si>
    <t>LED167W</t>
  </si>
  <si>
    <t>Non-Integrated Ballast LED, 167W, any bulb shape, any application</t>
  </si>
  <si>
    <t>167W LED - Non-Int. Ballast</t>
  </si>
  <si>
    <t>LED168W</t>
  </si>
  <si>
    <t>Non-Integrated Ballast LED, 168W, any bulb shape, any application</t>
  </si>
  <si>
    <t>168W LED - Non-Int. Ballast</t>
  </si>
  <si>
    <t>LED169W</t>
  </si>
  <si>
    <t>Non-Integrated Ballast LED, 169W, any bulb shape, any application</t>
  </si>
  <si>
    <t>169W LED - Non-Int. Ballast</t>
  </si>
  <si>
    <t>LED170W</t>
  </si>
  <si>
    <t>Non-Integrated Ballast LED, 170W, any bulb shape, any application</t>
  </si>
  <si>
    <t>170W LED - Non-Int. Ballast</t>
  </si>
  <si>
    <t>LED171W</t>
  </si>
  <si>
    <t>Non-Integrated Ballast LED, 171W, any bulb shape, any application</t>
  </si>
  <si>
    <t>171W LED - Non-Int. Ballast</t>
  </si>
  <si>
    <t>LED172W</t>
  </si>
  <si>
    <t>Non-Integrated Ballast LED, 172W, any bulb shape, any application</t>
  </si>
  <si>
    <t>172W LED - Non-Int. Ballast</t>
  </si>
  <si>
    <t>LED173W</t>
  </si>
  <si>
    <t>Non-Integrated Ballast LED, 173W, any bulb shape, any application</t>
  </si>
  <si>
    <t>173W LED - Non-Int. Ballast</t>
  </si>
  <si>
    <t>LED174W</t>
  </si>
  <si>
    <t>Non-Integrated Ballast LED, 174W, any bulb shape, any application</t>
  </si>
  <si>
    <t>174W LED - Non-Int. Ballast</t>
  </si>
  <si>
    <t>LED175W</t>
  </si>
  <si>
    <t>Non-Integrated Ballast LED, 175W, any bulb shape, any application</t>
  </si>
  <si>
    <t>175W LED - Non-Int. Ballast</t>
  </si>
  <si>
    <t>LED176W</t>
  </si>
  <si>
    <t>Non-Integrated Ballast LED, 176W, any bulb shape, any application</t>
  </si>
  <si>
    <t>176W LED - Non-Int. Ballast</t>
  </si>
  <si>
    <t>LED177W</t>
  </si>
  <si>
    <t>Non-Integrated Ballast LED, 177W, any bulb shape, any application</t>
  </si>
  <si>
    <t>177W LED - Non-Int. Ballast</t>
  </si>
  <si>
    <t>LED178W</t>
  </si>
  <si>
    <t>Non-Integrated Ballast LED, 178W, any bulb shape, any application</t>
  </si>
  <si>
    <t>178W LED - Non-Int. Ballast</t>
  </si>
  <si>
    <t>LED179W</t>
  </si>
  <si>
    <t>Non-Integrated Ballast LED, 179W, any bulb shape, any application</t>
  </si>
  <si>
    <t>179W LED - Non-Int. Ballast</t>
  </si>
  <si>
    <t>LED180W</t>
  </si>
  <si>
    <t>Non-Integrated Ballast LED, 180W, any bulb shape, any application</t>
  </si>
  <si>
    <t>180W LED - Non-Int. Ballast</t>
  </si>
  <si>
    <t>LED181W</t>
  </si>
  <si>
    <t>Non-Integrated Ballast LED, 181W, any bulb shape, any application</t>
  </si>
  <si>
    <t>181W LED - Non-Int. Ballast</t>
  </si>
  <si>
    <t>LED182W</t>
  </si>
  <si>
    <t>Non-Integrated Ballast LED, 182W, any bulb shape, any application</t>
  </si>
  <si>
    <t>182W LED - Non-Int. Ballast</t>
  </si>
  <si>
    <t>LED183W</t>
  </si>
  <si>
    <t>Non-Integrated Ballast LED, 183W, any bulb shape, any application</t>
  </si>
  <si>
    <t>183W LED - Non-Int. Ballast</t>
  </si>
  <si>
    <t>LED184W</t>
  </si>
  <si>
    <t>Non-Integrated Ballast LED, 184W, any bulb shape, any application</t>
  </si>
  <si>
    <t>184W LED - Non-Int. Ballast</t>
  </si>
  <si>
    <t>LED185W</t>
  </si>
  <si>
    <t>Non-Integrated Ballast LED, 185W, any bulb shape, any application</t>
  </si>
  <si>
    <t>185W LED - Non-Int. Ballast</t>
  </si>
  <si>
    <t>LED186W</t>
  </si>
  <si>
    <t>Non-Integrated Ballast LED, 186W, any bulb shape, any application</t>
  </si>
  <si>
    <t>186W LED - Non-Int. Ballast</t>
  </si>
  <si>
    <t>LED187W</t>
  </si>
  <si>
    <t>Non-Integrated Ballast LED, 187W, any bulb shape, any application</t>
  </si>
  <si>
    <t>187W LED - Non-Int. Ballast</t>
  </si>
  <si>
    <t>LED188W</t>
  </si>
  <si>
    <t>Non-Integrated Ballast LED, 188W, any bulb shape, any application</t>
  </si>
  <si>
    <t>188W LED - Non-Int. Ballast</t>
  </si>
  <si>
    <t>LED189W</t>
  </si>
  <si>
    <t>Non-Integrated Ballast LED, 189W, any bulb shape, any application</t>
  </si>
  <si>
    <t>189W LED - Non-Int. Ballast</t>
  </si>
  <si>
    <t>LED190W</t>
  </si>
  <si>
    <t>Non-Integrated Ballast LED, 190W, any bulb shape, any application</t>
  </si>
  <si>
    <t>190W LED - Non-Int. Ballast</t>
  </si>
  <si>
    <t>LED191W</t>
  </si>
  <si>
    <t>Non-Integrated Ballast LED, 191W, any bulb shape, any application</t>
  </si>
  <si>
    <t>191W LED - Non-Int. Ballast</t>
  </si>
  <si>
    <t>LED192W</t>
  </si>
  <si>
    <t>Non-Integrated Ballast LED, 192W, any bulb shape, any application</t>
  </si>
  <si>
    <t>192W LED - Non-Int. Ballast</t>
  </si>
  <si>
    <t>LED193W</t>
  </si>
  <si>
    <t>Non-Integrated Ballast LED, 193W, any bulb shape, any application</t>
  </si>
  <si>
    <t>193W LED - Non-Int. Ballast</t>
  </si>
  <si>
    <t>LED194W</t>
  </si>
  <si>
    <t>Non-Integrated Ballast LED, 194W, any bulb shape, any application</t>
  </si>
  <si>
    <t>194W LED - Non-Int. Ballast</t>
  </si>
  <si>
    <t>LED195W</t>
  </si>
  <si>
    <t>Non-Integrated Ballast LED, 195W, any bulb shape, any application</t>
  </si>
  <si>
    <t>195W LED - Non-Int. Ballast</t>
  </si>
  <si>
    <t>LED196W</t>
  </si>
  <si>
    <t>Non-Integrated Ballast LED, 196W, any bulb shape, any application</t>
  </si>
  <si>
    <t>196W LED - Non-Int. Ballast</t>
  </si>
  <si>
    <t>LED197W</t>
  </si>
  <si>
    <t>Non-Integrated Ballast LED, 197W, any bulb shape, any application</t>
  </si>
  <si>
    <t>197W LED - Non-Int. Ballast</t>
  </si>
  <si>
    <t>LED198W</t>
  </si>
  <si>
    <t>Non-Integrated Ballast LED, 198W, any bulb shape, any application</t>
  </si>
  <si>
    <t>198W LED - Non-Int. Ballast</t>
  </si>
  <si>
    <t>LED199W</t>
  </si>
  <si>
    <t>Non-Integrated Ballast LED, 199W, any bulb shape, any application</t>
  </si>
  <si>
    <t>199W LED - Non-Int. Ballast</t>
  </si>
  <si>
    <t>LED200W</t>
  </si>
  <si>
    <t>Non-Integrated Ballast LED, 200W, any bulb shape, any application</t>
  </si>
  <si>
    <t>200W LED - Non-Int. Ballast</t>
  </si>
  <si>
    <t>LED201W</t>
  </si>
  <si>
    <t>Non-Integrated Ballast LED, 201W, any bulb shape, any application</t>
  </si>
  <si>
    <t>201W LED - Non-Int. Ballast</t>
  </si>
  <si>
    <t>LED202W</t>
  </si>
  <si>
    <t>Non-Integrated Ballast LED, 202W, any bulb shape, any application</t>
  </si>
  <si>
    <t>202W LED - Non-Int. Ballast</t>
  </si>
  <si>
    <t>LED203W</t>
  </si>
  <si>
    <t>Non-Integrated Ballast LED, 203W, any bulb shape, any application</t>
  </si>
  <si>
    <t>203W LED - Non-Int. Ballast</t>
  </si>
  <si>
    <t>LED204W</t>
  </si>
  <si>
    <t>Non-Integrated Ballast LED, 204W, any bulb shape, any application</t>
  </si>
  <si>
    <t>204W LED - Non-Int. Ballast</t>
  </si>
  <si>
    <t>LED205W</t>
  </si>
  <si>
    <t>Non-Integrated Ballast LED, 205W, any bulb shape, any application</t>
  </si>
  <si>
    <t>205W LED - Non-Int. Ballast</t>
  </si>
  <si>
    <t>LED206W</t>
  </si>
  <si>
    <t>Non-Integrated Ballast LED, 206W, any bulb shape, any application</t>
  </si>
  <si>
    <t>206W LED - Non-Int. Ballast</t>
  </si>
  <si>
    <t>LED207W</t>
  </si>
  <si>
    <t>Non-Integrated Ballast LED, 207W, any bulb shape, any application</t>
  </si>
  <si>
    <t>207W LED - Non-Int. Ballast</t>
  </si>
  <si>
    <t>LED208W</t>
  </si>
  <si>
    <t>Non-Integrated Ballast LED, 208W, any bulb shape, any application</t>
  </si>
  <si>
    <t>208W LED - Non-Int. Ballast</t>
  </si>
  <si>
    <t>LED209W</t>
  </si>
  <si>
    <t>Non-Integrated Ballast LED, 209W, any bulb shape, any application</t>
  </si>
  <si>
    <t>209W LED - Non-Int. Ballast</t>
  </si>
  <si>
    <t>LED210W</t>
  </si>
  <si>
    <t>Non-Integrated Ballast LED, 210W, any bulb shape, any application</t>
  </si>
  <si>
    <t>210W LED - Non-Int. Ballast</t>
  </si>
  <si>
    <t>LED211W</t>
  </si>
  <si>
    <t>Non-Integrated Ballast LED, 211W, any bulb shape, any application</t>
  </si>
  <si>
    <t>211W LED - Non-Int. Ballast</t>
  </si>
  <si>
    <t>LED212W</t>
  </si>
  <si>
    <t>Non-Integrated Ballast LED, 212W, any bulb shape, any application</t>
  </si>
  <si>
    <t>212W LED - Non-Int. Ballast</t>
  </si>
  <si>
    <t>LED213W</t>
  </si>
  <si>
    <t>Non-Integrated Ballast LED, 213W, any bulb shape, any application</t>
  </si>
  <si>
    <t>213W LED - Non-Int. Ballast</t>
  </si>
  <si>
    <t>LED214W</t>
  </si>
  <si>
    <t>Non-Integrated Ballast LED, 214W, any bulb shape, any application</t>
  </si>
  <si>
    <t>214W LED - Non-Int. Ballast</t>
  </si>
  <si>
    <t>LED215W</t>
  </si>
  <si>
    <t>Non-Integrated Ballast LED, 215W, any bulb shape, any application</t>
  </si>
  <si>
    <t>215W LED - Non-Int. Ballast</t>
  </si>
  <si>
    <t>LED216W</t>
  </si>
  <si>
    <t>Non-Integrated Ballast LED, 216W, any bulb shape, any application</t>
  </si>
  <si>
    <t>216W LED - Non-Int. Ballast</t>
  </si>
  <si>
    <t>LED217W</t>
  </si>
  <si>
    <t>Non-Integrated Ballast LED, 217W, any bulb shape, any application</t>
  </si>
  <si>
    <t>217W LED - Non-Int. Ballast</t>
  </si>
  <si>
    <t>LED218W</t>
  </si>
  <si>
    <t>Non-Integrated Ballast LED, 218W, any bulb shape, any application</t>
  </si>
  <si>
    <t>218W LED - Non-Int. Ballast</t>
  </si>
  <si>
    <t>LED219W</t>
  </si>
  <si>
    <t>Non-Integrated Ballast LED, 219W, any bulb shape, any application</t>
  </si>
  <si>
    <t>219W LED - Non-Int. Ballast</t>
  </si>
  <si>
    <t>LED220W</t>
  </si>
  <si>
    <t>Non-Integrated Ballast LED, 220W, any bulb shape, any application</t>
  </si>
  <si>
    <t>220W LED - Non-Int. Ballast</t>
  </si>
  <si>
    <t>LED221W</t>
  </si>
  <si>
    <t>Non-Integrated Ballast LED, 221W, any bulb shape, any application</t>
  </si>
  <si>
    <t>221W LED - Non-Int. Ballast</t>
  </si>
  <si>
    <t>LED222W</t>
  </si>
  <si>
    <t>Non-Integrated Ballast LED, 222W, any bulb shape, any application</t>
  </si>
  <si>
    <t>222W LED - Non-Int. Ballast</t>
  </si>
  <si>
    <t>LED223W</t>
  </si>
  <si>
    <t>Non-Integrated Ballast LED, 223W, any bulb shape, any application</t>
  </si>
  <si>
    <t>223W LED - Non-Int. Ballast</t>
  </si>
  <si>
    <t>LED224W</t>
  </si>
  <si>
    <t>Non-Integrated Ballast LED, 224W, any bulb shape, any application</t>
  </si>
  <si>
    <t>224W LED - Non-Int. Ballast</t>
  </si>
  <si>
    <t>LED225W</t>
  </si>
  <si>
    <t>Non-Integrated Ballast LED, 225W, any bulb shape, any application</t>
  </si>
  <si>
    <t>225W LED - Non-Int. Ballast</t>
  </si>
  <si>
    <t>LED226W</t>
  </si>
  <si>
    <t>Non-Integrated Ballast LED, 226W, any bulb shape, any application</t>
  </si>
  <si>
    <t>226W LED - Non-Int. Ballast</t>
  </si>
  <si>
    <t>LED227W</t>
  </si>
  <si>
    <t>Non-Integrated Ballast LED, 227W, any bulb shape, any application</t>
  </si>
  <si>
    <t>227W LED - Non-Int. Ballast</t>
  </si>
  <si>
    <t>LED228W</t>
  </si>
  <si>
    <t>Non-Integrated Ballast LED, 228W, any bulb shape, any application</t>
  </si>
  <si>
    <t>228W LED - Non-Int. Ballast</t>
  </si>
  <si>
    <t>LED229W</t>
  </si>
  <si>
    <t>Non-Integrated Ballast LED, 229W, any bulb shape, any application</t>
  </si>
  <si>
    <t>229W LED - Non-Int. Ballast</t>
  </si>
  <si>
    <t>LED230W</t>
  </si>
  <si>
    <t>Non-Integrated Ballast LED, 230W, any bulb shape, any application</t>
  </si>
  <si>
    <t>230W LED - Non-Int. Ballast</t>
  </si>
  <si>
    <t>LED231W</t>
  </si>
  <si>
    <t>Non-Integrated Ballast LED, 231W, any bulb shape, any application</t>
  </si>
  <si>
    <t>231W LED - Non-Int. Ballast</t>
  </si>
  <si>
    <t>LED232W</t>
  </si>
  <si>
    <t>Non-Integrated Ballast LED, 232W, any bulb shape, any application</t>
  </si>
  <si>
    <t>232W LED - Non-Int. Ballast</t>
  </si>
  <si>
    <t>LED233W</t>
  </si>
  <si>
    <t>Non-Integrated Ballast LED, 233W, any bulb shape, any application</t>
  </si>
  <si>
    <t>233W LED - Non-Int. Ballast</t>
  </si>
  <si>
    <t>LED234W</t>
  </si>
  <si>
    <t>Non-Integrated Ballast LED, 234W, any bulb shape, any application</t>
  </si>
  <si>
    <t>234W LED - Non-Int. Ballast</t>
  </si>
  <si>
    <t>LED235W</t>
  </si>
  <si>
    <t>Non-Integrated Ballast LED, 235W, any bulb shape, any application</t>
  </si>
  <si>
    <t>235W LED - Non-Int. Ballast</t>
  </si>
  <si>
    <t>LED236W</t>
  </si>
  <si>
    <t>Non-Integrated Ballast LED, 236W, any bulb shape, any application</t>
  </si>
  <si>
    <t>236W LED - Non-Int. Ballast</t>
  </si>
  <si>
    <t>LED237W</t>
  </si>
  <si>
    <t>Non-Integrated Ballast LED, 237W, any bulb shape, any application</t>
  </si>
  <si>
    <t>237W LED - Non-Int. Ballast</t>
  </si>
  <si>
    <t>LED238W</t>
  </si>
  <si>
    <t>Non-Integrated Ballast LED, 238W, any bulb shape, any application</t>
  </si>
  <si>
    <t>238W LED - Non-Int. Ballast</t>
  </si>
  <si>
    <t>LED239W</t>
  </si>
  <si>
    <t>Non-Integrated Ballast LED, 239W, any bulb shape, any application</t>
  </si>
  <si>
    <t>239W LED - Non-Int. Ballast</t>
  </si>
  <si>
    <t>LED240W</t>
  </si>
  <si>
    <t>Non-Integrated Ballast LED, 240W, any bulb shape, any application</t>
  </si>
  <si>
    <t>240W LED - Non-Int. Ballast</t>
  </si>
  <si>
    <t>LED241W</t>
  </si>
  <si>
    <t>Non-Integrated Ballast LED, 241W, any bulb shape, any application</t>
  </si>
  <si>
    <t>241W LED - Non-Int. Ballast</t>
  </si>
  <si>
    <t>LED242W</t>
  </si>
  <si>
    <t>Non-Integrated Ballast LED, 242W, any bulb shape, any application</t>
  </si>
  <si>
    <t>242W LED - Non-Int. Ballast</t>
  </si>
  <si>
    <t>LED243W</t>
  </si>
  <si>
    <t>Non-Integrated Ballast LED, 243W, any bulb shape, any application</t>
  </si>
  <si>
    <t>243W LED - Non-Int. Ballast</t>
  </si>
  <si>
    <t>LED244W</t>
  </si>
  <si>
    <t>Non-Integrated Ballast LED, 244W, any bulb shape, any application</t>
  </si>
  <si>
    <t>244W LED - Non-Int. Ballast</t>
  </si>
  <si>
    <t>LED245W</t>
  </si>
  <si>
    <t>Non-Integrated Ballast LED, 245W, any bulb shape, any application</t>
  </si>
  <si>
    <t>245W LED - Non-Int. Ballast</t>
  </si>
  <si>
    <t>LED246W</t>
  </si>
  <si>
    <t>Non-Integrated Ballast LED, 246W, any bulb shape, any application</t>
  </si>
  <si>
    <t>246W LED - Non-Int. Ballast</t>
  </si>
  <si>
    <t>LED247W</t>
  </si>
  <si>
    <t>Non-Integrated Ballast LED, 247W, any bulb shape, any application</t>
  </si>
  <si>
    <t>247W LED - Non-Int. Ballast</t>
  </si>
  <si>
    <t>LED248W</t>
  </si>
  <si>
    <t>Non-Integrated Ballast LED, 248W, any bulb shape, any application</t>
  </si>
  <si>
    <t>248W LED - Non-Int. Ballast</t>
  </si>
  <si>
    <t>LED249W</t>
  </si>
  <si>
    <t>Non-Integrated Ballast LED, 249W, any bulb shape, any application</t>
  </si>
  <si>
    <t>249W LED - Non-Int. Ballast</t>
  </si>
  <si>
    <t>LED250W</t>
  </si>
  <si>
    <t>Non-Integrated Ballast LED, 250W, any bulb shape, any application</t>
  </si>
  <si>
    <t>250W LED - Non-Int. Ballast</t>
  </si>
  <si>
    <t>LED251W</t>
  </si>
  <si>
    <t>Non-Integrated Ballast LED, 251W, any bulb shape, any application</t>
  </si>
  <si>
    <t>251W LED - Non-Int. Ballast</t>
  </si>
  <si>
    <t>LED252W</t>
  </si>
  <si>
    <t>Non-Integrated Ballast LED, 252W, any bulb shape, any application</t>
  </si>
  <si>
    <t>252W LED - Non-Int. Ballast</t>
  </si>
  <si>
    <t>LED253W</t>
  </si>
  <si>
    <t>Non-Integrated Ballast LED, 253W, any bulb shape, any application</t>
  </si>
  <si>
    <t>253W LED - Non-Int. Ballast</t>
  </si>
  <si>
    <t>LED254W</t>
  </si>
  <si>
    <t>Non-Integrated Ballast LED, 254W, any bulb shape, any application</t>
  </si>
  <si>
    <t>254W LED - Non-Int. Ballast</t>
  </si>
  <si>
    <t>LED255W</t>
  </si>
  <si>
    <t>Non-Integrated Ballast LED, 255W, any bulb shape, any application</t>
  </si>
  <si>
    <t>255W LED - Non-Int. Ballast</t>
  </si>
  <si>
    <t>LED256W</t>
  </si>
  <si>
    <t>Non-Integrated Ballast LED, 256W, any bulb shape, any application</t>
  </si>
  <si>
    <t>256W LED - Non-Int. Ballast</t>
  </si>
  <si>
    <t>LED257W</t>
  </si>
  <si>
    <t>Non-Integrated Ballast LED, 257W, any bulb shape, any application</t>
  </si>
  <si>
    <t>257W LED - Non-Int. Ballast</t>
  </si>
  <si>
    <t>LED258W</t>
  </si>
  <si>
    <t>Non-Integrated Ballast LED, 258W, any bulb shape, any application</t>
  </si>
  <si>
    <t>258W LED - Non-Int. Ballast</t>
  </si>
  <si>
    <t>LED259W</t>
  </si>
  <si>
    <t>Non-Integrated Ballast LED, 259W, any bulb shape, any application</t>
  </si>
  <si>
    <t>259W LED - Non-Int. Ballast</t>
  </si>
  <si>
    <t>LED260W</t>
  </si>
  <si>
    <t>Non-Integrated Ballast LED, 260W, any bulb shape, any application</t>
  </si>
  <si>
    <t>260W LED - Non-Int. Ballast</t>
  </si>
  <si>
    <t>LED261W</t>
  </si>
  <si>
    <t>Non-Integrated Ballast LED, 261W, any bulb shape, any application</t>
  </si>
  <si>
    <t>261W LED - Non-Int. Ballast</t>
  </si>
  <si>
    <t>LED262W</t>
  </si>
  <si>
    <t>Non-Integrated Ballast LED, 262W, any bulb shape, any application</t>
  </si>
  <si>
    <t>262W LED - Non-Int. Ballast</t>
  </si>
  <si>
    <t>LED263W</t>
  </si>
  <si>
    <t>Non-Integrated Ballast LED, 263W, any bulb shape, any application</t>
  </si>
  <si>
    <t>263W LED - Non-Int. Ballast</t>
  </si>
  <si>
    <t>LED264W</t>
  </si>
  <si>
    <t>Non-Integrated Ballast LED, 264W, any bulb shape, any application</t>
  </si>
  <si>
    <t>264W LED - Non-Int. Ballast</t>
  </si>
  <si>
    <t>LED265W</t>
  </si>
  <si>
    <t>Non-Integrated Ballast LED, 265W, any bulb shape, any application</t>
  </si>
  <si>
    <t>265W LED - Non-Int. Ballast</t>
  </si>
  <si>
    <t>LED266W</t>
  </si>
  <si>
    <t>Non-Integrated Ballast LED, 266W, any bulb shape, any application</t>
  </si>
  <si>
    <t>266W LED - Non-Int. Ballast</t>
  </si>
  <si>
    <t>LED267W</t>
  </si>
  <si>
    <t>Non-Integrated Ballast LED, 267W, any bulb shape, any application</t>
  </si>
  <si>
    <t>267W LED - Non-Int. Ballast</t>
  </si>
  <si>
    <t>LED268W</t>
  </si>
  <si>
    <t>Non-Integrated Ballast LED, 268W, any bulb shape, any application</t>
  </si>
  <si>
    <t>268W LED - Non-Int. Ballast</t>
  </si>
  <si>
    <t>LED269W</t>
  </si>
  <si>
    <t>Non-Integrated Ballast LED, 269W, any bulb shape, any application</t>
  </si>
  <si>
    <t>269W LED - Non-Int. Ballast</t>
  </si>
  <si>
    <t>LED270W</t>
  </si>
  <si>
    <t>Non-Integrated Ballast LED, 270W, any bulb shape, any application</t>
  </si>
  <si>
    <t>270W LED - Non-Int. Ballast</t>
  </si>
  <si>
    <t>LED271W</t>
  </si>
  <si>
    <t>Non-Integrated Ballast LED, 271W, any bulb shape, any application</t>
  </si>
  <si>
    <t>271W LED - Non-Int. Ballast</t>
  </si>
  <si>
    <t>LED272W</t>
  </si>
  <si>
    <t>Non-Integrated Ballast LED, 272W, any bulb shape, any application</t>
  </si>
  <si>
    <t>272W LED - Non-Int. Ballast</t>
  </si>
  <si>
    <t>LED273W</t>
  </si>
  <si>
    <t>Non-Integrated Ballast LED, 273W, any bulb shape, any application</t>
  </si>
  <si>
    <t>273W LED - Non-Int. Ballast</t>
  </si>
  <si>
    <t>LED274W</t>
  </si>
  <si>
    <t>Non-Integrated Ballast LED, 274W, any bulb shape, any application</t>
  </si>
  <si>
    <t>274W LED - Non-Int. Ballast</t>
  </si>
  <si>
    <t>LED275W</t>
  </si>
  <si>
    <t>Non-Integrated Ballast LED, 275W, any bulb shape, any application</t>
  </si>
  <si>
    <t>275W LED - Non-Int. Ballast</t>
  </si>
  <si>
    <t>LED276W</t>
  </si>
  <si>
    <t>Non-Integrated Ballast LED, 276W, any bulb shape, any application</t>
  </si>
  <si>
    <t>276W LED - Non-Int. Ballast</t>
  </si>
  <si>
    <t>LED277W</t>
  </si>
  <si>
    <t>Non-Integrated Ballast LED, 277W, any bulb shape, any application</t>
  </si>
  <si>
    <t>277W LED - Non-Int. Ballast</t>
  </si>
  <si>
    <t>LED278W</t>
  </si>
  <si>
    <t>Non-Integrated Ballast LED, 278W, any bulb shape, any application</t>
  </si>
  <si>
    <t>278W LED - Non-Int. Ballast</t>
  </si>
  <si>
    <t>LED279W</t>
  </si>
  <si>
    <t>Non-Integrated Ballast LED, 279W, any bulb shape, any application</t>
  </si>
  <si>
    <t>279W LED - Non-Int. Ballast</t>
  </si>
  <si>
    <t>LED280W</t>
  </si>
  <si>
    <t>Non-Integrated Ballast LED, 280W, any bulb shape, any application</t>
  </si>
  <si>
    <t>280W LED - Non-Int. Ballast</t>
  </si>
  <si>
    <t>LED281W</t>
  </si>
  <si>
    <t>Non-Integrated Ballast LED, 281W, any bulb shape, any application</t>
  </si>
  <si>
    <t>281W LED - Non-Int. Ballast</t>
  </si>
  <si>
    <t>LED282W</t>
  </si>
  <si>
    <t>Non-Integrated Ballast LED, 282W, any bulb shape, any application</t>
  </si>
  <si>
    <t>282W LED - Non-Int. Ballast</t>
  </si>
  <si>
    <t>LED283W</t>
  </si>
  <si>
    <t>Non-Integrated Ballast LED, 283W, any bulb shape, any application</t>
  </si>
  <si>
    <t>283W LED - Non-Int. Ballast</t>
  </si>
  <si>
    <t>LED284W</t>
  </si>
  <si>
    <t>Non-Integrated Ballast LED, 284W, any bulb shape, any application</t>
  </si>
  <si>
    <t>284W LED - Non-Int. Ballast</t>
  </si>
  <si>
    <t>LED285W</t>
  </si>
  <si>
    <t>Non-Integrated Ballast LED, 285W, any bulb shape, any application</t>
  </si>
  <si>
    <t>285W LED - Non-Int. Ballast</t>
  </si>
  <si>
    <t>LED286W</t>
  </si>
  <si>
    <t>Non-Integrated Ballast LED, 286W, any bulb shape, any application</t>
  </si>
  <si>
    <t>286W LED - Non-Int. Ballast</t>
  </si>
  <si>
    <t>LED287W</t>
  </si>
  <si>
    <t>Non-Integrated Ballast LED, 287W, any bulb shape, any application</t>
  </si>
  <si>
    <t>287W LED - Non-Int. Ballast</t>
  </si>
  <si>
    <t>LED288W</t>
  </si>
  <si>
    <t>Non-Integrated Ballast LED, 288W, any bulb shape, any application</t>
  </si>
  <si>
    <t>288W LED - Non-Int. Ballast</t>
  </si>
  <si>
    <t>LED289W</t>
  </si>
  <si>
    <t>Non-Integrated Ballast LED, 289W, any bulb shape, any application</t>
  </si>
  <si>
    <t>289W LED - Non-Int. Ballast</t>
  </si>
  <si>
    <t>LED290W</t>
  </si>
  <si>
    <t>Non-Integrated Ballast LED, 290W, any bulb shape, any application</t>
  </si>
  <si>
    <t>290W LED - Non-Int. Ballast</t>
  </si>
  <si>
    <t>LED291W</t>
  </si>
  <si>
    <t>Non-Integrated Ballast LED, 291W, any bulb shape, any application</t>
  </si>
  <si>
    <t>291W LED - Non-Int. Ballast</t>
  </si>
  <si>
    <t>LED292W</t>
  </si>
  <si>
    <t>Non-Integrated Ballast LED, 292W, any bulb shape, any application</t>
  </si>
  <si>
    <t>292W LED - Non-Int. Ballast</t>
  </si>
  <si>
    <t>LED293W</t>
  </si>
  <si>
    <t>Non-Integrated Ballast LED, 293W, any bulb shape, any application</t>
  </si>
  <si>
    <t>293W LED - Non-Int. Ballast</t>
  </si>
  <si>
    <t>LED294W</t>
  </si>
  <si>
    <t>Non-Integrated Ballast LED, 294W, any bulb shape, any application</t>
  </si>
  <si>
    <t>294W LED - Non-Int. Ballast</t>
  </si>
  <si>
    <t>LED295W</t>
  </si>
  <si>
    <t>Non-Integrated Ballast LED, 295W, any bulb shape, any application</t>
  </si>
  <si>
    <t>295W LED - Non-Int. Ballast</t>
  </si>
  <si>
    <t>LED296W</t>
  </si>
  <si>
    <t>Non-Integrated Ballast LED, 296W, any bulb shape, any application</t>
  </si>
  <si>
    <t>296W LED - Non-Int. Ballast</t>
  </si>
  <si>
    <t>LED297W</t>
  </si>
  <si>
    <t>Non-Integrated Ballast LED, 297W, any bulb shape, any application</t>
  </si>
  <si>
    <t>297W LED - Non-Int. Ballast</t>
  </si>
  <si>
    <t>LED298W</t>
  </si>
  <si>
    <t>Non-Integrated Ballast LED, 298W, any bulb shape, any application</t>
  </si>
  <si>
    <t>298W LED - Non-Int. Ballast</t>
  </si>
  <si>
    <t>LED299W</t>
  </si>
  <si>
    <t>Non-Integrated Ballast LED, 299W, any bulb shape, any application</t>
  </si>
  <si>
    <t>299W LED - Non-Int. Ballast</t>
  </si>
  <si>
    <t>LED300W</t>
  </si>
  <si>
    <t>Non-Integrated Ballast LED, 300W, any bulb shape, any application</t>
  </si>
  <si>
    <t>300W LED - Non-Int. Ballast</t>
  </si>
  <si>
    <t>LED301W</t>
  </si>
  <si>
    <t>Non-Integrated Ballast LED, 301W, any bulb shape, any application</t>
  </si>
  <si>
    <t>301W LED - Non-Int. Ballast</t>
  </si>
  <si>
    <t>LED302W</t>
  </si>
  <si>
    <t>Non-Integrated Ballast LED, 302W, any bulb shape, any application</t>
  </si>
  <si>
    <t>302W LED - Non-Int. Ballast</t>
  </si>
  <si>
    <t>LED303W</t>
  </si>
  <si>
    <t>Non-Integrated Ballast LED, 303W, any bulb shape, any application</t>
  </si>
  <si>
    <t>303W LED - Non-Int. Ballast</t>
  </si>
  <si>
    <t>LED304W</t>
  </si>
  <si>
    <t>Non-Integrated Ballast LED, 304W, any bulb shape, any application</t>
  </si>
  <si>
    <t>304W LED - Non-Int. Ballast</t>
  </si>
  <si>
    <t>LED305W</t>
  </si>
  <si>
    <t>Non-Integrated Ballast LED, 305W, any bulb shape, any application</t>
  </si>
  <si>
    <t>305W LED - Non-Int. Ballast</t>
  </si>
  <si>
    <t>LED306W</t>
  </si>
  <si>
    <t>Non-Integrated Ballast LED, 306W, any bulb shape, any application</t>
  </si>
  <si>
    <t>306W LED - Non-Int. Ballast</t>
  </si>
  <si>
    <t>LED307W</t>
  </si>
  <si>
    <t>Non-Integrated Ballast LED, 307W, any bulb shape, any application</t>
  </si>
  <si>
    <t>307W LED - Non-Int. Ballast</t>
  </si>
  <si>
    <t>LED308W</t>
  </si>
  <si>
    <t>Non-Integrated Ballast LED, 308W, any bulb shape, any application</t>
  </si>
  <si>
    <t>308W LED - Non-Int. Ballast</t>
  </si>
  <si>
    <t>LED309W</t>
  </si>
  <si>
    <t>Non-Integrated Ballast LED, 309W, any bulb shape, any application</t>
  </si>
  <si>
    <t>309W LED - Non-Int. Ballast</t>
  </si>
  <si>
    <t>LED310W</t>
  </si>
  <si>
    <t>Non-Integrated Ballast LED, 310W, any bulb shape, any application</t>
  </si>
  <si>
    <t>310W LED - Non-Int. Ballast</t>
  </si>
  <si>
    <t>LED311W</t>
  </si>
  <si>
    <t>Non-Integrated Ballast LED, 311W, any bulb shape, any application</t>
  </si>
  <si>
    <t>311W LED - Non-Int. Ballast</t>
  </si>
  <si>
    <t>LED312W</t>
  </si>
  <si>
    <t>Non-Integrated Ballast LED, 312W, any bulb shape, any application</t>
  </si>
  <si>
    <t>312W LED - Non-Int. Ballast</t>
  </si>
  <si>
    <t>LED313W</t>
  </si>
  <si>
    <t>Non-Integrated Ballast LED, 313W, any bulb shape, any application</t>
  </si>
  <si>
    <t>313W LED - Non-Int. Ballast</t>
  </si>
  <si>
    <t>LED314W</t>
  </si>
  <si>
    <t>Non-Integrated Ballast LED, 314W, any bulb shape, any application</t>
  </si>
  <si>
    <t>314W LED - Non-Int. Ballast</t>
  </si>
  <si>
    <t>LED315W</t>
  </si>
  <si>
    <t>Non-Integrated Ballast LED, 315W, any bulb shape, any application</t>
  </si>
  <si>
    <t>315W LED - Non-Int. Ballast</t>
  </si>
  <si>
    <t>LED316W</t>
  </si>
  <si>
    <t>Non-Integrated Ballast LED, 316W, any bulb shape, any application</t>
  </si>
  <si>
    <t>316W LED - Non-Int. Ballast</t>
  </si>
  <si>
    <t>LED317W</t>
  </si>
  <si>
    <t>Non-Integrated Ballast LED, 317W, any bulb shape, any application</t>
  </si>
  <si>
    <t>317W LED - Non-Int. Ballast</t>
  </si>
  <si>
    <t>LED318W</t>
  </si>
  <si>
    <t>Non-Integrated Ballast LED, 318W, any bulb shape, any application</t>
  </si>
  <si>
    <t>318W LED - Non-Int. Ballast</t>
  </si>
  <si>
    <t>LED319W</t>
  </si>
  <si>
    <t>Non-Integrated Ballast LED, 319W, any bulb shape, any application</t>
  </si>
  <si>
    <t>319W LED - Non-Int. Ballast</t>
  </si>
  <si>
    <t>LED320W</t>
  </si>
  <si>
    <t>Non-Integrated Ballast LED, 320W, any bulb shape, any application</t>
  </si>
  <si>
    <t>320W LED - Non-Int. Ballast</t>
  </si>
  <si>
    <t>LED321W</t>
  </si>
  <si>
    <t>Non-Integrated Ballast LED, 321W, any bulb shape, any application</t>
  </si>
  <si>
    <t>321W LED - Non-Int. Ballast</t>
  </si>
  <si>
    <t>LED322W</t>
  </si>
  <si>
    <t>Non-Integrated Ballast LED, 322W, any bulb shape, any application</t>
  </si>
  <si>
    <t>322W LED - Non-Int. Ballast</t>
  </si>
  <si>
    <t>LED323W</t>
  </si>
  <si>
    <t>Non-Integrated Ballast LED, 323W, any bulb shape, any application</t>
  </si>
  <si>
    <t>323W LED - Non-Int. Ballast</t>
  </si>
  <si>
    <t>LED324W</t>
  </si>
  <si>
    <t>Non-Integrated Ballast LED, 324W, any bulb shape, any application</t>
  </si>
  <si>
    <t>324W LED - Non-Int. Ballast</t>
  </si>
  <si>
    <t>LED325W</t>
  </si>
  <si>
    <t>Non-Integrated Ballast LED, 325W, any bulb shape, any application</t>
  </si>
  <si>
    <t>325W LED - Non-Int. Ballast</t>
  </si>
  <si>
    <t>LED326W</t>
  </si>
  <si>
    <t>Non-Integrated Ballast LED, 326W, any bulb shape, any application</t>
  </si>
  <si>
    <t>326W LED - Non-Int. Ballast</t>
  </si>
  <si>
    <t>LED327W</t>
  </si>
  <si>
    <t>Non-Integrated Ballast LED, 327W, any bulb shape, any application</t>
  </si>
  <si>
    <t>327W LED - Non-Int. Ballast</t>
  </si>
  <si>
    <t>LED328W</t>
  </si>
  <si>
    <t>Non-Integrated Ballast LED, 328W, any bulb shape, any application</t>
  </si>
  <si>
    <t>328W LED - Non-Int. Ballast</t>
  </si>
  <si>
    <t>LED329W</t>
  </si>
  <si>
    <t>Non-Integrated Ballast LED, 329W, any bulb shape, any application</t>
  </si>
  <si>
    <t>329W LED - Non-Int. Ballast</t>
  </si>
  <si>
    <t>LED330W</t>
  </si>
  <si>
    <t>Non-Integrated Ballast LED, 330W, any bulb shape, any application</t>
  </si>
  <si>
    <t>330W LED - Non-Int. Ballast</t>
  </si>
  <si>
    <t>LED331W</t>
  </si>
  <si>
    <t>Non-Integrated Ballast LED, 331W, any bulb shape, any application</t>
  </si>
  <si>
    <t>331W LED - Non-Int. Ballast</t>
  </si>
  <si>
    <t>LED332W</t>
  </si>
  <si>
    <t>Non-Integrated Ballast LED, 332W, any bulb shape, any application</t>
  </si>
  <si>
    <t>332W LED - Non-Int. Ballast</t>
  </si>
  <si>
    <t>LED333W</t>
  </si>
  <si>
    <t>Non-Integrated Ballast LED, 333W, any bulb shape, any application</t>
  </si>
  <si>
    <t>333W LED - Non-Int. Ballast</t>
  </si>
  <si>
    <t>LED334W</t>
  </si>
  <si>
    <t>Non-Integrated Ballast LED, 334W, any bulb shape, any application</t>
  </si>
  <si>
    <t>334W LED - Non-Int. Ballast</t>
  </si>
  <si>
    <t>LED335W</t>
  </si>
  <si>
    <t>Non-Integrated Ballast LED, 335W, any bulb shape, any application</t>
  </si>
  <si>
    <t>335W LED - Non-Int. Ballast</t>
  </si>
  <si>
    <t>LED336W</t>
  </si>
  <si>
    <t>Non-Integrated Ballast LED, 336W, any bulb shape, any application</t>
  </si>
  <si>
    <t>336W LED - Non-Int. Ballast</t>
  </si>
  <si>
    <t>LED337W</t>
  </si>
  <si>
    <t>Non-Integrated Ballast LED, 337W, any bulb shape, any application</t>
  </si>
  <si>
    <t>337W LED - Non-Int. Ballast</t>
  </si>
  <si>
    <t>LED338W</t>
  </si>
  <si>
    <t>Non-Integrated Ballast LED, 338W, any bulb shape, any application</t>
  </si>
  <si>
    <t>338W LED - Non-Int. Ballast</t>
  </si>
  <si>
    <t>LED339W</t>
  </si>
  <si>
    <t>Non-Integrated Ballast LED, 339W, any bulb shape, any application</t>
  </si>
  <si>
    <t>339W LED - Non-Int. Ballast</t>
  </si>
  <si>
    <t>LED340W</t>
  </si>
  <si>
    <t>Non-Integrated Ballast LED, 340W, any bulb shape, any application</t>
  </si>
  <si>
    <t>340W LED - Non-Int. Ballast</t>
  </si>
  <si>
    <t>LED341W</t>
  </si>
  <si>
    <t>Non-Integrated Ballast LED, 341W, any bulb shape, any application</t>
  </si>
  <si>
    <t>341W LED - Non-Int. Ballast</t>
  </si>
  <si>
    <t>LED342W</t>
  </si>
  <si>
    <t>Non-Integrated Ballast LED, 342W, any bulb shape, any application</t>
  </si>
  <si>
    <t>342W LED - Non-Int. Ballast</t>
  </si>
  <si>
    <t>LED343W</t>
  </si>
  <si>
    <t>Non-Integrated Ballast LED, 343W, any bulb shape, any application</t>
  </si>
  <si>
    <t>343W LED - Non-Int. Ballast</t>
  </si>
  <si>
    <t>LED344W</t>
  </si>
  <si>
    <t>Non-Integrated Ballast LED, 344W, any bulb shape, any application</t>
  </si>
  <si>
    <t>344W LED - Non-Int. Ballast</t>
  </si>
  <si>
    <t>LED345W</t>
  </si>
  <si>
    <t>Non-Integrated Ballast LED, 345W, any bulb shape, any application</t>
  </si>
  <si>
    <t>345W LED - Non-Int. Ballast</t>
  </si>
  <si>
    <t>LED346W</t>
  </si>
  <si>
    <t>Non-Integrated Ballast LED, 346W, any bulb shape, any application</t>
  </si>
  <si>
    <t>346W LED - Non-Int. Ballast</t>
  </si>
  <si>
    <t>LED347W</t>
  </si>
  <si>
    <t>Non-Integrated Ballast LED, 347W, any bulb shape, any application</t>
  </si>
  <si>
    <t>347W LED - Non-Int. Ballast</t>
  </si>
  <si>
    <t>LED348W</t>
  </si>
  <si>
    <t>Non-Integrated Ballast LED, 348W, any bulb shape, any application</t>
  </si>
  <si>
    <t>348W LED - Non-Int. Ballast</t>
  </si>
  <si>
    <t>LED349W</t>
  </si>
  <si>
    <t>Non-Integrated Ballast LED, 349W, any bulb shape, any application</t>
  </si>
  <si>
    <t>349W LED - Non-Int. Ballast</t>
  </si>
  <si>
    <t>LED350W</t>
  </si>
  <si>
    <t>Non-Integrated Ballast LED, 350W, any bulb shape, any application</t>
  </si>
  <si>
    <t>350W LED - Non-Int. Ballast</t>
  </si>
  <si>
    <t>LED351W</t>
  </si>
  <si>
    <t>Non-Integrated Ballast LED, 351W, any bulb shape, any application</t>
  </si>
  <si>
    <t>351W LED - Non-Int. Ballast</t>
  </si>
  <si>
    <t>LED352W</t>
  </si>
  <si>
    <t>Non-Integrated Ballast LED, 352W, any bulb shape, any application</t>
  </si>
  <si>
    <t>352W LED - Non-Int. Ballast</t>
  </si>
  <si>
    <t>LED353W</t>
  </si>
  <si>
    <t>Non-Integrated Ballast LED, 353W, any bulb shape, any application</t>
  </si>
  <si>
    <t>353W LED - Non-Int. Ballast</t>
  </si>
  <si>
    <t>LED354W</t>
  </si>
  <si>
    <t>Non-Integrated Ballast LED, 354W, any bulb shape, any application</t>
  </si>
  <si>
    <t>354W LED - Non-Int. Ballast</t>
  </si>
  <si>
    <t>LED355W</t>
  </si>
  <si>
    <t>Non-Integrated Ballast LED, 355W, any bulb shape, any application</t>
  </si>
  <si>
    <t>355W LED - Non-Int. Ballast</t>
  </si>
  <si>
    <t>LED356W</t>
  </si>
  <si>
    <t>Non-Integrated Ballast LED, 356W, any bulb shape, any application</t>
  </si>
  <si>
    <t>356W LED - Non-Int. Ballast</t>
  </si>
  <si>
    <t>LED357W</t>
  </si>
  <si>
    <t>Non-Integrated Ballast LED, 357W, any bulb shape, any application</t>
  </si>
  <si>
    <t>357W LED - Non-Int. Ballast</t>
  </si>
  <si>
    <t>LED358W</t>
  </si>
  <si>
    <t>Non-Integrated Ballast LED, 358W, any bulb shape, any application</t>
  </si>
  <si>
    <t>358W LED - Non-Int. Ballast</t>
  </si>
  <si>
    <t>LED359W</t>
  </si>
  <si>
    <t>Non-Integrated Ballast LED, 359W, any bulb shape, any application</t>
  </si>
  <si>
    <t>359W LED - Non-Int. Ballast</t>
  </si>
  <si>
    <t>LED360W</t>
  </si>
  <si>
    <t>Non-Integrated Ballast LED, 360W, any bulb shape, any application</t>
  </si>
  <si>
    <t>360W LED - Non-Int. Ballast</t>
  </si>
  <si>
    <t>LED361W</t>
  </si>
  <si>
    <t>Non-Integrated Ballast LED, 361W, any bulb shape, any application</t>
  </si>
  <si>
    <t>361W LED - Non-Int. Ballast</t>
  </si>
  <si>
    <t>LED362W</t>
  </si>
  <si>
    <t>Non-Integrated Ballast LED, 362W, any bulb shape, any application</t>
  </si>
  <si>
    <t>362W LED - Non-Int. Ballast</t>
  </si>
  <si>
    <t>LED363W</t>
  </si>
  <si>
    <t>Non-Integrated Ballast LED, 363W, any bulb shape, any application</t>
  </si>
  <si>
    <t>363W LED - Non-Int. Ballast</t>
  </si>
  <si>
    <t>LED364W</t>
  </si>
  <si>
    <t>Non-Integrated Ballast LED, 364W, any bulb shape, any application</t>
  </si>
  <si>
    <t>364W LED - Non-Int. Ballast</t>
  </si>
  <si>
    <t>LED365W</t>
  </si>
  <si>
    <t>Non-Integrated Ballast LED, 365W, any bulb shape, any application</t>
  </si>
  <si>
    <t>365W LED - Non-Int. Ballast</t>
  </si>
  <si>
    <t>LED366W</t>
  </si>
  <si>
    <t>Non-Integrated Ballast LED, 366W, any bulb shape, any application</t>
  </si>
  <si>
    <t>366W LED - Non-Int. Ballast</t>
  </si>
  <si>
    <t>LED367W</t>
  </si>
  <si>
    <t>Non-Integrated Ballast LED, 367W, any bulb shape, any application</t>
  </si>
  <si>
    <t>367W LED - Non-Int. Ballast</t>
  </si>
  <si>
    <t>LED368W</t>
  </si>
  <si>
    <t>Non-Integrated Ballast LED, 368W, any bulb shape, any application</t>
  </si>
  <si>
    <t>368W LED - Non-Int. Ballast</t>
  </si>
  <si>
    <t>LED369W</t>
  </si>
  <si>
    <t>Non-Integrated Ballast LED, 369W, any bulb shape, any application</t>
  </si>
  <si>
    <t>369W LED - Non-Int. Ballast</t>
  </si>
  <si>
    <t>LED370W</t>
  </si>
  <si>
    <t>Non-Integrated Ballast LED, 370W, any bulb shape, any application</t>
  </si>
  <si>
    <t>370W LED - Non-Int. Ballast</t>
  </si>
  <si>
    <t>LED371W</t>
  </si>
  <si>
    <t>Non-Integrated Ballast LED, 371W, any bulb shape, any application</t>
  </si>
  <si>
    <t>371W LED - Non-Int. Ballast</t>
  </si>
  <si>
    <t>LED372W</t>
  </si>
  <si>
    <t>Non-Integrated Ballast LED, 372W, any bulb shape, any application</t>
  </si>
  <si>
    <t>372W LED - Non-Int. Ballast</t>
  </si>
  <si>
    <t>LED373W</t>
  </si>
  <si>
    <t>Non-Integrated Ballast LED, 373W, any bulb shape, any application</t>
  </si>
  <si>
    <t>373W LED - Non-Int. Ballast</t>
  </si>
  <si>
    <t>LED374W</t>
  </si>
  <si>
    <t>Non-Integrated Ballast LED, 374W, any bulb shape, any application</t>
  </si>
  <si>
    <t>374W LED - Non-Int. Ballast</t>
  </si>
  <si>
    <t>LED375W</t>
  </si>
  <si>
    <t>Non-Integrated Ballast LED, 375W, any bulb shape, any application</t>
  </si>
  <si>
    <t>375W LED - Non-Int. Ballast</t>
  </si>
  <si>
    <t>LED376W</t>
  </si>
  <si>
    <t>Non-Integrated Ballast LED, 376W, any bulb shape, any application</t>
  </si>
  <si>
    <t>376W LED - Non-Int. Ballast</t>
  </si>
  <si>
    <t>LED377W</t>
  </si>
  <si>
    <t>Non-Integrated Ballast LED, 377W, any bulb shape, any application</t>
  </si>
  <si>
    <t>377W LED - Non-Int. Ballast</t>
  </si>
  <si>
    <t>LED378W</t>
  </si>
  <si>
    <t>Non-Integrated Ballast LED, 378W, any bulb shape, any application</t>
  </si>
  <si>
    <t>378W LED - Non-Int. Ballast</t>
  </si>
  <si>
    <t>LED379W</t>
  </si>
  <si>
    <t>Non-Integrated Ballast LED, 379W, any bulb shape, any application</t>
  </si>
  <si>
    <t>379W LED - Non-Int. Ballast</t>
  </si>
  <si>
    <t>LED380W</t>
  </si>
  <si>
    <t>Non-Integrated Ballast LED, 380W, any bulb shape, any application</t>
  </si>
  <si>
    <t>380W LED - Non-Int. Ballast</t>
  </si>
  <si>
    <t>LED381W</t>
  </si>
  <si>
    <t>Non-Integrated Ballast LED, 381W, any bulb shape, any application</t>
  </si>
  <si>
    <t>381W LED - Non-Int. Ballast</t>
  </si>
  <si>
    <t>LED382W</t>
  </si>
  <si>
    <t>Non-Integrated Ballast LED, 382W, any bulb shape, any application</t>
  </si>
  <si>
    <t>382W LED - Non-Int. Ballast</t>
  </si>
  <si>
    <t>LED383W</t>
  </si>
  <si>
    <t>Non-Integrated Ballast LED, 383W, any bulb shape, any application</t>
  </si>
  <si>
    <t>383W LED - Non-Int. Ballast</t>
  </si>
  <si>
    <t>LED384W</t>
  </si>
  <si>
    <t>Non-Integrated Ballast LED, 384W, any bulb shape, any application</t>
  </si>
  <si>
    <t>384W LED - Non-Int. Ballast</t>
  </si>
  <si>
    <t>LED385W</t>
  </si>
  <si>
    <t>Non-Integrated Ballast LED, 385W, any bulb shape, any application</t>
  </si>
  <si>
    <t>385W LED - Non-Int. Ballast</t>
  </si>
  <si>
    <t>LED386W</t>
  </si>
  <si>
    <t>Non-Integrated Ballast LED, 386W, any bulb shape, any application</t>
  </si>
  <si>
    <t>386W LED - Non-Int. Ballast</t>
  </si>
  <si>
    <t>LED387W</t>
  </si>
  <si>
    <t>Non-Integrated Ballast LED, 387W, any bulb shape, any application</t>
  </si>
  <si>
    <t>387W LED - Non-Int. Ballast</t>
  </si>
  <si>
    <t>LED388W</t>
  </si>
  <si>
    <t>Non-Integrated Ballast LED, 388W, any bulb shape, any application</t>
  </si>
  <si>
    <t>388W LED - Non-Int. Ballast</t>
  </si>
  <si>
    <t>LED389W</t>
  </si>
  <si>
    <t>Non-Integrated Ballast LED, 389W, any bulb shape, any application</t>
  </si>
  <si>
    <t>389W LED - Non-Int. Ballast</t>
  </si>
  <si>
    <t>LED390W</t>
  </si>
  <si>
    <t>Non-Integrated Ballast LED, 390W, any bulb shape, any application</t>
  </si>
  <si>
    <t>390W LED - Non-Int. Ballast</t>
  </si>
  <si>
    <t>LED391W</t>
  </si>
  <si>
    <t>Non-Integrated Ballast LED, 391W, any bulb shape, any application</t>
  </si>
  <si>
    <t>391W LED - Non-Int. Ballast</t>
  </si>
  <si>
    <t>LED392W</t>
  </si>
  <si>
    <t>Non-Integrated Ballast LED, 392W, any bulb shape, any application</t>
  </si>
  <si>
    <t>392W LED - Non-Int. Ballast</t>
  </si>
  <si>
    <t>LED393W</t>
  </si>
  <si>
    <t>Non-Integrated Ballast LED, 393W, any bulb shape, any application</t>
  </si>
  <si>
    <t>393W LED - Non-Int. Ballast</t>
  </si>
  <si>
    <t>LED394W</t>
  </si>
  <si>
    <t>Non-Integrated Ballast LED, 394W, any bulb shape, any application</t>
  </si>
  <si>
    <t>394W LED - Non-Int. Ballast</t>
  </si>
  <si>
    <t>LED395W</t>
  </si>
  <si>
    <t>Non-Integrated Ballast LED, 395W, any bulb shape, any application</t>
  </si>
  <si>
    <t>395W LED - Non-Int. Ballast</t>
  </si>
  <si>
    <t>LED396W</t>
  </si>
  <si>
    <t>Non-Integrated Ballast LED, 396W, any bulb shape, any application</t>
  </si>
  <si>
    <t>396W LED - Non-Int. Ballast</t>
  </si>
  <si>
    <t>LED397W</t>
  </si>
  <si>
    <t>Non-Integrated Ballast LED, 397W, any bulb shape, any application</t>
  </si>
  <si>
    <t>397W LED - Non-Int. Ballast</t>
  </si>
  <si>
    <t>LED398W</t>
  </si>
  <si>
    <t>Non-Integrated Ballast LED, 398W, any bulb shape, any application</t>
  </si>
  <si>
    <t>398W LED - Non-Int. Ballast</t>
  </si>
  <si>
    <t>LED399W</t>
  </si>
  <si>
    <t>Non-Integrated Ballast LED, 399W, any bulb shape, any application</t>
  </si>
  <si>
    <t>399W LED - Non-Int. Ballast</t>
  </si>
  <si>
    <t>LED400W</t>
  </si>
  <si>
    <t>Non-Integrated Ballast LED, 400W, any bulb shape, any application</t>
  </si>
  <si>
    <t>400W LED - Non-Int. Ballast</t>
  </si>
  <si>
    <t>LED401W</t>
  </si>
  <si>
    <t>Non-Integrated Ballast LED, 401W, any bulb shape, any application</t>
  </si>
  <si>
    <t>401W LED - Non-Int. Ballast</t>
  </si>
  <si>
    <t>LED402W</t>
  </si>
  <si>
    <t>Non-Integrated Ballast LED, 402W, any bulb shape, any application</t>
  </si>
  <si>
    <t>402W LED - Non-Int. Ballast</t>
  </si>
  <si>
    <t>LED403W</t>
  </si>
  <si>
    <t>Non-Integrated Ballast LED, 403W, any bulb shape, any application</t>
  </si>
  <si>
    <t>403W LED - Non-Int. Ballast</t>
  </si>
  <si>
    <t>LED404W</t>
  </si>
  <si>
    <t>Non-Integrated Ballast LED, 404W, any bulb shape, any application</t>
  </si>
  <si>
    <t>404W LED - Non-Int. Ballast</t>
  </si>
  <si>
    <t>LED405W</t>
  </si>
  <si>
    <t>Non-Integrated Ballast LED, 405W, any bulb shape, any application</t>
  </si>
  <si>
    <t>405W LED - Non-Int. Ballast</t>
  </si>
  <si>
    <t>LED406W</t>
  </si>
  <si>
    <t>Non-Integrated Ballast LED, 406W, any bulb shape, any application</t>
  </si>
  <si>
    <t>406W LED - Non-Int. Ballast</t>
  </si>
  <si>
    <t>LED407W</t>
  </si>
  <si>
    <t>Non-Integrated Ballast LED, 407W, any bulb shape, any application</t>
  </si>
  <si>
    <t>407W LED - Non-Int. Ballast</t>
  </si>
  <si>
    <t>LED408W</t>
  </si>
  <si>
    <t>Non-Integrated Ballast LED, 408W, any bulb shape, any application</t>
  </si>
  <si>
    <t>408W LED - Non-Int. Ballast</t>
  </si>
  <si>
    <t>LED409W</t>
  </si>
  <si>
    <t>Non-Integrated Ballast LED, 409W, any bulb shape, any application</t>
  </si>
  <si>
    <t>409W LED - Non-Int. Ballast</t>
  </si>
  <si>
    <t>LED410W</t>
  </si>
  <si>
    <t>Non-Integrated Ballast LED, 410W, any bulb shape, any application</t>
  </si>
  <si>
    <t>410W LED - Non-Int. Ballast</t>
  </si>
  <si>
    <t>LED411W</t>
  </si>
  <si>
    <t>Non-Integrated Ballast LED, 411W, any bulb shape, any application</t>
  </si>
  <si>
    <t>411W LED - Non-Int. Ballast</t>
  </si>
  <si>
    <t>LED412W</t>
  </si>
  <si>
    <t>Non-Integrated Ballast LED, 412W, any bulb shape, any application</t>
  </si>
  <si>
    <t>412W LED - Non-Int. Ballast</t>
  </si>
  <si>
    <t>LED413W</t>
  </si>
  <si>
    <t>Non-Integrated Ballast LED, 413W, any bulb shape, any application</t>
  </si>
  <si>
    <t>413W LED - Non-Int. Ballast</t>
  </si>
  <si>
    <t>LED414W</t>
  </si>
  <si>
    <t>Non-Integrated Ballast LED, 414W, any bulb shape, any application</t>
  </si>
  <si>
    <t>414W LED - Non-Int. Ballast</t>
  </si>
  <si>
    <t>LED415W</t>
  </si>
  <si>
    <t>Non-Integrated Ballast LED, 415W, any bulb shape, any application</t>
  </si>
  <si>
    <t>415W LED - Non-Int. Ballast</t>
  </si>
  <si>
    <t>LED416W</t>
  </si>
  <si>
    <t>Non-Integrated Ballast LED, 416W, any bulb shape, any application</t>
  </si>
  <si>
    <t>416W LED - Non-Int. Ballast</t>
  </si>
  <si>
    <t>LED417W</t>
  </si>
  <si>
    <t>Non-Integrated Ballast LED, 417W, any bulb shape, any application</t>
  </si>
  <si>
    <t>417W LED - Non-Int. Ballast</t>
  </si>
  <si>
    <t>LED418W</t>
  </si>
  <si>
    <t>Non-Integrated Ballast LED, 418W, any bulb shape, any application</t>
  </si>
  <si>
    <t>418W LED - Non-Int. Ballast</t>
  </si>
  <si>
    <t>LED419W</t>
  </si>
  <si>
    <t>Non-Integrated Ballast LED, 419W, any bulb shape, any application</t>
  </si>
  <si>
    <t>419W LED - Non-Int. Ballast</t>
  </si>
  <si>
    <t>LED420W</t>
  </si>
  <si>
    <t>Non-Integrated Ballast LED, 420W, any bulb shape, any application</t>
  </si>
  <si>
    <t>420W LED - Non-Int. Ballast</t>
  </si>
  <si>
    <t>LED421W</t>
  </si>
  <si>
    <t>Non-Integrated Ballast LED, 421W, any bulb shape, any application</t>
  </si>
  <si>
    <t>421W LED - Non-Int. Ballast</t>
  </si>
  <si>
    <t>LED422W</t>
  </si>
  <si>
    <t>Non-Integrated Ballast LED, 422W, any bulb shape, any application</t>
  </si>
  <si>
    <t>422W LED - Non-Int. Ballast</t>
  </si>
  <si>
    <t>LED423W</t>
  </si>
  <si>
    <t>Non-Integrated Ballast LED, 423W, any bulb shape, any application</t>
  </si>
  <si>
    <t>423W LED - Non-Int. Ballast</t>
  </si>
  <si>
    <t>LED424W</t>
  </si>
  <si>
    <t>Non-Integrated Ballast LED, 424W, any bulb shape, any application</t>
  </si>
  <si>
    <t>424W LED - Non-Int. Ballast</t>
  </si>
  <si>
    <t>LED425W</t>
  </si>
  <si>
    <t>Non-Integrated Ballast LED, 425W, any bulb shape, any application</t>
  </si>
  <si>
    <t>425W LED - Non-Int. Ballast</t>
  </si>
  <si>
    <t>LED426W</t>
  </si>
  <si>
    <t>Non-Integrated Ballast LED, 426W, any bulb shape, any application</t>
  </si>
  <si>
    <t>426W LED - Non-Int. Ballast</t>
  </si>
  <si>
    <t>LED427W</t>
  </si>
  <si>
    <t>Non-Integrated Ballast LED, 427W, any bulb shape, any application</t>
  </si>
  <si>
    <t>427W LED - Non-Int. Ballast</t>
  </si>
  <si>
    <t>LED428W</t>
  </si>
  <si>
    <t>Non-Integrated Ballast LED, 428W, any bulb shape, any application</t>
  </si>
  <si>
    <t>428W LED - Non-Int. Ballast</t>
  </si>
  <si>
    <t>LED429W</t>
  </si>
  <si>
    <t>Non-Integrated Ballast LED, 429W, any bulb shape, any application</t>
  </si>
  <si>
    <t>429W LED - Non-Int. Ballast</t>
  </si>
  <si>
    <t>LED430W</t>
  </si>
  <si>
    <t>Non-Integrated Ballast LED, 430W, any bulb shape, any application</t>
  </si>
  <si>
    <t>430W LED - Non-Int. Ballast</t>
  </si>
  <si>
    <t>LED431W</t>
  </si>
  <si>
    <t>Non-Integrated Ballast LED, 431W, any bulb shape, any application</t>
  </si>
  <si>
    <t>431W LED - Non-Int. Ballast</t>
  </si>
  <si>
    <t>LED432W</t>
  </si>
  <si>
    <t>Non-Integrated Ballast LED, 432W, any bulb shape, any application</t>
  </si>
  <si>
    <t>432W LED - Non-Int. Ballast</t>
  </si>
  <si>
    <t>LED433W</t>
  </si>
  <si>
    <t>Non-Integrated Ballast LED, 433W, any bulb shape, any application</t>
  </si>
  <si>
    <t>433W LED - Non-Int. Ballast</t>
  </si>
  <si>
    <t>LED434W</t>
  </si>
  <si>
    <t>Non-Integrated Ballast LED, 434W, any bulb shape, any application</t>
  </si>
  <si>
    <t>434W LED - Non-Int. Ballast</t>
  </si>
  <si>
    <t>LED435W</t>
  </si>
  <si>
    <t>Non-Integrated Ballast LED, 435W, any bulb shape, any application</t>
  </si>
  <si>
    <t>435W LED - Non-Int. Ballast</t>
  </si>
  <si>
    <t>LED436W</t>
  </si>
  <si>
    <t>Non-Integrated Ballast LED, 436W, any bulb shape, any application</t>
  </si>
  <si>
    <t>436W LED - Non-Int. Ballast</t>
  </si>
  <si>
    <t>LED437W</t>
  </si>
  <si>
    <t>Non-Integrated Ballast LED, 437W, any bulb shape, any application</t>
  </si>
  <si>
    <t>437W LED - Non-Int. Ballast</t>
  </si>
  <si>
    <t>LED438W</t>
  </si>
  <si>
    <t>Non-Integrated Ballast LED, 438W, any bulb shape, any application</t>
  </si>
  <si>
    <t>438W LED - Non-Int. Ballast</t>
  </si>
  <si>
    <t>LED439W</t>
  </si>
  <si>
    <t>Non-Integrated Ballast LED, 439W, any bulb shape, any application</t>
  </si>
  <si>
    <t>439W LED - Non-Int. Ballast</t>
  </si>
  <si>
    <t>LED440W</t>
  </si>
  <si>
    <t>Non-Integrated Ballast LED, 440W, any bulb shape, any application</t>
  </si>
  <si>
    <t>440W LED - Non-Int. Ballast</t>
  </si>
  <si>
    <t>LED441W</t>
  </si>
  <si>
    <t>Non-Integrated Ballast LED, 441W, any bulb shape, any application</t>
  </si>
  <si>
    <t>441W LED - Non-Int. Ballast</t>
  </si>
  <si>
    <t>LED442W</t>
  </si>
  <si>
    <t>Non-Integrated Ballast LED, 442W, any bulb shape, any application</t>
  </si>
  <si>
    <t>442W LED - Non-Int. Ballast</t>
  </si>
  <si>
    <t>LED443W</t>
  </si>
  <si>
    <t>Non-Integrated Ballast LED, 443W, any bulb shape, any application</t>
  </si>
  <si>
    <t>443W LED - Non-Int. Ballast</t>
  </si>
  <si>
    <t>LED444W</t>
  </si>
  <si>
    <t>Non-Integrated Ballast LED, 444W, any bulb shape, any application</t>
  </si>
  <si>
    <t>444W LED - Non-Int. Ballast</t>
  </si>
  <si>
    <t>LED445W</t>
  </si>
  <si>
    <t>Non-Integrated Ballast LED, 445W, any bulb shape, any application</t>
  </si>
  <si>
    <t>445W LED - Non-Int. Ballast</t>
  </si>
  <si>
    <t>LED446W</t>
  </si>
  <si>
    <t>Non-Integrated Ballast LED, 446W, any bulb shape, any application</t>
  </si>
  <si>
    <t>446W LED - Non-Int. Ballast</t>
  </si>
  <si>
    <t>LED447W</t>
  </si>
  <si>
    <t>Non-Integrated Ballast LED, 447W, any bulb shape, any application</t>
  </si>
  <si>
    <t>447W LED - Non-Int. Ballast</t>
  </si>
  <si>
    <t>LED448W</t>
  </si>
  <si>
    <t>Non-Integrated Ballast LED, 448W, any bulb shape, any application</t>
  </si>
  <si>
    <t>448W LED - Non-Int. Ballast</t>
  </si>
  <si>
    <t>LED449W</t>
  </si>
  <si>
    <t>Non-Integrated Ballast LED, 449W, any bulb shape, any application</t>
  </si>
  <si>
    <t>449W LED - Non-Int. Ballast</t>
  </si>
  <si>
    <t>LED450W</t>
  </si>
  <si>
    <t>Non-Integrated Ballast LED, 450W, any bulb shape, any application</t>
  </si>
  <si>
    <t>450W LED - Non-Int. Ballast</t>
  </si>
  <si>
    <t>LED451W</t>
  </si>
  <si>
    <t>Non-Integrated Ballast LED, 451W, any bulb shape, any application</t>
  </si>
  <si>
    <t>451W LED - Non-Int. Ballast</t>
  </si>
  <si>
    <t>LED452W</t>
  </si>
  <si>
    <t>Non-Integrated Ballast LED, 452W, any bulb shape, any application</t>
  </si>
  <si>
    <t>452W LED - Non-Int. Ballast</t>
  </si>
  <si>
    <t>LED453W</t>
  </si>
  <si>
    <t>Non-Integrated Ballast LED, 453W, any bulb shape, any application</t>
  </si>
  <si>
    <t>453W LED - Non-Int. Ballast</t>
  </si>
  <si>
    <t>LED454W</t>
  </si>
  <si>
    <t>Non-Integrated Ballast LED, 454W, any bulb shape, any application</t>
  </si>
  <si>
    <t>454W LED - Non-Int. Ballast</t>
  </si>
  <si>
    <t>LED455W</t>
  </si>
  <si>
    <t>Non-Integrated Ballast LED, 455W, any bulb shape, any application</t>
  </si>
  <si>
    <t>455W LED - Non-Int. Ballast</t>
  </si>
  <si>
    <t>LED456W</t>
  </si>
  <si>
    <t>Non-Integrated Ballast LED, 456W, any bulb shape, any application</t>
  </si>
  <si>
    <t>456W LED - Non-Int. Ballast</t>
  </si>
  <si>
    <t>LED457W</t>
  </si>
  <si>
    <t>Non-Integrated Ballast LED, 457W, any bulb shape, any application</t>
  </si>
  <si>
    <t>457W LED - Non-Int. Ballast</t>
  </si>
  <si>
    <t>LED458W</t>
  </si>
  <si>
    <t>Non-Integrated Ballast LED, 458W, any bulb shape, any application</t>
  </si>
  <si>
    <t>458W LED - Non-Int. Ballast</t>
  </si>
  <si>
    <t>LED459W</t>
  </si>
  <si>
    <t>Non-Integrated Ballast LED, 459W, any bulb shape, any application</t>
  </si>
  <si>
    <t>459W LED - Non-Int. Ballast</t>
  </si>
  <si>
    <t>LED460W</t>
  </si>
  <si>
    <t>Non-Integrated Ballast LED, 460W, any bulb shape, any application</t>
  </si>
  <si>
    <t>460W LED - Non-Int. Ballast</t>
  </si>
  <si>
    <t>LED461W</t>
  </si>
  <si>
    <t>Non-Integrated Ballast LED, 461W, any bulb shape, any application</t>
  </si>
  <si>
    <t>461W LED - Non-Int. Ballast</t>
  </si>
  <si>
    <t>LED462W</t>
  </si>
  <si>
    <t>Non-Integrated Ballast LED, 462W, any bulb shape, any application</t>
  </si>
  <si>
    <t>462W LED - Non-Int. Ballast</t>
  </si>
  <si>
    <t>LED463W</t>
  </si>
  <si>
    <t>Non-Integrated Ballast LED, 463W, any bulb shape, any application</t>
  </si>
  <si>
    <t>463W LED - Non-Int. Ballast</t>
  </si>
  <si>
    <t>LED464W</t>
  </si>
  <si>
    <t>Non-Integrated Ballast LED, 464W, any bulb shape, any application</t>
  </si>
  <si>
    <t>464W LED - Non-Int. Ballast</t>
  </si>
  <si>
    <t>LED465W</t>
  </si>
  <si>
    <t>Non-Integrated Ballast LED, 465W, any bulb shape, any application</t>
  </si>
  <si>
    <t>465W LED - Non-Int. Ballast</t>
  </si>
  <si>
    <t>LED466W</t>
  </si>
  <si>
    <t>Non-Integrated Ballast LED, 466W, any bulb shape, any application</t>
  </si>
  <si>
    <t>466W LED - Non-Int. Ballast</t>
  </si>
  <si>
    <t>LED467W</t>
  </si>
  <si>
    <t>Non-Integrated Ballast LED, 467W, any bulb shape, any application</t>
  </si>
  <si>
    <t>467W LED - Non-Int. Ballast</t>
  </si>
  <si>
    <t>LED468W</t>
  </si>
  <si>
    <t>Non-Integrated Ballast LED, 468W, any bulb shape, any application</t>
  </si>
  <si>
    <t>468W LED - Non-Int. Ballast</t>
  </si>
  <si>
    <t>LED469W</t>
  </si>
  <si>
    <t>Non-Integrated Ballast LED, 469W, any bulb shape, any application</t>
  </si>
  <si>
    <t>469W LED - Non-Int. Ballast</t>
  </si>
  <si>
    <t>LED470W</t>
  </si>
  <si>
    <t>Non-Integrated Ballast LED, 470W, any bulb shape, any application</t>
  </si>
  <si>
    <t>470W LED - Non-Int. Ballast</t>
  </si>
  <si>
    <t>LED471W</t>
  </si>
  <si>
    <t>Non-Integrated Ballast LED, 471W, any bulb shape, any application</t>
  </si>
  <si>
    <t>471W LED - Non-Int. Ballast</t>
  </si>
  <si>
    <t>LED472W</t>
  </si>
  <si>
    <t>Non-Integrated Ballast LED, 472W, any bulb shape, any application</t>
  </si>
  <si>
    <t>472W LED - Non-Int. Ballast</t>
  </si>
  <si>
    <t>LED473W</t>
  </si>
  <si>
    <t>Non-Integrated Ballast LED, 473W, any bulb shape, any application</t>
  </si>
  <si>
    <t>473W LED - Non-Int. Ballast</t>
  </si>
  <si>
    <t>LED474W</t>
  </si>
  <si>
    <t>Non-Integrated Ballast LED, 474W, any bulb shape, any application</t>
  </si>
  <si>
    <t>474W LED - Non-Int. Ballast</t>
  </si>
  <si>
    <t>LED475W</t>
  </si>
  <si>
    <t>Non-Integrated Ballast LED, 475W, any bulb shape, any application</t>
  </si>
  <si>
    <t>475W LED - Non-Int. Ballast</t>
  </si>
  <si>
    <t>LED476W</t>
  </si>
  <si>
    <t>Non-Integrated Ballast LED, 476W, any bulb shape, any application</t>
  </si>
  <si>
    <t>476W LED - Non-Int. Ballast</t>
  </si>
  <si>
    <t>LED477W</t>
  </si>
  <si>
    <t>Non-Integrated Ballast LED, 477W, any bulb shape, any application</t>
  </si>
  <si>
    <t>477W LED - Non-Int. Ballast</t>
  </si>
  <si>
    <t>LED478W</t>
  </si>
  <si>
    <t>Non-Integrated Ballast LED, 478W, any bulb shape, any application</t>
  </si>
  <si>
    <t>478W LED - Non-Int. Ballast</t>
  </si>
  <si>
    <t>LED479W</t>
  </si>
  <si>
    <t>Non-Integrated Ballast LED, 479W, any bulb shape, any application</t>
  </si>
  <si>
    <t>479W LED - Non-Int. Ballast</t>
  </si>
  <si>
    <t>LED480W</t>
  </si>
  <si>
    <t>Non-Integrated Ballast LED, 480W, any bulb shape, any application</t>
  </si>
  <si>
    <t>480W LED - Non-Int. Ballast</t>
  </si>
  <si>
    <t>LED481W</t>
  </si>
  <si>
    <t>Non-Integrated Ballast LED, 481W, any bulb shape, any application</t>
  </si>
  <si>
    <t>481W LED - Non-Int. Ballast</t>
  </si>
  <si>
    <t>LED482W</t>
  </si>
  <si>
    <t>Non-Integrated Ballast LED, 482W, any bulb shape, any application</t>
  </si>
  <si>
    <t>482W LED - Non-Int. Ballast</t>
  </si>
  <si>
    <t>LED483W</t>
  </si>
  <si>
    <t>Non-Integrated Ballast LED, 483W, any bulb shape, any application</t>
  </si>
  <si>
    <t>483W LED - Non-Int. Ballast</t>
  </si>
  <si>
    <t>LED484W</t>
  </si>
  <si>
    <t>Non-Integrated Ballast LED, 484W, any bulb shape, any application</t>
  </si>
  <si>
    <t>484W LED - Non-Int. Ballast</t>
  </si>
  <si>
    <t>LED485W</t>
  </si>
  <si>
    <t>Non-Integrated Ballast LED, 485W, any bulb shape, any application</t>
  </si>
  <si>
    <t>485W LED - Non-Int. Ballast</t>
  </si>
  <si>
    <t>LED486W</t>
  </si>
  <si>
    <t>Non-Integrated Ballast LED, 486W, any bulb shape, any application</t>
  </si>
  <si>
    <t>486W LED - Non-Int. Ballast</t>
  </si>
  <si>
    <t>LED487W</t>
  </si>
  <si>
    <t>Non-Integrated Ballast LED, 487W, any bulb shape, any application</t>
  </si>
  <si>
    <t>487W LED - Non-Int. Ballast</t>
  </si>
  <si>
    <t>LED488W</t>
  </si>
  <si>
    <t>Non-Integrated Ballast LED, 488W, any bulb shape, any application</t>
  </si>
  <si>
    <t>488W LED - Non-Int. Ballast</t>
  </si>
  <si>
    <t>LED489W</t>
  </si>
  <si>
    <t>Non-Integrated Ballast LED, 489W, any bulb shape, any application</t>
  </si>
  <si>
    <t>489W LED - Non-Int. Ballast</t>
  </si>
  <si>
    <t>LED490W</t>
  </si>
  <si>
    <t>Non-Integrated Ballast LED, 490W, any bulb shape, any application</t>
  </si>
  <si>
    <t>490W LED - Non-Int. Ballast</t>
  </si>
  <si>
    <t>LED491W</t>
  </si>
  <si>
    <t>Non-Integrated Ballast LED, 491W, any bulb shape, any application</t>
  </si>
  <si>
    <t>491W LED - Non-Int. Ballast</t>
  </si>
  <si>
    <t>LED492W</t>
  </si>
  <si>
    <t>Non-Integrated Ballast LED, 492W, any bulb shape, any application</t>
  </si>
  <si>
    <t>492W LED - Non-Int. Ballast</t>
  </si>
  <si>
    <t>LED493W</t>
  </si>
  <si>
    <t>Non-Integrated Ballast LED, 493W, any bulb shape, any application</t>
  </si>
  <si>
    <t>493W LED - Non-Int. Ballast</t>
  </si>
  <si>
    <t>LED494W</t>
  </si>
  <si>
    <t>Non-Integrated Ballast LED, 494W, any bulb shape, any application</t>
  </si>
  <si>
    <t>494W LED - Non-Int. Ballast</t>
  </si>
  <si>
    <t>LED495W</t>
  </si>
  <si>
    <t>Non-Integrated Ballast LED, 495W, any bulb shape, any application</t>
  </si>
  <si>
    <t>495W LED - Non-Int. Ballast</t>
  </si>
  <si>
    <t>LED496W</t>
  </si>
  <si>
    <t>Non-Integrated Ballast LED, 496W, any bulb shape, any application</t>
  </si>
  <si>
    <t>496W LED - Non-Int. Ballast</t>
  </si>
  <si>
    <t>LED497W</t>
  </si>
  <si>
    <t>Non-Integrated Ballast LED, 497W, any bulb shape, any application</t>
  </si>
  <si>
    <t>497W LED - Non-Int. Ballast</t>
  </si>
  <si>
    <t>LED498W</t>
  </si>
  <si>
    <t>Non-Integrated Ballast LED, 498W, any bulb shape, any application</t>
  </si>
  <si>
    <t>498W LED - Non-Int. Ballast</t>
  </si>
  <si>
    <t>LED499W</t>
  </si>
  <si>
    <t>Non-Integrated Ballast LED, 499W, any bulb shape, any application</t>
  </si>
  <si>
    <t>499W LED - Non-Int. Ballast</t>
  </si>
  <si>
    <t>LED500W</t>
  </si>
  <si>
    <t>Non-Integrated Ballast LED, 500W, any bulb shape, any application</t>
  </si>
  <si>
    <t>500W LED - Non-Int. Ballast</t>
  </si>
  <si>
    <t>LED505W</t>
  </si>
  <si>
    <t>Non-Integrated Ballast LED, 505W, any bulb shape, any application</t>
  </si>
  <si>
    <t>505W LED - Non-Int. Ballast</t>
  </si>
  <si>
    <t>LED510W</t>
  </si>
  <si>
    <t>Non-Integrated Ballast LED, 510W, any bulb shape, any application</t>
  </si>
  <si>
    <t>510W LED - Non-Int. Ballast</t>
  </si>
  <si>
    <t>LED515W</t>
  </si>
  <si>
    <t>Non-Integrated Ballast LED, 515W, any bulb shape, any application</t>
  </si>
  <si>
    <t>515W LED - Non-Int. Ballast</t>
  </si>
  <si>
    <t>LED520W</t>
  </si>
  <si>
    <t>Non-Integrated Ballast LED, 520W, any bulb shape, any application</t>
  </si>
  <si>
    <t>520W LED - Non-Int. Ballast</t>
  </si>
  <si>
    <t>LED525W</t>
  </si>
  <si>
    <t>Non-Integrated Ballast LED, 525W, any bulb shape, any application</t>
  </si>
  <si>
    <t>525W LED - Non-Int. Ballast</t>
  </si>
  <si>
    <t>LED530W</t>
  </si>
  <si>
    <t>Non-Integrated Ballast LED, 530W, any bulb shape, any application</t>
  </si>
  <si>
    <t>530W LED - Non-Int. Ballast</t>
  </si>
  <si>
    <t>LED535W</t>
  </si>
  <si>
    <t>Non-Integrated Ballast LED, 535W, any bulb shape, any application</t>
  </si>
  <si>
    <t>535W LED - Non-Int. Ballast</t>
  </si>
  <si>
    <t>LED540W</t>
  </si>
  <si>
    <t>Non-Integrated Ballast LED, 540W, any bulb shape, any application</t>
  </si>
  <si>
    <t>540W LED - Non-Int. Ballast</t>
  </si>
  <si>
    <t>LED545W</t>
  </si>
  <si>
    <t>Non-Integrated Ballast LED, 545W, any bulb shape, any application</t>
  </si>
  <si>
    <t>545W LED - Non-Int. Ballast</t>
  </si>
  <si>
    <t>LED550W</t>
  </si>
  <si>
    <t>Non-Integrated Ballast LED, 550W, any bulb shape, any application</t>
  </si>
  <si>
    <t>550W LED - Non-Int. Ballast</t>
  </si>
  <si>
    <t>CF2/1-SCRW</t>
  </si>
  <si>
    <t>CF2W</t>
  </si>
  <si>
    <t>Compact Fluorescent, (1) 2W screw-in lamp/base w/ permanent disk installed, any bulb shape</t>
  </si>
  <si>
    <t>2W CFL</t>
  </si>
  <si>
    <t>Mag. or Elec.</t>
  </si>
  <si>
    <t>CF3/1-SCRW</t>
  </si>
  <si>
    <t>CF3W</t>
  </si>
  <si>
    <t>Compact Fluorescent, (1) 3W screw-in lamp/base w/ permanent disk installed, any bulb shape</t>
  </si>
  <si>
    <t>3W CFL</t>
  </si>
  <si>
    <t>CF4/1-SCRW</t>
  </si>
  <si>
    <t>CF4W</t>
  </si>
  <si>
    <t>Compact Fluorescent, (1) 4W screw-in lamp/base w/ permanent disk installed, any bulb shape</t>
  </si>
  <si>
    <t>4W CFL</t>
  </si>
  <si>
    <t>CF5/1-SCRW</t>
  </si>
  <si>
    <t>CF5W</t>
  </si>
  <si>
    <t>Compact Fluorescent, (1) 5W screw-in lamp/base w/ permanent disk installed, any bulb shape</t>
  </si>
  <si>
    <t>5W CFL</t>
  </si>
  <si>
    <t>Duplicate</t>
  </si>
  <si>
    <t>CF6/1-SCRW</t>
  </si>
  <si>
    <t>CF6W</t>
  </si>
  <si>
    <t>Compact Fluorescent, (1) 6W screw-in lamp/base w/ permanent disk installed, any bulb shape</t>
  </si>
  <si>
    <t>6W CFL</t>
  </si>
  <si>
    <t>CF7/1-SCRW</t>
  </si>
  <si>
    <t>CF7W</t>
  </si>
  <si>
    <t>Compact Fluorescent, (1) 7W screw-in lamp/base w/ permanent disk installed, any bulb shape</t>
  </si>
  <si>
    <t>7W CFL</t>
  </si>
  <si>
    <t>CF8/1-SCRW</t>
  </si>
  <si>
    <t>CF8W</t>
  </si>
  <si>
    <t>Compact Fluorescent, (1) 8W screw-in lamp/base w/ permanent disk installed, any bulb shape</t>
  </si>
  <si>
    <t>8W CFL</t>
  </si>
  <si>
    <t>CF9/1-SCRW</t>
  </si>
  <si>
    <t>CF9W</t>
  </si>
  <si>
    <t>Compact Fluorescent, (1) 9W screw-in lamp/base w/ permanent disk installed, any bulb shape</t>
  </si>
  <si>
    <t>9W CFL</t>
  </si>
  <si>
    <t>CF10/1-SCRW</t>
  </si>
  <si>
    <t>CF10W</t>
  </si>
  <si>
    <t>Compact Fluorescent, (1) 10W screw-in lamp/base w/ permanent disk installed, any bulb shape</t>
  </si>
  <si>
    <t>10W CFL</t>
  </si>
  <si>
    <t>CF11/1-SCRW</t>
  </si>
  <si>
    <t>CF11W</t>
  </si>
  <si>
    <t>Compact Fluorescent, (1) 11W screw-in lamp/base w/ permanent disk installed, any bulb shape</t>
  </si>
  <si>
    <t>11W CFL</t>
  </si>
  <si>
    <t>CF12/1-SCRW</t>
  </si>
  <si>
    <t>CF12W</t>
  </si>
  <si>
    <t>Compact Fluorescent, (1) 12W screw-in lamp/base w/ permanent disk installed, any bulb shape</t>
  </si>
  <si>
    <t>12W CFL</t>
  </si>
  <si>
    <t>CF13/1-SCRW</t>
  </si>
  <si>
    <t>CF13W</t>
  </si>
  <si>
    <t>Compact Fluorescent, (1) 13W screw-in lamp/base w/ permanent disk installed, any bulb shape</t>
  </si>
  <si>
    <t>13W CFL</t>
  </si>
  <si>
    <t>CF14/1-SCRW</t>
  </si>
  <si>
    <t>CF14W</t>
  </si>
  <si>
    <t>Compact Fluorescent, (1) 14W screw-in lamp/base w/ permanent disk installed, any bulb shape</t>
  </si>
  <si>
    <t>14W CFL</t>
  </si>
  <si>
    <t>CF15/1-SCRW</t>
  </si>
  <si>
    <t>CF15W</t>
  </si>
  <si>
    <t>Compact Fluorescent, (1) 15W screw-in lamp/base w/ permanent disk installed, any bulb shape</t>
  </si>
  <si>
    <t>15W CFL</t>
  </si>
  <si>
    <t>CF16/1-SCRW</t>
  </si>
  <si>
    <t>CF16W</t>
  </si>
  <si>
    <t>Compact Fluorescent, (1) 16W screw-in lamp/base w/ permanent disk installed, any bulb shape</t>
  </si>
  <si>
    <t>16W CFL</t>
  </si>
  <si>
    <t>CF17/1-SCRW</t>
  </si>
  <si>
    <t>CF17W</t>
  </si>
  <si>
    <t>Compact Fluorescent, (1) 17W screw-in lamp/base w/ permanent disk installed, any bulb shape</t>
  </si>
  <si>
    <t>17W CFL</t>
  </si>
  <si>
    <t>CF18/1-SCRW</t>
  </si>
  <si>
    <t>CF18W</t>
  </si>
  <si>
    <t>Compact Fluorescent, (1) 18W screw-in lamp/base w/ permanent disk installed, any bulb shape</t>
  </si>
  <si>
    <t>18W CFL</t>
  </si>
  <si>
    <t>CF19/1-SCRW</t>
  </si>
  <si>
    <t>CF19W</t>
  </si>
  <si>
    <t>Compact Fluorescent, (1) 19W screw-in lamp/base w/ permanent disk installed, any bulb shape</t>
  </si>
  <si>
    <t>19W CFL</t>
  </si>
  <si>
    <t>CF20/1-SCRW</t>
  </si>
  <si>
    <t>CF20W</t>
  </si>
  <si>
    <t>Compact Fluorescent, (1) 20W screw-in lamp/base w/ permanent disk installed, any bulb shape</t>
  </si>
  <si>
    <t>20W CFL</t>
  </si>
  <si>
    <t>CF21/1-SCRW</t>
  </si>
  <si>
    <t>CF21W</t>
  </si>
  <si>
    <t>Compact Fluorescent, (1) 21W screw-in lamp/base w/ permanent disk installed, any bulb shape</t>
  </si>
  <si>
    <t>21W CFL</t>
  </si>
  <si>
    <t>CF22/1-SCRW</t>
  </si>
  <si>
    <t>CF22W</t>
  </si>
  <si>
    <t>Compact Fluorescent, (1) 22W screw-in lamp/base w/ permanent disk installed, any bulb shape</t>
  </si>
  <si>
    <t>22W CFL</t>
  </si>
  <si>
    <t>CF23/1-SCRW</t>
  </si>
  <si>
    <t>CF23W</t>
  </si>
  <si>
    <t>Compact Fluorescent, (1) 23W screw-in lamp/base w/ permanent disk installed, any bulb shape</t>
  </si>
  <si>
    <t>23W CFL</t>
  </si>
  <si>
    <t>CF24/1-SCRW</t>
  </si>
  <si>
    <t>CF24W</t>
  </si>
  <si>
    <t>Compact Fluorescent, (1) 24W screw-in lamp/base w/ permanent disk installed, any bulb shape</t>
  </si>
  <si>
    <t>24W CFL</t>
  </si>
  <si>
    <t>CF25/1-SCRW</t>
  </si>
  <si>
    <t>CF25W</t>
  </si>
  <si>
    <t>Compact Fluorescent, (1) 25W screw-in lamp/base w/ permanent disk installed, any bulb shape</t>
  </si>
  <si>
    <t>25W CFL</t>
  </si>
  <si>
    <t>CF26/1-SCRW</t>
  </si>
  <si>
    <t>CF26W</t>
  </si>
  <si>
    <t>Compact Fluorescent, (1) 26W screw-in lamp/base w/ permanent disk installed, any bulb shape</t>
  </si>
  <si>
    <t>26W CFL</t>
  </si>
  <si>
    <t>CF27/1-SCRW</t>
  </si>
  <si>
    <t>CF27W</t>
  </si>
  <si>
    <t>Compact Fluorescent, (1) 27W screw-in lamp/base w/ permanent disk installed, any bulb shape</t>
  </si>
  <si>
    <t>27W CFL</t>
  </si>
  <si>
    <t>CF28/1-SCRW</t>
  </si>
  <si>
    <t>CF28W</t>
  </si>
  <si>
    <t>Compact Fluorescent, (1) 28W screw-in lamp/base w/ permanent disk installed, any bulb shape</t>
  </si>
  <si>
    <t>28W CFL</t>
  </si>
  <si>
    <t>CF29/1-SCRW</t>
  </si>
  <si>
    <t>CF29W</t>
  </si>
  <si>
    <t>Compact Fluorescent, (1) 29W screw-in lamp/base w/ permanent disk installed, any bulb shape</t>
  </si>
  <si>
    <t>29W CFL</t>
  </si>
  <si>
    <t>CF30/1-SCRW</t>
  </si>
  <si>
    <t>CF30W</t>
  </si>
  <si>
    <t>Compact Fluorescent, (1) 30W screw-in lamp/base w/ permanent disk installed, any bulb shape</t>
  </si>
  <si>
    <t>30W CFL</t>
  </si>
  <si>
    <t>CF31/1-SCRW</t>
  </si>
  <si>
    <t>CF31W</t>
  </si>
  <si>
    <t>Compact Fluorescent, (1) 31W screw-in lamp/base w/ permanent disk installed, any bulb shape</t>
  </si>
  <si>
    <t>31W CFL</t>
  </si>
  <si>
    <t>CF32/1-SCRW</t>
  </si>
  <si>
    <t>CF32W</t>
  </si>
  <si>
    <t>Compact Fluorescent, (1) 32W screw-in lamp/base w/ permanent disk installed, any bulb shape</t>
  </si>
  <si>
    <t>32W CFL</t>
  </si>
  <si>
    <t>CF33/1-SCRW</t>
  </si>
  <si>
    <t>CF33W</t>
  </si>
  <si>
    <t>Compact Fluorescent, (1) 33W screw-in lamp/base w/ permanent disk installed, any bulb shape</t>
  </si>
  <si>
    <t>33W CFL</t>
  </si>
  <si>
    <t>CF34/1-SCRW</t>
  </si>
  <si>
    <t>CF34W</t>
  </si>
  <si>
    <t>Compact Fluorescent, (1) 34W screw-in lamp/base w/ permanent disk installed, any bulb shape</t>
  </si>
  <si>
    <t>34W CFL</t>
  </si>
  <si>
    <t>CF35/1-SCRW</t>
  </si>
  <si>
    <t>CF35W</t>
  </si>
  <si>
    <t>Compact Fluorescent, (1) 35W screw-in lamp/base w/ permanent disk installed, any bulb shape</t>
  </si>
  <si>
    <t>35W CFL</t>
  </si>
  <si>
    <t>CF36/1-SCRW</t>
  </si>
  <si>
    <t>CF36W</t>
  </si>
  <si>
    <t>Compact Fluorescent, (1) 36W screw-in lamp/base w/ permanent disk installed, any bulb shape</t>
  </si>
  <si>
    <t>36W CFL</t>
  </si>
  <si>
    <t>CF37/1-SCRW</t>
  </si>
  <si>
    <t>CF37W</t>
  </si>
  <si>
    <t>Compact Fluorescent, (1) 37W screw-in lamp/base w/ permanent disk installed, any bulb shape</t>
  </si>
  <si>
    <t>37W CFL</t>
  </si>
  <si>
    <t>CF38/1-SCRW</t>
  </si>
  <si>
    <t>CF38W</t>
  </si>
  <si>
    <t>Compact Fluorescent, (1) 38W screw-in lamp/base w/ permanent disk installed, any bulb shape</t>
  </si>
  <si>
    <t>38W CFL</t>
  </si>
  <si>
    <t>CF39/1-SCRW</t>
  </si>
  <si>
    <t>CF39W</t>
  </si>
  <si>
    <t>Compact Fluorescent, (1) 39W screw-in lamp/base w/ permanent disk installed, any bulb shape</t>
  </si>
  <si>
    <t>39W CFL</t>
  </si>
  <si>
    <t>CF40/1-SCRW</t>
  </si>
  <si>
    <t>CF40W</t>
  </si>
  <si>
    <t>Compact Fluorescent, (1) 40W screw-in lamp/base w/ permanent disk installed, any bulb shape</t>
  </si>
  <si>
    <t>40W CFL</t>
  </si>
  <si>
    <t>CF41/1-SCRW</t>
  </si>
  <si>
    <t>CF41W</t>
  </si>
  <si>
    <t>Compact Fluorescent, (1) 41W screw-in lamp/base w/ permanent disk installed, any bulb shape</t>
  </si>
  <si>
    <t>41W CFL</t>
  </si>
  <si>
    <t>CF42/1-SCRW</t>
  </si>
  <si>
    <t>CF42W</t>
  </si>
  <si>
    <t>Compact Fluorescent, (1) 42W screw-in lamp/base w/ permanent disk installed, any bulb shape</t>
  </si>
  <si>
    <t>42W CFL</t>
  </si>
  <si>
    <t>CF43/1-SCRW</t>
  </si>
  <si>
    <t>CF43W</t>
  </si>
  <si>
    <t>Compact Fluorescent, (1) 43W screw-in lamp/base w/ permanent disk installed, any bulb shape</t>
  </si>
  <si>
    <t>43W CFL</t>
  </si>
  <si>
    <t>CF44/1-SCRW</t>
  </si>
  <si>
    <t>CF44W</t>
  </si>
  <si>
    <t>Compact Fluorescent, (1) 44W screw-in lamp/base w/permanent disk installed, any bulb shape</t>
  </si>
  <si>
    <t>44W CFL</t>
  </si>
  <si>
    <t>CF45/1-SCRW</t>
  </si>
  <si>
    <t>CF45W</t>
  </si>
  <si>
    <t>Compact Fluorescent, (1) 45W screw-in lamp/base w/permanent disk installed, any bulb shape</t>
  </si>
  <si>
    <t>45W CFL</t>
  </si>
  <si>
    <t>CF46/1-SCRW</t>
  </si>
  <si>
    <t>CF46W</t>
  </si>
  <si>
    <t>Compact Fluorescent, (1) 46W screw-in lamp/base w/permanent disk installed, any bulb shape</t>
  </si>
  <si>
    <t>46W CFL</t>
  </si>
  <si>
    <t>CF47/1-SCRW</t>
  </si>
  <si>
    <t>CF47W</t>
  </si>
  <si>
    <t>Compact Fluorescent, (1) 47W screw-in lamp/base w/permanent disk installed, any bulb shape</t>
  </si>
  <si>
    <t>47W CFL</t>
  </si>
  <si>
    <t>CF48/1-SCRW</t>
  </si>
  <si>
    <t>CF48W</t>
  </si>
  <si>
    <t>Compact Fluorescent, (1) 48W screw-in lamp/base w/permanent disk installed, any bulb shape</t>
  </si>
  <si>
    <t>48W CFL</t>
  </si>
  <si>
    <t>CF49/1-SCRW</t>
  </si>
  <si>
    <t>CF49W</t>
  </si>
  <si>
    <t>Compact Fluorescent, (1) 49W screw-in lamp/base w/permanent disk installed, any bulb shape</t>
  </si>
  <si>
    <t>49W CFL</t>
  </si>
  <si>
    <t>CF50/1-SCRW</t>
  </si>
  <si>
    <t>CF50W</t>
  </si>
  <si>
    <t>Compact Fluorescent, (1) 50W screw-in lamp/base w/permanent disk installed, any bulb shape</t>
  </si>
  <si>
    <t>50W CFL</t>
  </si>
  <si>
    <t>CF51/1-SCRW</t>
  </si>
  <si>
    <t>CF51W</t>
  </si>
  <si>
    <t>Compact Fluorescent, (1) 51W screw-in lamp/base w/permanent disk installed, any bulb shape</t>
  </si>
  <si>
    <t>51W CFL</t>
  </si>
  <si>
    <t>CF52/1-SCRW</t>
  </si>
  <si>
    <t>CF52W</t>
  </si>
  <si>
    <t>Compact Fluorescent, (1) 52W screw-in lamp/base w/permanent disk installed, any bulb shape</t>
  </si>
  <si>
    <t>52W CFL</t>
  </si>
  <si>
    <t>CF53/1-SCRW</t>
  </si>
  <si>
    <t>CF53W</t>
  </si>
  <si>
    <t>Compact Fluorescent, (1) 53W screw-in lamp/base w/permanent disk installed, any bulb shape</t>
  </si>
  <si>
    <t>53W CFL</t>
  </si>
  <si>
    <t>CF54/1-SCRW</t>
  </si>
  <si>
    <t>CF54W</t>
  </si>
  <si>
    <t>Compact Fluorescent, (1) 54W screw-in lamp/base w/permanent disk installed, any bulb shape</t>
  </si>
  <si>
    <t>54W CFL</t>
  </si>
  <si>
    <t>CF55/1-SCRW</t>
  </si>
  <si>
    <t>CF55W</t>
  </si>
  <si>
    <t>Compact Fluorescent, (1) 55W screw-in lamp/base w/permanent disk installed, any bulb shape</t>
  </si>
  <si>
    <t>55W CFL</t>
  </si>
  <si>
    <t>CF56/1-SCRW</t>
  </si>
  <si>
    <t>CF56W</t>
  </si>
  <si>
    <t>Compact Fluorescent, (1) 56W screw-in lamp/base w/permanent disk installed, any bulb shape</t>
  </si>
  <si>
    <t>56W CFL</t>
  </si>
  <si>
    <t>CF57/1-SCRW</t>
  </si>
  <si>
    <t>CF57W</t>
  </si>
  <si>
    <t>Compact Fluorescent, (1) 57W screw-in lamp/base w/permanent disk installed, any bulb shape</t>
  </si>
  <si>
    <t>57W CFL</t>
  </si>
  <si>
    <t>CF58/1-SCRW</t>
  </si>
  <si>
    <t>CF58W</t>
  </si>
  <si>
    <t>Compact Fluorescent, (1) 58W screw-in lamp/base w/permanent disk installed, any bulb shape</t>
  </si>
  <si>
    <t>58W CFL</t>
  </si>
  <si>
    <t>CF59/1-SCRW</t>
  </si>
  <si>
    <t>CF59W</t>
  </si>
  <si>
    <t>Compact Fluorescent, (1) 59W screw-in lamp/base w/permanent disk installed, any bulb shape</t>
  </si>
  <si>
    <t>59W CFL</t>
  </si>
  <si>
    <t>CF60/1-SCRW</t>
  </si>
  <si>
    <t>CF60W</t>
  </si>
  <si>
    <t>Compact Fluorescent, (1) 60W screw-in lamp/base w/permanent disk installed, any bulb shape</t>
  </si>
  <si>
    <t>60W CFL</t>
  </si>
  <si>
    <t>CF61/1-SCRW</t>
  </si>
  <si>
    <t>CF61W</t>
  </si>
  <si>
    <t>Compact Fluorescent, (1) 61W screw-in lamp/base w/permanent disk installed, any bulb shape</t>
  </si>
  <si>
    <t>61W CFL</t>
  </si>
  <si>
    <t>CF62/1-SCRW</t>
  </si>
  <si>
    <t>CF62W</t>
  </si>
  <si>
    <t>Compact Fluorescent, (1) 62W screw-in lamp/base w/permanent disk installed, any bulb shape</t>
  </si>
  <si>
    <t>62W CFL</t>
  </si>
  <si>
    <t>CF63/1-SCRW</t>
  </si>
  <si>
    <t>CF63W</t>
  </si>
  <si>
    <t>Compact Fluorescent, (1) 63W screw-in lamp/base w/permanent disk installed, any bulb shape</t>
  </si>
  <si>
    <t>63W CFL</t>
  </si>
  <si>
    <t>CF64/1-SCRW</t>
  </si>
  <si>
    <t>CF64W</t>
  </si>
  <si>
    <t>Compact Fluorescent, (1) 64W screw-in lamp/base w/permanent disk installed, any bulb shape</t>
  </si>
  <si>
    <t>64W CFL</t>
  </si>
  <si>
    <t>CF65/1-SCRW</t>
  </si>
  <si>
    <t>CF65W</t>
  </si>
  <si>
    <t>Compact Fluorescent, (1) 65W screw-in lamp/base w/permanent disk installed, any bulb shape</t>
  </si>
  <si>
    <t>65W CFL</t>
  </si>
  <si>
    <t>CF66/1-SCRW</t>
  </si>
  <si>
    <t>CF66W</t>
  </si>
  <si>
    <t>Compact Fluorescent, (1) 66W screw-in lamp/base w/permanent disk installed, any bulb shape</t>
  </si>
  <si>
    <t>66W CFL</t>
  </si>
  <si>
    <t>CF67/1-SCRW</t>
  </si>
  <si>
    <t>CF67W</t>
  </si>
  <si>
    <t>Compact Fluorescent, (1) 67W screw-in lamp/base w/permanent disk installed, any bulb shape</t>
  </si>
  <si>
    <t>67W CFL</t>
  </si>
  <si>
    <t>CF68/1-SCRW</t>
  </si>
  <si>
    <t>CF68W</t>
  </si>
  <si>
    <t>Compact Fluorescent, (1) 68W screw-in lamp/base w/permanent disk installed, any bulb shape</t>
  </si>
  <si>
    <t>68W CFL</t>
  </si>
  <si>
    <t>CF69/1-SCRW</t>
  </si>
  <si>
    <t>CF69W</t>
  </si>
  <si>
    <t>Compact Fluorescent, (1) 69W screw-in lamp/base w/permanent disk installed, any bulb shape</t>
  </si>
  <si>
    <t>69W CFL</t>
  </si>
  <si>
    <t>CF70/1-SCRW</t>
  </si>
  <si>
    <t>CF70W</t>
  </si>
  <si>
    <t>Compact Fluorescent, (1) 70W screw-in lamp/base w/permanent disk installed, any bulb shape</t>
  </si>
  <si>
    <t>70W CFL</t>
  </si>
  <si>
    <t>CF71/1-SCRW</t>
  </si>
  <si>
    <t>CF71W</t>
  </si>
  <si>
    <t>Compact Fluorescent, (1) 71W screw-in lamp/base w/permanent disk installed, any bulb shape</t>
  </si>
  <si>
    <t>71W CFL</t>
  </si>
  <si>
    <t>CF72/1-SCRW</t>
  </si>
  <si>
    <t>CF72W</t>
  </si>
  <si>
    <t>Compact Fluorescent, (1) 72W screw-in lamp/base w/permanent disk installed, any bulb shape</t>
  </si>
  <si>
    <t>72W CFL</t>
  </si>
  <si>
    <t>CF73/1-SCRW</t>
  </si>
  <si>
    <t>CF73W</t>
  </si>
  <si>
    <t>Compact Fluorescent, (1) 73W screw-in lamp/base w/permanent disk installed, any bulb shape</t>
  </si>
  <si>
    <t>73W CFL</t>
  </si>
  <si>
    <t>CF74/1-SCRW</t>
  </si>
  <si>
    <t>CF74W</t>
  </si>
  <si>
    <t>Compact Fluorescent, (1) 74W screw-in lamp/base w/permanent disk installed, any bulb shape</t>
  </si>
  <si>
    <t>74W CFL</t>
  </si>
  <si>
    <t>CF75/1-SCRW</t>
  </si>
  <si>
    <t>CF75W</t>
  </si>
  <si>
    <t>Compact Fluorescent, (1) 75W screw-in lamp/base w/permanent disk installed, any bulb shape</t>
  </si>
  <si>
    <t>75W CFL</t>
  </si>
  <si>
    <t>CF80/1-SCRW</t>
  </si>
  <si>
    <t>CF80W</t>
  </si>
  <si>
    <t>Compact Fluorescent, (1) 80W screw-in lamp/base w/permanent disk installed, any bulb shape</t>
  </si>
  <si>
    <t>80W CFL</t>
  </si>
  <si>
    <t>CF85/1-SCRW</t>
  </si>
  <si>
    <t>CF85W</t>
  </si>
  <si>
    <t>Compact Fluorescent, (1) 85W screw-in lamp/base w/permanent disk installed, any bulb shape</t>
  </si>
  <si>
    <t>85W CFL</t>
  </si>
  <si>
    <t>CF100/1-SCRW</t>
  </si>
  <si>
    <t>CF100W</t>
  </si>
  <si>
    <t>Compact Fluorescent, (1) 100W screw-in lamp/base w/ permanent disk installed, any bulb shape</t>
  </si>
  <si>
    <t>100W CFL</t>
  </si>
  <si>
    <t>CF125/1-SCRW</t>
  </si>
  <si>
    <t>CF125W</t>
  </si>
  <si>
    <t>Compact Fluorescent, (1) 125W screw-in lamp/base w/ permanent disk installed, any bulb shape</t>
  </si>
  <si>
    <t>125W CFL</t>
  </si>
  <si>
    <t>CF150/1-SCRW</t>
  </si>
  <si>
    <t>CF150W</t>
  </si>
  <si>
    <t>Compact Fluorescent, (1) 150W screw-in lamp/base w/ permanent disk installed, any bulb shape</t>
  </si>
  <si>
    <t>150W CFL</t>
  </si>
  <si>
    <t>CF200/1-SCRW</t>
  </si>
  <si>
    <t>CF200W</t>
  </si>
  <si>
    <t>Compact Fluorescent, (1) 200W screw-in lamp/base w/ permanent disk installed, any bulb shape</t>
  </si>
  <si>
    <t>200W CFL</t>
  </si>
  <si>
    <t>CFC2/1-SCRW</t>
  </si>
  <si>
    <t>CFC2W</t>
  </si>
  <si>
    <t>Compact Fluorescent, Cold Cathode, (1) 2W screw-in lamp/base w/ permanent locking device, any bulb shape</t>
  </si>
  <si>
    <t>2W Cold Cathode</t>
  </si>
  <si>
    <t>Cold Cathode</t>
  </si>
  <si>
    <t>CFC2/2-SCRW</t>
  </si>
  <si>
    <t>Compact Fluorescent, Cold Cathode, (2) 2W screw-in lamp/base w/ permanent locking device, any bulb shape</t>
  </si>
  <si>
    <t>4W Cold Cathode</t>
  </si>
  <si>
    <t>CFC3/1-SCRW</t>
  </si>
  <si>
    <t>CFC3W</t>
  </si>
  <si>
    <t>Compact Fluorescent, Cold Cathode, (1) 3W screw-in lamp/base w/ permanent locking device, any bulb shape</t>
  </si>
  <si>
    <t>3W Cold Cathode</t>
  </si>
  <si>
    <t>CFC3/2-SCRW</t>
  </si>
  <si>
    <t>Compact Fluorescent, Cold Cathode, (2) 3W screw-in lamp/base w/ permanent locking device, any bulb shape</t>
  </si>
  <si>
    <t>6W Cold Cathode</t>
  </si>
  <si>
    <t>CFC4/1-SCRW</t>
  </si>
  <si>
    <t>CFC4W</t>
  </si>
  <si>
    <t>Compact Fluorescent, Cold Cathode, (1) 4W screw-in lamp/base w/ permanent locking device, any bulb shape</t>
  </si>
  <si>
    <t>CFC4/2-SCRW</t>
  </si>
  <si>
    <t>Compact Fluorescent, Cold Cathode, (2) 4W screw-in lamp/base w/ permanent locking device, any bulb shape</t>
  </si>
  <si>
    <t>8W Cold Cathode</t>
  </si>
  <si>
    <t>CFC5/1-SCRW</t>
  </si>
  <si>
    <t>CFC5W</t>
  </si>
  <si>
    <t>Compact Fluorescent, Cold Cathode, (1) 5W screw-in lamp/base w/ permanent locking device, any bulb shape</t>
  </si>
  <si>
    <t>5W Cold Cathode</t>
  </si>
  <si>
    <t>CFC5/2-SCRW</t>
  </si>
  <si>
    <t>Compact Fluorescent, Cold Cathode, (2) 5W screw-in lamp/base w/ permanent locking device, any bulb shape</t>
  </si>
  <si>
    <t>10W Cold Cathode</t>
  </si>
  <si>
    <t>CFC8/1-SCRW</t>
  </si>
  <si>
    <t>CFC8W</t>
  </si>
  <si>
    <t>Compact Fluorescent, Cold Cathode, (1) 8W screw-in lamp/base w/ permanent locking device, any bulb shape</t>
  </si>
  <si>
    <t>CFC8/2-SCRW</t>
  </si>
  <si>
    <t>Compact Fluorescent, Cold Cathode, (2) 8W screw-in lamp/base w/ permanent locking device, any bulb shape</t>
  </si>
  <si>
    <t>16W Cold Cathode</t>
  </si>
  <si>
    <t>CFC13/1-SCRW</t>
  </si>
  <si>
    <t>CFC13W</t>
  </si>
  <si>
    <t>Compact Fluorescent, Cold Cathode, (1) 13W screw-in lamp/base w/ permanent locking device, any bulb shape</t>
  </si>
  <si>
    <t>13W Cold Cathode</t>
  </si>
  <si>
    <t>CFC18/1-SCRW</t>
  </si>
  <si>
    <t>CFC18W</t>
  </si>
  <si>
    <t>Compact Fluorescent, Cold Cathode, (1) 18W screw-in lamp/base w/ permanent locking device, any bulb shape</t>
  </si>
  <si>
    <t>18W Cold Cathode</t>
  </si>
  <si>
    <t>CFD10/1</t>
  </si>
  <si>
    <t>CFD10W</t>
  </si>
  <si>
    <t>Compact Fluorescent, 2D, (1) 10W lamp</t>
  </si>
  <si>
    <t>1-Lamp 10W CFL 2D</t>
  </si>
  <si>
    <t>CFD10/1-L</t>
  </si>
  <si>
    <t>CFD16/1</t>
  </si>
  <si>
    <t>CFD16W</t>
  </si>
  <si>
    <t>Compact Fluorescent, 2D, (1) 16W lamp</t>
  </si>
  <si>
    <t>1-Lamp 16W CFL 2D</t>
  </si>
  <si>
    <t>CFD16/1-L</t>
  </si>
  <si>
    <t>CFD21/1</t>
  </si>
  <si>
    <t>CFD21W</t>
  </si>
  <si>
    <t>Compact Fluorescent, 2D, (1) 21W lamp</t>
  </si>
  <si>
    <t>1-Lamp 21W CFL 2D</t>
  </si>
  <si>
    <t>CFD21/1-L</t>
  </si>
  <si>
    <t>CFD28/1</t>
  </si>
  <si>
    <t>CFD28W</t>
  </si>
  <si>
    <t>Compact Fluorescent, 2D, (1) 28W lamp</t>
  </si>
  <si>
    <t>1-Lamp 28W CFL 2D</t>
  </si>
  <si>
    <t>CFD28/1-L</t>
  </si>
  <si>
    <t>CFD38/1</t>
  </si>
  <si>
    <t>CFD38W</t>
  </si>
  <si>
    <t>Compact Fluorescent, 2D, (1) 38W lamp</t>
  </si>
  <si>
    <t>1-Lamp 38W CFL 2D</t>
  </si>
  <si>
    <t>CFD38/1-L</t>
  </si>
  <si>
    <t>CFG13/1-L</t>
  </si>
  <si>
    <t>CFG13W</t>
  </si>
  <si>
    <t>Compact Fluorescent, Multi, GU24 with Integrated Ballast, (1) 13W lamp</t>
  </si>
  <si>
    <t>1-Lamp 13W CFL Multi</t>
  </si>
  <si>
    <t>CFG18/1-L</t>
  </si>
  <si>
    <t>CFG18W</t>
  </si>
  <si>
    <t>Compact Fluorescent, Multi, GU24 with Integrated Ballast, (1) 18W lamp</t>
  </si>
  <si>
    <t>1-Lamp 18W CFL Multi</t>
  </si>
  <si>
    <t>CFG23/1-L</t>
  </si>
  <si>
    <t>CFG23W</t>
  </si>
  <si>
    <t>Compact Fluorescent, Multi, GU24 with Integrated Ballast, (1) 23W lamp</t>
  </si>
  <si>
    <t>1-Lamp 23W CFL Multi</t>
  </si>
  <si>
    <t>CFG26/1-L</t>
  </si>
  <si>
    <t>CFG26W</t>
  </si>
  <si>
    <t>Compact Fluorescent, Multi, GU24 with Integrated Ballast, (1) 26W lamp</t>
  </si>
  <si>
    <t>1-Lamp 26W CFL Multi</t>
  </si>
  <si>
    <t>CFG32/1-L</t>
  </si>
  <si>
    <t>CFG32W</t>
  </si>
  <si>
    <t>Compact Fluorescent, Multi, GU24 with Integrated Ballast, (1) 32W lamp</t>
  </si>
  <si>
    <t>1-Lamp 32W CFL Multi</t>
  </si>
  <si>
    <t>CFG42/1-L</t>
  </si>
  <si>
    <t>CFG42W</t>
  </si>
  <si>
    <t>Compact Fluorescent, Multi, GU24 with Integrated Ballast, (1) 42W lamp</t>
  </si>
  <si>
    <t>1-Lamp 42W CFL Multi</t>
  </si>
  <si>
    <t>CFM13/1-L</t>
  </si>
  <si>
    <t>CFM13W</t>
  </si>
  <si>
    <t>Compact Fluorescent, Multi, 4-pin, (1) 13W lamp</t>
  </si>
  <si>
    <t>1-Lamp 13W CFL Multi 4-Pin</t>
  </si>
  <si>
    <t>CFM13/2-L</t>
  </si>
  <si>
    <t>Compact Fluorescent, Multi, 4-pin, (2) 13W lamps</t>
  </si>
  <si>
    <t>2-Lamp 13W CFL Multi 4-Pin</t>
  </si>
  <si>
    <t>CFM15/1-L</t>
  </si>
  <si>
    <t>CFM15W</t>
  </si>
  <si>
    <t>Compact Fluorescent, Multi, 4-pin, (1) 15W lamp</t>
  </si>
  <si>
    <t>1-Lamp 15W CFL Multi 4-Pin</t>
  </si>
  <si>
    <t>CFM18/1-L</t>
  </si>
  <si>
    <t>CFM18W</t>
  </si>
  <si>
    <t>Compact Fluorescent, Multi, 4-pin, (1) 18W lamp</t>
  </si>
  <si>
    <t>1-Lamp 18W CFL Multi 4-Pin</t>
  </si>
  <si>
    <t>CFM18/2-L</t>
  </si>
  <si>
    <t>Compact Fluorescent, Multi, 4-pin, (2) 18W lamps</t>
  </si>
  <si>
    <t>2-Lamp 18W CFL Multi 4-Pin</t>
  </si>
  <si>
    <t>CFM21/1-L</t>
  </si>
  <si>
    <t>CFM21W</t>
  </si>
  <si>
    <t>Compact Fluorescent, Multi, 4-pin, (1) 21W lamp</t>
  </si>
  <si>
    <t>1-Lamp 21W CFL Multi 4-Pin</t>
  </si>
  <si>
    <t>CFM26/1-L</t>
  </si>
  <si>
    <t>CFM26W</t>
  </si>
  <si>
    <t>Compact Fluorescent, Multi, 4-pin, (1) 26W lamp</t>
  </si>
  <si>
    <t>1-Lamp 26W CFL Multi 4-Pin</t>
  </si>
  <si>
    <t>CFM26/2-L</t>
  </si>
  <si>
    <t>Compact Fluorescent, Multi, 4-pin, (2) 26W lamps</t>
  </si>
  <si>
    <t>2-Lamp 26W CFL Multi 4-Pin</t>
  </si>
  <si>
    <t>CFM28/1-L</t>
  </si>
  <si>
    <t>CFM28W</t>
  </si>
  <si>
    <t>Compact Fluorescent, Multi, 4-pin, (1) 28W lamp</t>
  </si>
  <si>
    <t>1-Lamp 28W CFL Multi 4-Pin</t>
  </si>
  <si>
    <t>CFM32/1-L</t>
  </si>
  <si>
    <t>CFM32W</t>
  </si>
  <si>
    <t>Compact Fluorescent, Multi, 4-pin, (1) 32W lamp</t>
  </si>
  <si>
    <t>1-Lamp 32W CFL Multi 4-Pin</t>
  </si>
  <si>
    <t>CFM42/1-L</t>
  </si>
  <si>
    <t>CFM42W</t>
  </si>
  <si>
    <t>Compact Fluorescent, Multi, 4-pin, (1) 42W lamp</t>
  </si>
  <si>
    <t>1-Lamp 42W CFL Multi 4-Pin</t>
  </si>
  <si>
    <t>CFM42/2-L</t>
  </si>
  <si>
    <t>Compact Fluorescent, Multi, 4-pin, (2) 42W lamps</t>
  </si>
  <si>
    <t>2-Lamp 42W CFL Multi 4-Pin</t>
  </si>
  <si>
    <t>CFM42/8-L</t>
  </si>
  <si>
    <t>Compact Fluorescent, Multi, 4-pin, (8) 42W lamps, (4) 2-lamp ballasts</t>
  </si>
  <si>
    <t>8-Lamp 42W CFL Multi 4-Pin</t>
  </si>
  <si>
    <t>CFM57/1-L</t>
  </si>
  <si>
    <t>CFM57W</t>
  </si>
  <si>
    <t>Compact Fluorescent, Multi, 4-pin, (1) 57W lamp</t>
  </si>
  <si>
    <t>1-Lamp 57W CFL Multi 4-Pin</t>
  </si>
  <si>
    <t>CFM60/1-L</t>
  </si>
  <si>
    <t>CFM60W</t>
  </si>
  <si>
    <t>Compact Fluorescent, Multi, 4-pin, (1) 60W lamp</t>
  </si>
  <si>
    <t>1-Lamp 60W CFL Multi 4-Pin</t>
  </si>
  <si>
    <t>CFM70/1-L</t>
  </si>
  <si>
    <t>CFM70W</t>
  </si>
  <si>
    <t>Compact Fluorescent, Multi, 4-pin, (1) 70W lamp</t>
  </si>
  <si>
    <t>1-Lamp 70W CFL Multi 4-Pin</t>
  </si>
  <si>
    <t>CFM85/1-L</t>
  </si>
  <si>
    <t>CFM85W</t>
  </si>
  <si>
    <t>Compact Fluorescent, Multi, 4-pin, (1) 85W lamp</t>
  </si>
  <si>
    <t>1-Lamp 85W CFL Multi 4-Pin</t>
  </si>
  <si>
    <t>CFM120/1-L</t>
  </si>
  <si>
    <t>CFM120W</t>
  </si>
  <si>
    <t>Compact Fluorescent, Multi, 4-pin, (1) 120W lamp</t>
  </si>
  <si>
    <t>1-Lamp 120W CFL Multi 4-Pin</t>
  </si>
  <si>
    <t>CFQ9/1</t>
  </si>
  <si>
    <t>CFQ9W</t>
  </si>
  <si>
    <t>Compact Fluorescent, Quad, (1) 9W lamp</t>
  </si>
  <si>
    <t>1-Lamp 9W CFL Quad</t>
  </si>
  <si>
    <t>CFQ9/2</t>
  </si>
  <si>
    <t>Compact Fluorescent, Quad, (2) 9W lamps</t>
  </si>
  <si>
    <t>2-Lamp 9W CFL Quad</t>
  </si>
  <si>
    <t>CFQ10/1</t>
  </si>
  <si>
    <t>CFQ10W</t>
  </si>
  <si>
    <t>Compact Fluorescent, quad, (1) 10W lamp</t>
  </si>
  <si>
    <t>1-Lamp 10W CFL Quad</t>
  </si>
  <si>
    <t>CFQ13/1</t>
  </si>
  <si>
    <t>CFQ13W</t>
  </si>
  <si>
    <t>Compact Fluorescent, quad, (1) 13W lamp</t>
  </si>
  <si>
    <t>1-Lamp 13W CFL Quad</t>
  </si>
  <si>
    <t>CFQ13/1-L</t>
  </si>
  <si>
    <t>Compact Fluorescent, quad, (1) 13W lamp, BF=1.05</t>
  </si>
  <si>
    <t>CFQ13/2</t>
  </si>
  <si>
    <t>Compact Fluorescent, quad, (2) 13W lamps</t>
  </si>
  <si>
    <t>2-Lamp 13W CFL Quad</t>
  </si>
  <si>
    <t>CFQ13/2-L</t>
  </si>
  <si>
    <t>Compact Fluorescent, quad, (2) 13W lamps, BF=1.0</t>
  </si>
  <si>
    <t>CFQ13/3</t>
  </si>
  <si>
    <t>Compact Fluorescent, quad, (3) 13W lamps</t>
  </si>
  <si>
    <t>3-Lamp 13W CFL Quad</t>
  </si>
  <si>
    <t>CFQ15/1</t>
  </si>
  <si>
    <t>CFQ15W</t>
  </si>
  <si>
    <t>Compact Fluorescent, quad, (1) 15W lamp</t>
  </si>
  <si>
    <t>1-Lamp 15W CFL Quad</t>
  </si>
  <si>
    <t>CFQ17/1</t>
  </si>
  <si>
    <t>CFQ17W</t>
  </si>
  <si>
    <t>Compact Fluorescent, quad, (1) 17W lamp</t>
  </si>
  <si>
    <t>1-Lamp 17W CFL Quad</t>
  </si>
  <si>
    <t>CFQ17/2</t>
  </si>
  <si>
    <t>Compact Fluorescent, quad, (2) 17W lamps</t>
  </si>
  <si>
    <t>2-Lamp 17W CFL Quad</t>
  </si>
  <si>
    <t>CFQ18/1</t>
  </si>
  <si>
    <t>CFQ18W</t>
  </si>
  <si>
    <t>Compact Fluorescent, quad, (1) 18W lamp</t>
  </si>
  <si>
    <t>1-Lamp 18W CFL Quad</t>
  </si>
  <si>
    <t>CFQ18/1-L</t>
  </si>
  <si>
    <t>Compact Fluorescent, quad, (1) 18W lamp, BF=1.0</t>
  </si>
  <si>
    <t>CFQ18/2</t>
  </si>
  <si>
    <t>Compact Fluorescent, quad, (2) 18W lamps</t>
  </si>
  <si>
    <t>2-Lamp 18W CFL Quad</t>
  </si>
  <si>
    <t>CFQ18/2-L</t>
  </si>
  <si>
    <t>Compact Fluorescent, quad, (2) 18W lamp, BF=1.0</t>
  </si>
  <si>
    <t>CFQ18/4</t>
  </si>
  <si>
    <t>Compact Fluorescent, quad, (4) 18W lamps</t>
  </si>
  <si>
    <t>4-Lamp 18W CFL Quad</t>
  </si>
  <si>
    <t>CFQ20/1</t>
  </si>
  <si>
    <t>CFQ20W</t>
  </si>
  <si>
    <t>Compact Fluorescent, quad, (1) 20W lamp</t>
  </si>
  <si>
    <t>1-Lamp 20W CFL Quad</t>
  </si>
  <si>
    <t>CFQ20/2</t>
  </si>
  <si>
    <t>Compact Fluorescent, quad, (2) 20W lamps</t>
  </si>
  <si>
    <t>2-Lamp 20W CFL Quad</t>
  </si>
  <si>
    <t>CFQ22/1</t>
  </si>
  <si>
    <t>CFQ22W</t>
  </si>
  <si>
    <t>Compact Fluorescent, Quad, (1) 22W lamp</t>
  </si>
  <si>
    <t>1-Lamp 22W CFL Quad</t>
  </si>
  <si>
    <t>CFQ22/2</t>
  </si>
  <si>
    <t>Compact Fluorescent, Quad, (2) 22W lamps</t>
  </si>
  <si>
    <t>2-Lamp 22W CFL Quad</t>
  </si>
  <si>
    <t>CFQ22/3</t>
  </si>
  <si>
    <t>Compact Fluorescent, Quad, (3) 22W lamps</t>
  </si>
  <si>
    <t>3-Lamp 22W CFL Quad</t>
  </si>
  <si>
    <t>CFQ23/1</t>
  </si>
  <si>
    <t>CFQ23W</t>
  </si>
  <si>
    <t>Compact Fluorescent, Quad, (1) 23W lamp</t>
  </si>
  <si>
    <t>1-Lamp 23W CFL Quad</t>
  </si>
  <si>
    <t>CFQ25/1</t>
  </si>
  <si>
    <t>CFQ25W</t>
  </si>
  <si>
    <t>Compact Fluorescent, Quad, (1) 25W lamp</t>
  </si>
  <si>
    <t>1-Lamp 25W CFL Quad</t>
  </si>
  <si>
    <t>CFQ25/2</t>
  </si>
  <si>
    <t>Compact Fluorescent, Quad, (2) 25W lamps</t>
  </si>
  <si>
    <t>2-Lamp 25W CFL Quad</t>
  </si>
  <si>
    <t>CFQ26/1</t>
  </si>
  <si>
    <t>CFQ26W</t>
  </si>
  <si>
    <t>Compact Fluorescent, quad, (1) 26W lamp</t>
  </si>
  <si>
    <t>1-Lamp 26W CFL Quad</t>
  </si>
  <si>
    <t>CFQ26/1-L</t>
  </si>
  <si>
    <t>Compact Fluorescent, quad, (1) 26W lamp, BF=0.95</t>
  </si>
  <si>
    <t>CFQ26/2</t>
  </si>
  <si>
    <t>Compact Fluorescent, quad, (2) 26W lamps</t>
  </si>
  <si>
    <t>2-Lamp 26W CFL Quad</t>
  </si>
  <si>
    <t>CFQ26/2-L</t>
  </si>
  <si>
    <t>Compact Fluorescent, quad, (2) 26W lamps, BF=0.95</t>
  </si>
  <si>
    <t>CFQ26/3</t>
  </si>
  <si>
    <t>Compact Fluorescent, quad, (3) 26W lamps</t>
  </si>
  <si>
    <t>3-Lamp 26W CFL Quad</t>
  </si>
  <si>
    <t>CFQ26/6-L</t>
  </si>
  <si>
    <t>Compact Fluorescent, quad, (6) 26W lamps, BF=0.95</t>
  </si>
  <si>
    <t>6-Lamp 26W CFL Quad</t>
  </si>
  <si>
    <t>CFQ28/1</t>
  </si>
  <si>
    <t>CFQ28W</t>
  </si>
  <si>
    <t>Compact Fluorescent, quad, (1) 28W lamp</t>
  </si>
  <si>
    <t>1-Lamp 28W CFL Quad</t>
  </si>
  <si>
    <t>CFQ28/1-L</t>
  </si>
  <si>
    <t>CFQ28/2-L</t>
  </si>
  <si>
    <t>Compact Fluorescent, quad, (2) 28W lamps</t>
  </si>
  <si>
    <t>2-Lamp 28W CFL Quad</t>
  </si>
  <si>
    <t>CFT5/1</t>
  </si>
  <si>
    <t>CFT5W</t>
  </si>
  <si>
    <t>Compact Fluorescent, twin, (1) 5W lamp</t>
  </si>
  <si>
    <t>1-Lamp 5W CFL Twin</t>
  </si>
  <si>
    <t>CFT5/2</t>
  </si>
  <si>
    <t>Compact Fluorescent, long twin, (2) 5W lamps</t>
  </si>
  <si>
    <t>2-Lamp 5W CFL Twin</t>
  </si>
  <si>
    <t>CFT7/1</t>
  </si>
  <si>
    <t>CFT7W</t>
  </si>
  <si>
    <t>Compact Fluorescent, twin, (1) 7W lamp</t>
  </si>
  <si>
    <t>1-Lamp 7W CFL Twin</t>
  </si>
  <si>
    <t>CFT7/2</t>
  </si>
  <si>
    <t>Compact Fluorescent, twin, (2) 7W lamps</t>
  </si>
  <si>
    <t>2-Lamp 7W CFL Twin</t>
  </si>
  <si>
    <t>CFT9/1</t>
  </si>
  <si>
    <t>CFT9W</t>
  </si>
  <si>
    <t>Compact Fluorescent, twin, (1) 9W lamp</t>
  </si>
  <si>
    <t>1-Lamp 9W CFL Twin</t>
  </si>
  <si>
    <t>CFT9/2</t>
  </si>
  <si>
    <t>Compact Fluorescent, twin, (2) 9W lamps</t>
  </si>
  <si>
    <t>2-Lamp 9W CFL Twin</t>
  </si>
  <si>
    <t>CFT9/3</t>
  </si>
  <si>
    <t>Compact Fluorescent, twin, (3) 9 W lamps</t>
  </si>
  <si>
    <t>3-Lamp 9W CFL Twin</t>
  </si>
  <si>
    <t>CFT13/1</t>
  </si>
  <si>
    <t>CFT13W</t>
  </si>
  <si>
    <t>Compact Fluorescent, twin, (1) 13W lamp</t>
  </si>
  <si>
    <t>1-Lamp 13W CFL Twin</t>
  </si>
  <si>
    <t>CFT13/1-L</t>
  </si>
  <si>
    <t>CFT13/2</t>
  </si>
  <si>
    <t>Compact Fluorescent, twin, (2) 13W lamps</t>
  </si>
  <si>
    <t>2-Lamp 13W CFL Twin</t>
  </si>
  <si>
    <t>CFT13/2-L</t>
  </si>
  <si>
    <t>CFT13/3</t>
  </si>
  <si>
    <t>Compact Fluorescent, twin, (3) 13 W lamps</t>
  </si>
  <si>
    <t>3-Lamp 13W CFL Twin</t>
  </si>
  <si>
    <t>CFT18/1</t>
  </si>
  <si>
    <t>CFT18W</t>
  </si>
  <si>
    <t>Compact Fluorescent, Long twin., (1) 18W lamp</t>
  </si>
  <si>
    <t>1-Lamp 18W CFL Twin</t>
  </si>
  <si>
    <t>CFT18/1-L</t>
  </si>
  <si>
    <t>Compact Fluorescent, twin, (1) 18W lamp</t>
  </si>
  <si>
    <t>CFT18/2</t>
  </si>
  <si>
    <t>Compact Fluorescent, twin, (2) 18 W lamps</t>
  </si>
  <si>
    <t>2-Lamp 18W CFL Twin</t>
  </si>
  <si>
    <t>CFT22/1</t>
  </si>
  <si>
    <t>CFT22W</t>
  </si>
  <si>
    <t>Compact Fluorescent, twin, (1) 22W lamp</t>
  </si>
  <si>
    <t>1-Lamp 22W CFL Twin</t>
  </si>
  <si>
    <t>CFT22/2</t>
  </si>
  <si>
    <t>Compact Fluorescent, twin, (2) 22W lamps</t>
  </si>
  <si>
    <t>2-Lamp 22W CFL Twin</t>
  </si>
  <si>
    <t>CFT22/4</t>
  </si>
  <si>
    <t>Compact Fluorescent, twin, (4) 22W lamps</t>
  </si>
  <si>
    <t>4-Lamp 22W CFL Twin</t>
  </si>
  <si>
    <t>CFT24/1</t>
  </si>
  <si>
    <t>CFT24W</t>
  </si>
  <si>
    <t>Compact Fluorescent, long twin, (1) 24W lamp</t>
  </si>
  <si>
    <t>1-Lamp 24W CFL Twin</t>
  </si>
  <si>
    <t>CFT26/1</t>
  </si>
  <si>
    <t>CFT26W</t>
  </si>
  <si>
    <t>Compact Fluorescent, twin, (1) 26W lamp</t>
  </si>
  <si>
    <t>1-Lamp 26W CFL Twin</t>
  </si>
  <si>
    <t>CFT26/1-L</t>
  </si>
  <si>
    <t>CFT26/2-L</t>
  </si>
  <si>
    <t>Compact Fluorescent, twin, (2) 26W lamps</t>
  </si>
  <si>
    <t>2-Lamp 26W CFL Twin</t>
  </si>
  <si>
    <t>CFT28/1</t>
  </si>
  <si>
    <t>CFT28W</t>
  </si>
  <si>
    <t>Compact Fluorescent, twin, (1) 28W lamp</t>
  </si>
  <si>
    <t>1-Lamp 28W CFL Twin</t>
  </si>
  <si>
    <t>CFT28/2</t>
  </si>
  <si>
    <t>Compact Fluorescent, twin, (2) 28W lamps</t>
  </si>
  <si>
    <t>2-Lamp 28W CFL Twin</t>
  </si>
  <si>
    <t>CFT32/1-L</t>
  </si>
  <si>
    <t>CFT32W</t>
  </si>
  <si>
    <t>Compact Fluorescent, twin, (1) 32W lamp</t>
  </si>
  <si>
    <t>1-Lamp 32W CFL Twin</t>
  </si>
  <si>
    <t>CFT32/2-L</t>
  </si>
  <si>
    <t>Compact Fluorescent, twin, (2) 32W lamps</t>
  </si>
  <si>
    <t>2-Lamp 32W CFL Twin</t>
  </si>
  <si>
    <t>CFT32/6-L</t>
  </si>
  <si>
    <t>Compact Fluorescent, twin, (6) 32W lamps</t>
  </si>
  <si>
    <t>6-Lamp 32W CFL Twin</t>
  </si>
  <si>
    <t>CFT36/1</t>
  </si>
  <si>
    <t>CFT36W</t>
  </si>
  <si>
    <t>Compact Fluorescent, long twin, (1) 36W lamp</t>
  </si>
  <si>
    <t>1-Lamp 36W CFL Long Twin</t>
  </si>
  <si>
    <t>CFT40/1</t>
  </si>
  <si>
    <t>CFT40W</t>
  </si>
  <si>
    <t>Compact Fluorescent, long twin, (1) 40W lamp</t>
  </si>
  <si>
    <t>1-Lamp 40W CFL Long Twin</t>
  </si>
  <si>
    <t>CFT40/1-L</t>
  </si>
  <si>
    <t>CFT40/2</t>
  </si>
  <si>
    <t>Compact Fluorescent, long twin, (2) 40W lamps</t>
  </si>
  <si>
    <t>2-Lamp 40W CFL Long Twin</t>
  </si>
  <si>
    <t>CFT40/2-L</t>
  </si>
  <si>
    <t>CFT40/3</t>
  </si>
  <si>
    <t>Compact Fluorescent, long twin, (3) 40 W lamps</t>
  </si>
  <si>
    <t>3-Lamp 40W CFL Long Twin</t>
  </si>
  <si>
    <t>CFT40/3-L</t>
  </si>
  <si>
    <t>Compact Fluorescent, long twin, (3) 40W lamps</t>
  </si>
  <si>
    <t>CFT40/5-L</t>
  </si>
  <si>
    <t>Compact Fluorescent, long twin, (5) 40W lamps</t>
  </si>
  <si>
    <t>5-Lamp 40W CFL Long Twin</t>
  </si>
  <si>
    <t>CFT50/1-L</t>
  </si>
  <si>
    <t>CFT50W</t>
  </si>
  <si>
    <t>Compact Fluorescent, long twin, (1) 50W lamp</t>
  </si>
  <si>
    <t>1-Lamp 50W CFL Long Twin</t>
  </si>
  <si>
    <t>CFT50/2-L</t>
  </si>
  <si>
    <t>Compact Fluorescent, long twin, (2) 50W lamps</t>
  </si>
  <si>
    <t>CFT55/1-L</t>
  </si>
  <si>
    <t>CFT55W</t>
  </si>
  <si>
    <t>Compact Fluorescent, long twin, (1) 55W lamp</t>
  </si>
  <si>
    <t>1-Lamp 55W CFL Long Twin</t>
  </si>
  <si>
    <t>CFT55/2-L</t>
  </si>
  <si>
    <t>Compact Fluorescent, long twin, (2) 55W lamps</t>
  </si>
  <si>
    <t>2-Lamp 55W CFL Long Twin</t>
  </si>
  <si>
    <t>CFT55/3-L</t>
  </si>
  <si>
    <t>Compact Fluorescent, long twin, (3) 55W lamps</t>
  </si>
  <si>
    <t>3-Lamp 55W CFL Long Twin</t>
  </si>
  <si>
    <t>CFT55/4-L</t>
  </si>
  <si>
    <t>Compact Fluorescent, long twin, (4) 55W lamps</t>
  </si>
  <si>
    <t>4-Lamp 55W CFL Long Twin</t>
  </si>
  <si>
    <t>CFT80/1-L</t>
  </si>
  <si>
    <t>CFT80W</t>
  </si>
  <si>
    <t>Compact Fluorescent, long twin, (1) 80W lamp</t>
  </si>
  <si>
    <t>1-Lamp 80W CFL Long Twin</t>
  </si>
  <si>
    <t>1-Lamp 5W CFL Exit</t>
  </si>
  <si>
    <t>2-Lamp 5W CFL Exit</t>
  </si>
  <si>
    <t>CFT6W</t>
  </si>
  <si>
    <t>1-Lamp 6W CFL Exit</t>
  </si>
  <si>
    <t>2-Lamp 6W CFL Exit</t>
  </si>
  <si>
    <t>1-Lamp 7W CFL Exit</t>
  </si>
  <si>
    <t>2-Lamp 7W CFL Exit</t>
  </si>
  <si>
    <t>1-Lamp 9W CFL Exit</t>
  </si>
  <si>
    <t>2-Lamp 9W CFL Exit</t>
  </si>
  <si>
    <t>F2T1</t>
  </si>
  <si>
    <t>2-Lamp 2W T-1 Exit</t>
  </si>
  <si>
    <t>F6T5</t>
  </si>
  <si>
    <t>1-Lamp 6W Bi-Pin Fluorescent Exit</t>
  </si>
  <si>
    <t>2-Lamp 6W Bi-Pin Fluorescent Exit</t>
  </si>
  <si>
    <t>F8T5</t>
  </si>
  <si>
    <t>1-Lamp 8W T-5 Exit</t>
  </si>
  <si>
    <t>2-Lamp 8W T-5 Exit</t>
  </si>
  <si>
    <t>I5</t>
  </si>
  <si>
    <t>1-Lamp 5W incandescent Exit</t>
  </si>
  <si>
    <t>2-Lamp 5W incandescent Exit</t>
  </si>
  <si>
    <t>I7.5</t>
  </si>
  <si>
    <t>1-Lamp 7.5W Tungsten Exit</t>
  </si>
  <si>
    <t>2-Lamp 7.5W Tungsten Exit</t>
  </si>
  <si>
    <t>I10</t>
  </si>
  <si>
    <t>2-Lamp 10W incandescent Exit</t>
  </si>
  <si>
    <t>I15</t>
  </si>
  <si>
    <t>1-Lamp 15W incandescent Exit</t>
  </si>
  <si>
    <t>2-Lamp 15W incandescent Exit</t>
  </si>
  <si>
    <t>I20</t>
  </si>
  <si>
    <t>1-Lamp 20W incandescent Exit</t>
  </si>
  <si>
    <t>2-Lamp 20W incandescent Exit</t>
  </si>
  <si>
    <t>I25</t>
  </si>
  <si>
    <t>1-Lamp 25W incandescent Exit</t>
  </si>
  <si>
    <t>2-Lamp 25W incandescent Exit</t>
  </si>
  <si>
    <t>I34</t>
  </si>
  <si>
    <t>1-Lamp 34W incandescent Exit</t>
  </si>
  <si>
    <t>2-Lamp 34W incandescent Exit</t>
  </si>
  <si>
    <t>I40</t>
  </si>
  <si>
    <t>1-Lamp 40W incandescent Exit</t>
  </si>
  <si>
    <t>2-Lamp 40W incandescent Exit</t>
  </si>
  <si>
    <t>I50</t>
  </si>
  <si>
    <t>2-Lamp 50W incandescent Exit</t>
  </si>
  <si>
    <t>6S6</t>
  </si>
  <si>
    <t>1-Lamp 6W incandescent Exit</t>
  </si>
  <si>
    <t>2-Lamp 6W incandescent Exit</t>
  </si>
  <si>
    <t>1-Lamp 2W LED Exit</t>
  </si>
  <si>
    <t>2-Lamp 2W LED Exit</t>
  </si>
  <si>
    <t>1-Lamp 3W LED Exit</t>
  </si>
  <si>
    <t>P0W</t>
  </si>
  <si>
    <t>Photoluminescent Exit Sign</t>
  </si>
  <si>
    <t>Photoluminescent</t>
  </si>
  <si>
    <t>F13T5</t>
  </si>
  <si>
    <t>2' 2-Lamp T5</t>
  </si>
  <si>
    <t>Length</t>
  </si>
  <si>
    <t>2' 4-Lamp T5</t>
  </si>
  <si>
    <t>F14T5</t>
  </si>
  <si>
    <t>2' 1-Lamp T5</t>
  </si>
  <si>
    <t>Electronic HLO</t>
  </si>
  <si>
    <t>2' 3-Lamp T5</t>
  </si>
  <si>
    <t>F21T5</t>
  </si>
  <si>
    <t>3' 1-Lamp T5</t>
  </si>
  <si>
    <t>3' 2-Lamp T5</t>
  </si>
  <si>
    <t>3' 3-Lamp T5</t>
  </si>
  <si>
    <t>3' 4-Lamp T5</t>
  </si>
  <si>
    <t>F24T5/HO</t>
  </si>
  <si>
    <t>2' 1-Lamp T5HO</t>
  </si>
  <si>
    <t>2' 2-Lamp T5HO</t>
  </si>
  <si>
    <t>2' 3-Lamp T5HO</t>
  </si>
  <si>
    <t>2' 4-Lamp T5HO</t>
  </si>
  <si>
    <t>2' 6-Lamp T5HO</t>
  </si>
  <si>
    <t>F28T5</t>
  </si>
  <si>
    <t>4' 1-Lamp T5</t>
  </si>
  <si>
    <t>4' 2-Lamp T5</t>
  </si>
  <si>
    <t>4' 3-Lamp T5</t>
  </si>
  <si>
    <t>4' 4-Lamp T5</t>
  </si>
  <si>
    <t>F35T5</t>
  </si>
  <si>
    <t>5' 1-Lamp T5</t>
  </si>
  <si>
    <t>5' 2-Lamp T5</t>
  </si>
  <si>
    <t>5' 3-Lamp T5</t>
  </si>
  <si>
    <t>5' 4-Lamp T5</t>
  </si>
  <si>
    <t>F39T5/HO</t>
  </si>
  <si>
    <t>F45T5/HO-RW</t>
  </si>
  <si>
    <t>4' 6-Lamp T5HO</t>
  </si>
  <si>
    <t>F54T5/HO</t>
  </si>
  <si>
    <t>4' 1-Lamp T5HO</t>
  </si>
  <si>
    <t>4' 2-Lamp T5HO</t>
  </si>
  <si>
    <t>4' 3-Lamp T5HO</t>
  </si>
  <si>
    <t>4' 4-Lamp T5HO</t>
  </si>
  <si>
    <t>4' 5-Lamp T5HO</t>
  </si>
  <si>
    <t>F54T5/HO-RW</t>
  </si>
  <si>
    <t>4' 8-Lamp T5HO</t>
  </si>
  <si>
    <t>4' 10L T5HO</t>
  </si>
  <si>
    <t>4' 12 T5HO</t>
  </si>
  <si>
    <t>4' 12-Lamp T5HO</t>
  </si>
  <si>
    <t>F80T5/HO</t>
  </si>
  <si>
    <t>5' 1-Lamp T5HO</t>
  </si>
  <si>
    <t>5' 2-Lamp T5HO</t>
  </si>
  <si>
    <t>F15T8</t>
  </si>
  <si>
    <t>1.5' 1-Lamp T8</t>
  </si>
  <si>
    <t>Magnetic STD</t>
  </si>
  <si>
    <t>1.5' 2-Lamp T8</t>
  </si>
  <si>
    <t>F17T8</t>
  </si>
  <si>
    <t>2' 1-Lamp T8</t>
  </si>
  <si>
    <t>Electronic STD</t>
  </si>
  <si>
    <t>2' 1-Lamp T8 RLO</t>
  </si>
  <si>
    <t>Electronic RLO</t>
  </si>
  <si>
    <t>2' 1-Lamp T8 VHLO</t>
  </si>
  <si>
    <t>Electronic VHLO</t>
  </si>
  <si>
    <t>2' 2-Lamp T8</t>
  </si>
  <si>
    <t>2' 2-Lamp T8 RLO</t>
  </si>
  <si>
    <t>2' 2-Lamp T8 VHLO</t>
  </si>
  <si>
    <t>2' 3-Lamp T8</t>
  </si>
  <si>
    <t>2' 3-Lamp T8 HLO</t>
  </si>
  <si>
    <t>2' 3-Lamp T8 RLO</t>
  </si>
  <si>
    <t>2' 3-Lamp T8 VHLO</t>
  </si>
  <si>
    <t>2' 4-Lamp T8</t>
  </si>
  <si>
    <t>2' 4-Lamp T8 RLO</t>
  </si>
  <si>
    <t>F25T8</t>
  </si>
  <si>
    <t>3' 1-Lamp T8</t>
  </si>
  <si>
    <t>3' 1-Lamp T8 HLO</t>
  </si>
  <si>
    <t>3' 1-Lamp T8 RLO</t>
  </si>
  <si>
    <t>3' 2-Lamp T8</t>
  </si>
  <si>
    <t>3' 2-Lamp T8 HLO</t>
  </si>
  <si>
    <t>3' 2-Lamp T8 RLO</t>
  </si>
  <si>
    <t>3' 2-Lamp T8 VHLO</t>
  </si>
  <si>
    <t>3' 3-Lamp T8</t>
  </si>
  <si>
    <t>3' 3-Lamp T8 RLO</t>
  </si>
  <si>
    <t>3' 4-Lamp T8</t>
  </si>
  <si>
    <t>3' 4-Lamp T8 RLO</t>
  </si>
  <si>
    <t>3' 6-Lamp T8</t>
  </si>
  <si>
    <t>3' 6-Lamp T8 RLO</t>
  </si>
  <si>
    <t>F28T8</t>
  </si>
  <si>
    <t>4' 2-Lamp T8 28W VLHO</t>
  </si>
  <si>
    <t>4' 3-Lamp T8 28W VLHO</t>
  </si>
  <si>
    <t>F32T8</t>
  </si>
  <si>
    <t>4' 1-Lamp T8</t>
  </si>
  <si>
    <t>4' 1-Lamp T8 RLO</t>
  </si>
  <si>
    <t>4' 1-Lamp T8 HLO</t>
  </si>
  <si>
    <t>4' 2-Lamp T8</t>
  </si>
  <si>
    <t>4' 2-Lamp T8 RLO</t>
  </si>
  <si>
    <t>4' 2-Lamp T8 VHLO</t>
  </si>
  <si>
    <t>4' 2-Lamp T8 HLO</t>
  </si>
  <si>
    <t>4' 3-Lamp T8</t>
  </si>
  <si>
    <t>4' 3-Lamp T8 RLO</t>
  </si>
  <si>
    <t>4' 3-Lamp T8 VHLO</t>
  </si>
  <si>
    <t>4' 3-Lamp T8 HLO</t>
  </si>
  <si>
    <t>4' 4-Lamp T8</t>
  </si>
  <si>
    <t>4' 4-Lamp T8 RLO</t>
  </si>
  <si>
    <t>4' 4-Lamp T8 VHLO</t>
  </si>
  <si>
    <t>4' 4-Lamp T8 HLO</t>
  </si>
  <si>
    <t>4' 5-Lamp T8</t>
  </si>
  <si>
    <t>4' 5-Lamp T8 VHLO</t>
  </si>
  <si>
    <t>4' 6-Lamp T8</t>
  </si>
  <si>
    <t>4' 6-Lamp T8 RLO</t>
  </si>
  <si>
    <t>4' 6-Lamp T8 VHLO</t>
  </si>
  <si>
    <t>4' 8-Lamp T8</t>
  </si>
  <si>
    <t>4' 8-Lamp T8 RLO</t>
  </si>
  <si>
    <t>4' 8-Lamp T8 VHLO</t>
  </si>
  <si>
    <t>F32T8-25W</t>
  </si>
  <si>
    <t>4' 1-Lamp T8 25W</t>
  </si>
  <si>
    <t>4' 1-Lamp T8 25W RLO</t>
  </si>
  <si>
    <t>4' 1-Lamp T8 25W VHLO</t>
  </si>
  <si>
    <t>4' 2-Lamp T8 25W</t>
  </si>
  <si>
    <t>4' 2-Lamp T8 25W RLO</t>
  </si>
  <si>
    <t>4' 2-Lamp T8 25W VHLO</t>
  </si>
  <si>
    <t>4' 3-Lamp T8 25W</t>
  </si>
  <si>
    <t>4' 3-Lamp T8 25W RLO</t>
  </si>
  <si>
    <t>4' 3-Lamp T8 25W VHLO</t>
  </si>
  <si>
    <t>4' 4-Lamp T8 25W</t>
  </si>
  <si>
    <t>4' 4-Lamp T8 25W RLO</t>
  </si>
  <si>
    <t>4' 4-Lamp T8 25W VHLO</t>
  </si>
  <si>
    <t>4' 6-Lamp T8 25W RLO</t>
  </si>
  <si>
    <t>4' 6-Lamp T8 25W VHLO</t>
  </si>
  <si>
    <t>F32T8-28W</t>
  </si>
  <si>
    <t>4' 1-Lamp T8 28W</t>
  </si>
  <si>
    <t>4' 1-Lamp T8 28W RLO</t>
  </si>
  <si>
    <t>4' 1-Lamp T8 28W VHLO</t>
  </si>
  <si>
    <t>4' 2-Lamp T8 28W</t>
  </si>
  <si>
    <t>4' 2-Lamp T8 28W RLO</t>
  </si>
  <si>
    <t>4' 2-Lamp T8 28W NLO</t>
  </si>
  <si>
    <t>4' 2-Lamp T8 28W VHLO</t>
  </si>
  <si>
    <t>4' 3-Lamp T8 28W</t>
  </si>
  <si>
    <t>4' 3-Lamp T8 28W RLO</t>
  </si>
  <si>
    <t>4' 3-Lamp T8 28W HLO</t>
  </si>
  <si>
    <t>4' 3-Lamp T8 28W VHLO</t>
  </si>
  <si>
    <t>4' 4-Lamp T8 28W</t>
  </si>
  <si>
    <t>4' 4-Lamp T8 28W RLO</t>
  </si>
  <si>
    <t>4' 4-Lamp T8 28W VHLO</t>
  </si>
  <si>
    <t>4' 6-Lamp T8 28W</t>
  </si>
  <si>
    <t>4' 6-Lamp T8 28W VHLO</t>
  </si>
  <si>
    <t>F32T8-30W</t>
  </si>
  <si>
    <t>4' 1-Lamp T8 30W</t>
  </si>
  <si>
    <t>4' 1-Lamp T8 30W RLO</t>
  </si>
  <si>
    <t>4' 1-Lamp T8 30W HLO</t>
  </si>
  <si>
    <t>4' 2-Lamp T8 30W</t>
  </si>
  <si>
    <t>4' 2-Lamp T8 30W RLO</t>
  </si>
  <si>
    <t>4' 2-Lamp T8 30W HLO</t>
  </si>
  <si>
    <t>4' 3-Lamp T8 30W</t>
  </si>
  <si>
    <t>4' 3-Lamp T8 30W RLO</t>
  </si>
  <si>
    <t>4' 3-Lamp T8 30W HLO</t>
  </si>
  <si>
    <t>4' 3-Lamp T8 30W VHLO</t>
  </si>
  <si>
    <t>4' 4-Lamp T8 30W</t>
  </si>
  <si>
    <t>4' 4-Lamp T8 30W RLO</t>
  </si>
  <si>
    <t>4' 4-Lamp T8 30W HLO</t>
  </si>
  <si>
    <t>4' 6-Lamp T8 30W</t>
  </si>
  <si>
    <t>4' 6-Lamp T8 30W RLO</t>
  </si>
  <si>
    <t>F40T8</t>
  </si>
  <si>
    <t>5' 1-Lamp T8</t>
  </si>
  <si>
    <t>5' 1-Lamp T8 RLO</t>
  </si>
  <si>
    <t>5' 2-Lamp T8</t>
  </si>
  <si>
    <t>5' 2-Lamp T8 HLO</t>
  </si>
  <si>
    <t>5' 2-Lamp T8 RLO</t>
  </si>
  <si>
    <t>5' 3-Lamp T8</t>
  </si>
  <si>
    <t>5' 3-Lamp T8 HLO</t>
  </si>
  <si>
    <t>5' 4-Lamp T8</t>
  </si>
  <si>
    <t>5' 4-Lamp T8 HLO</t>
  </si>
  <si>
    <t>F48T8/HO</t>
  </si>
  <si>
    <t>4' 1-Lamp T8 44W HO</t>
  </si>
  <si>
    <t>4' 2-Lamp T8 44W HO</t>
  </si>
  <si>
    <t>4' 3-Lamp T8 44W HO</t>
  </si>
  <si>
    <t>4' 4-Lamp T8 44W HO</t>
  </si>
  <si>
    <t>F96T8</t>
  </si>
  <si>
    <t>8' 1-Lamp T8</t>
  </si>
  <si>
    <t>8' 1-Lamp T8 HLO</t>
  </si>
  <si>
    <t>8' 1-Lamp T8 RLO</t>
  </si>
  <si>
    <t>8' 1-Lamp T8 VHLO</t>
  </si>
  <si>
    <t>8' 2-Lamp T8</t>
  </si>
  <si>
    <t>8' 2-Lamp T8 RLO</t>
  </si>
  <si>
    <t>8' 2-Lamp T8 VHLO</t>
  </si>
  <si>
    <t>8' 3-Lamp T8</t>
  </si>
  <si>
    <t>8' 4-Lamp T8</t>
  </si>
  <si>
    <t>8' 4-Lamp T8 VHLO</t>
  </si>
  <si>
    <t>8' 6-Lamp T8</t>
  </si>
  <si>
    <t>F96T8/HO</t>
  </si>
  <si>
    <t>8' 1-Lamp T8 86W HO</t>
  </si>
  <si>
    <t>8' 2-Lamp T8 86W HO</t>
  </si>
  <si>
    <t>8' 4-Lamp T8 86W HO</t>
  </si>
  <si>
    <t>F96T8-RW</t>
  </si>
  <si>
    <t>8' 1-Lamp T8 54W</t>
  </si>
  <si>
    <t>8' 2-Lamp T8 54W</t>
  </si>
  <si>
    <t>F15T12</t>
  </si>
  <si>
    <t>1.5' 1-Lamp T12 15W</t>
  </si>
  <si>
    <t>1.5' 2-Lamp T12 15W</t>
  </si>
  <si>
    <t>F20T12</t>
  </si>
  <si>
    <t>2' 1-Lamp T12 20W</t>
  </si>
  <si>
    <t>2' 2-Lamp T12 20W</t>
  </si>
  <si>
    <t>2' 3-Lamp T12 20W</t>
  </si>
  <si>
    <t>2' 4-Lamp T12 20W</t>
  </si>
  <si>
    <t>2' 6-Lamp T12 20W</t>
  </si>
  <si>
    <t>F24T12/HO</t>
  </si>
  <si>
    <t>2' 1-Lamp T12HO</t>
  </si>
  <si>
    <t>2' 2-Lamp T12HO</t>
  </si>
  <si>
    <t>F25T12</t>
  </si>
  <si>
    <t>3' 2-Lamp T12ES</t>
  </si>
  <si>
    <t>4' 1-Lamp T12 25W</t>
  </si>
  <si>
    <t>Modified</t>
  </si>
  <si>
    <t>4' 1-Lamp T12 25W RLO</t>
  </si>
  <si>
    <t>4' 2-Lamp T12 25W RLO</t>
  </si>
  <si>
    <t>4' 3-Lamp T12 25W RLO</t>
  </si>
  <si>
    <t>4' 4-Lamp T12 25W RLO</t>
  </si>
  <si>
    <t>F30T12</t>
  </si>
  <si>
    <t>3' 1-Lamp T12</t>
  </si>
  <si>
    <t>3' 2-Lamp T12</t>
  </si>
  <si>
    <t>3' 3-Lamp T12</t>
  </si>
  <si>
    <t>3' 4-Lamp T12</t>
  </si>
  <si>
    <t>3' 6-Lamp T12ES</t>
  </si>
  <si>
    <t>3' 6-Lamp T12</t>
  </si>
  <si>
    <t>F30T12/ES</t>
  </si>
  <si>
    <t>3' 1-Lamp T12ES</t>
  </si>
  <si>
    <t>3' 4-Lamp T12ES</t>
  </si>
  <si>
    <t>F36T12/HO</t>
  </si>
  <si>
    <t>3' 1-Lamp T5HO</t>
  </si>
  <si>
    <t>Magnetic HLO</t>
  </si>
  <si>
    <t>3' 2-Lamp T12HO</t>
  </si>
  <si>
    <t>F40T12</t>
  </si>
  <si>
    <t>4' 1-Lamp T12</t>
  </si>
  <si>
    <t>4' 2-Lamp T12IS</t>
  </si>
  <si>
    <t>4' 3-Lamp T12IS</t>
  </si>
  <si>
    <t>4' 4-Lamp T12IS</t>
  </si>
  <si>
    <t>4' 4-Lamp T12</t>
  </si>
  <si>
    <t>F40T10</t>
  </si>
  <si>
    <t>4' 1-Lamp T10</t>
  </si>
  <si>
    <t>F40T12/ES</t>
  </si>
  <si>
    <t>4' 1-Lamp T12ES</t>
  </si>
  <si>
    <t>4' 2-Lamp T12ES</t>
  </si>
  <si>
    <t>4' 3-Lamp T12ES</t>
  </si>
  <si>
    <t>4' 4-Lamp T12ES</t>
  </si>
  <si>
    <t>4' 6-Lamp T12ES</t>
  </si>
  <si>
    <t>4' 8-Lamp T12ES</t>
  </si>
  <si>
    <t>F42T12/HO/ES</t>
  </si>
  <si>
    <t>4' 2-Lamp T12HO</t>
  </si>
  <si>
    <t>4' 3-Lamp T12ES HO</t>
  </si>
  <si>
    <t>F48T12/ES</t>
  </si>
  <si>
    <t>F48T12/HO</t>
  </si>
  <si>
    <t>4' 1-Lamp T12HO</t>
  </si>
  <si>
    <t>4' 3-Lamp T12HO</t>
  </si>
  <si>
    <t>4' 4-Lamp T12HO</t>
  </si>
  <si>
    <t>F48T12/HO/ES</t>
  </si>
  <si>
    <t>F48T12/VHO</t>
  </si>
  <si>
    <t>4' 1-Lamp T12VHO</t>
  </si>
  <si>
    <t>4' 2-Lamp T12VHO</t>
  </si>
  <si>
    <t>4' 3-Lamp T12VHO</t>
  </si>
  <si>
    <t>4' 4-Lamp T12VHO</t>
  </si>
  <si>
    <t>F48T12/VHO/ES</t>
  </si>
  <si>
    <t>F60T12</t>
  </si>
  <si>
    <t>5' 1-Lamp T12</t>
  </si>
  <si>
    <t>5' 2-Lamp T12</t>
  </si>
  <si>
    <t>F60T12/HO</t>
  </si>
  <si>
    <t>5' 1-Lamp T12HO</t>
  </si>
  <si>
    <t>5' 2-Lamp T12HO</t>
  </si>
  <si>
    <t>F60T12/VHO</t>
  </si>
  <si>
    <t>5' 1-Lamp T12VHO</t>
  </si>
  <si>
    <t>5' 2-Lamp T12VHO</t>
  </si>
  <si>
    <t>F72T12</t>
  </si>
  <si>
    <t>6' 1-Lamp T12</t>
  </si>
  <si>
    <t>6' 2-Lamp T12IS</t>
  </si>
  <si>
    <t>6' 2-Lamp T12</t>
  </si>
  <si>
    <t>6' 3-Lamp T12IS</t>
  </si>
  <si>
    <t>6' 3-Lamp T12</t>
  </si>
  <si>
    <t>6' 4-Lamp T12IS</t>
  </si>
  <si>
    <t>6' 4-Lamp T12</t>
  </si>
  <si>
    <t>F72T12/HO</t>
  </si>
  <si>
    <t>6' 1-Lamp T12HO</t>
  </si>
  <si>
    <t>6' 2-Lamp T12HO</t>
  </si>
  <si>
    <t>6' 4-Lamp T12HO</t>
  </si>
  <si>
    <t>F72T12/VHO</t>
  </si>
  <si>
    <t>6' 1-Lamp T12VHO</t>
  </si>
  <si>
    <t>6' 2-Lamp T12VHO</t>
  </si>
  <si>
    <t>F84T12/HO</t>
  </si>
  <si>
    <t>7' 1-Lamp T12HO</t>
  </si>
  <si>
    <t>7' 2-Lamp T12HO</t>
  </si>
  <si>
    <t>F96T12</t>
  </si>
  <si>
    <t>8' 1-Lamp T12</t>
  </si>
  <si>
    <t>8' 2-Lamp T12</t>
  </si>
  <si>
    <t>8' 3-Lamp T12</t>
  </si>
  <si>
    <t>8' 4-Lamp T12</t>
  </si>
  <si>
    <t>F96T12/ES</t>
  </si>
  <si>
    <t>8' 4-Lamp T12ES</t>
  </si>
  <si>
    <t>8' 1-Lamp T12ES</t>
  </si>
  <si>
    <t>8' 2-Lamp T12ES</t>
  </si>
  <si>
    <t>8' 3-Lamp T12ES</t>
  </si>
  <si>
    <t>8' 6-Lamp T12ES</t>
  </si>
  <si>
    <t>F96T12/HO</t>
  </si>
  <si>
    <t>8' 1-Lamp T12HO</t>
  </si>
  <si>
    <t>8' 2-Lamp T12HO</t>
  </si>
  <si>
    <t>8' 3-Lamp T12HO</t>
  </si>
  <si>
    <t>8' 4-Lamp T12HO</t>
  </si>
  <si>
    <t>8' 8-Lamp T12HO</t>
  </si>
  <si>
    <t>F96T12/HO/ES</t>
  </si>
  <si>
    <t>8' 1-Lamp T12ES HO</t>
  </si>
  <si>
    <t>8' 2-Lamp T12ES HO</t>
  </si>
  <si>
    <t>8' 3-Lamp T12ES HO</t>
  </si>
  <si>
    <t>8' 4-Lamp T12ES HO</t>
  </si>
  <si>
    <t>8' 6-Lamp T12ES HO</t>
  </si>
  <si>
    <t>8' 8-Lamp T12ES HO</t>
  </si>
  <si>
    <t>F96T12/VHO</t>
  </si>
  <si>
    <t>8' 1-Lamp T12VHO</t>
  </si>
  <si>
    <t>8' 2-Lamp T12VHO</t>
  </si>
  <si>
    <t>8' 3-Lamp T12VHO</t>
  </si>
  <si>
    <t>8' 4-Lamp T12VHO</t>
  </si>
  <si>
    <t>F96T12/VHO/ES</t>
  </si>
  <si>
    <t>8' 1-Lamp T12ES VHO</t>
  </si>
  <si>
    <t>8' 2-Lamp T12ES VHO</t>
  </si>
  <si>
    <t>8' 3-Lamp T12ES VHO</t>
  </si>
  <si>
    <t>8' 4-Lamp T12ES VHO</t>
  </si>
  <si>
    <t>F96T17</t>
  </si>
  <si>
    <t>None</t>
  </si>
  <si>
    <t>Ballast only</t>
  </si>
  <si>
    <t>FC6T9</t>
  </si>
  <si>
    <t>6" 1-Lamp T9 Cir</t>
  </si>
  <si>
    <t>Circle Fluor</t>
  </si>
  <si>
    <t>FC8T9</t>
  </si>
  <si>
    <t>8" 1-Lamp T9 Cir</t>
  </si>
  <si>
    <t>8" 2-Lamp T9 Cir</t>
  </si>
  <si>
    <t>20W 1-Lamp T9 Cir</t>
  </si>
  <si>
    <t>22W 1-Lamp T9 Cir</t>
  </si>
  <si>
    <t>FC12T9</t>
  </si>
  <si>
    <t>12" 1-Lamp T9 Cir</t>
  </si>
  <si>
    <t>12" 2-Lamp T9 Cir</t>
  </si>
  <si>
    <t>32W 1-Lamp T9 Cir</t>
  </si>
  <si>
    <t>FC16T9</t>
  </si>
  <si>
    <t>16" 1-Lamp T9 Cir</t>
  </si>
  <si>
    <t>40W 1-Lamp T9 Cir</t>
  </si>
  <si>
    <t>1-Lamp 40W Induction</t>
  </si>
  <si>
    <t>Electrodeless</t>
  </si>
  <si>
    <t>1-Lamp 55W Induction</t>
  </si>
  <si>
    <t>CFT60W</t>
  </si>
  <si>
    <t>1-Lamp 60W Induction</t>
  </si>
  <si>
    <t>CFT70W</t>
  </si>
  <si>
    <t>1-Lamp 70W Induction</t>
  </si>
  <si>
    <t>1-Lamp 80W Induction</t>
  </si>
  <si>
    <t>CFT85W</t>
  </si>
  <si>
    <t>1-Lamp 85W Induction</t>
  </si>
  <si>
    <t>CFT100W</t>
  </si>
  <si>
    <t>1-Lamp 100W Induction</t>
  </si>
  <si>
    <t>CFT125W</t>
  </si>
  <si>
    <t>1-Lamp 125W Induction</t>
  </si>
  <si>
    <t>CFT150W</t>
  </si>
  <si>
    <t>1-Lamp 150W Induction</t>
  </si>
  <si>
    <t>CFT165W</t>
  </si>
  <si>
    <t>1-Lamp 165W Induction</t>
  </si>
  <si>
    <t>CFT200W</t>
  </si>
  <si>
    <t>1-Lamp 200W Induction</t>
  </si>
  <si>
    <t>CFT250W</t>
  </si>
  <si>
    <t>1-Lamp 250W Induction</t>
  </si>
  <si>
    <t>CFT300W</t>
  </si>
  <si>
    <t>1-Lamp 300W Induction</t>
  </si>
  <si>
    <t>CFT400W</t>
  </si>
  <si>
    <t>1-Lamp 400W Induction</t>
  </si>
  <si>
    <t>FU31T8/6</t>
  </si>
  <si>
    <t>1-Lamp T8 U-Tube</t>
  </si>
  <si>
    <t>2-Lamp T8 HLO U-Tube</t>
  </si>
  <si>
    <t>2-Lamp T8 RLO U-Tube</t>
  </si>
  <si>
    <t>2-Lamp T8 U-Tube</t>
  </si>
  <si>
    <t>3-Lamp T8 U-Tube</t>
  </si>
  <si>
    <t>3-Lamp T8ES U-Tube</t>
  </si>
  <si>
    <t>FU32T8/6</t>
  </si>
  <si>
    <t>1-Lamp T8 6" Spacing U-Tube</t>
  </si>
  <si>
    <t>1-Lamp T8 6" Spacing U-Tube HLO</t>
  </si>
  <si>
    <t>2-Lamp T8 6" Spacing U-Tube</t>
  </si>
  <si>
    <t>2-Lamp T8 6" Spacing U-Tube RLO</t>
  </si>
  <si>
    <t>2-Lamp T8 6" Spacing U-Tube VHLO</t>
  </si>
  <si>
    <t>3-Lamp T8 6" Spacing U-Tube</t>
  </si>
  <si>
    <t>3-Lamp T8 6" Spacing U-Tube RLO</t>
  </si>
  <si>
    <t>FU40T12</t>
  </si>
  <si>
    <t>1-Lamp T12 U-Tube</t>
  </si>
  <si>
    <t>1-Lamp T12 U-Tube ES</t>
  </si>
  <si>
    <t>2-Lamp T12 U-Tube</t>
  </si>
  <si>
    <t>3-Lamp T12 U-Tube</t>
  </si>
  <si>
    <t>FU40T12/ES</t>
  </si>
  <si>
    <t>1-Lamp T12ES U-Tube</t>
  </si>
  <si>
    <t>3-Lamp T12ES U-Tube</t>
  </si>
  <si>
    <t>HPS35</t>
  </si>
  <si>
    <t>35W HPS</t>
  </si>
  <si>
    <t>HPS50</t>
  </si>
  <si>
    <t>50W HPS</t>
  </si>
  <si>
    <t>HPS70</t>
  </si>
  <si>
    <t>70W HPS</t>
  </si>
  <si>
    <t>HPS100</t>
  </si>
  <si>
    <t>100W HPS</t>
  </si>
  <si>
    <t>HPS150</t>
  </si>
  <si>
    <t>150W HPS</t>
  </si>
  <si>
    <t>HPS200</t>
  </si>
  <si>
    <t>200W HPS</t>
  </si>
  <si>
    <t>HPS250</t>
  </si>
  <si>
    <t>250W HPS</t>
  </si>
  <si>
    <t>HPS310</t>
  </si>
  <si>
    <t>310W HPS</t>
  </si>
  <si>
    <t>HPS360</t>
  </si>
  <si>
    <t>360W HPS</t>
  </si>
  <si>
    <t>HPS400</t>
  </si>
  <si>
    <t>400W HPS</t>
  </si>
  <si>
    <t>HPS1000</t>
  </si>
  <si>
    <t>1000W HPS</t>
  </si>
  <si>
    <t>MH20</t>
  </si>
  <si>
    <t>20W Metal Halide</t>
  </si>
  <si>
    <t>MH22</t>
  </si>
  <si>
    <t>22W Metal Halide</t>
  </si>
  <si>
    <t>MH32</t>
  </si>
  <si>
    <t>32W Metal Halide</t>
  </si>
  <si>
    <t>MH39</t>
  </si>
  <si>
    <t>39W Metal Halide</t>
  </si>
  <si>
    <t>MH50</t>
  </si>
  <si>
    <t>50W Metal Halide</t>
  </si>
  <si>
    <t>MH70</t>
  </si>
  <si>
    <t>70W Metal Halide</t>
  </si>
  <si>
    <t>MH100</t>
  </si>
  <si>
    <t>100W Metal Halide</t>
  </si>
  <si>
    <t>MH125</t>
  </si>
  <si>
    <t>125W Metal Halide</t>
  </si>
  <si>
    <t>MH150</t>
  </si>
  <si>
    <t>150W Metal Halide</t>
  </si>
  <si>
    <t>MH175</t>
  </si>
  <si>
    <t>175W Metal Halide</t>
  </si>
  <si>
    <t>MH200</t>
  </si>
  <si>
    <t>200W Metal Halide</t>
  </si>
  <si>
    <t>MH250</t>
  </si>
  <si>
    <t>250W Metal Halide</t>
  </si>
  <si>
    <t>MH320</t>
  </si>
  <si>
    <t>320W Metal Halide</t>
  </si>
  <si>
    <t>MH350</t>
  </si>
  <si>
    <t>350W Metal Halide</t>
  </si>
  <si>
    <t>MH360</t>
  </si>
  <si>
    <t>360W Metal Halide</t>
  </si>
  <si>
    <t>MH400</t>
  </si>
  <si>
    <t>400W Metal Halide</t>
  </si>
  <si>
    <t>MH450</t>
  </si>
  <si>
    <t>450W Metal Halide</t>
  </si>
  <si>
    <t>MH575</t>
  </si>
  <si>
    <t>575W Metal Halide</t>
  </si>
  <si>
    <t>MH750</t>
  </si>
  <si>
    <t>750W Metal Halide</t>
  </si>
  <si>
    <t>MH775</t>
  </si>
  <si>
    <t>775W Metal Halide</t>
  </si>
  <si>
    <t>MH875</t>
  </si>
  <si>
    <t>875W Metal Halide</t>
  </si>
  <si>
    <t>MH1000</t>
  </si>
  <si>
    <t>1000W Metal Halide</t>
  </si>
  <si>
    <t>MH1500</t>
  </si>
  <si>
    <t>1500W Metal Halide</t>
  </si>
  <si>
    <t>MH1650</t>
  </si>
  <si>
    <t>1650W Metal Halide</t>
  </si>
  <si>
    <t>MH2000</t>
  </si>
  <si>
    <t>2000W Metal Halide</t>
  </si>
  <si>
    <t>MV40</t>
  </si>
  <si>
    <t>40W Mercury Vapor</t>
  </si>
  <si>
    <t>MV50</t>
  </si>
  <si>
    <t>50W Mercury Vapor</t>
  </si>
  <si>
    <t>MV75</t>
  </si>
  <si>
    <t>75W Mercury Vapor</t>
  </si>
  <si>
    <t>MV100</t>
  </si>
  <si>
    <t>100W Mercury Vapor</t>
  </si>
  <si>
    <t>MV160-SB</t>
  </si>
  <si>
    <t>160W Mercury Vapor</t>
  </si>
  <si>
    <t>MV175</t>
  </si>
  <si>
    <t>175W Mercury Vapor</t>
  </si>
  <si>
    <t>MV250</t>
  </si>
  <si>
    <t>250W Mercury Vapor</t>
  </si>
  <si>
    <t>MV400</t>
  </si>
  <si>
    <t>400W Mercury Vapor</t>
  </si>
  <si>
    <t>MV700</t>
  </si>
  <si>
    <t>700W Mercury Vapor</t>
  </si>
  <si>
    <t>MV1000</t>
  </si>
  <si>
    <t>1000W Mercury Vapor</t>
  </si>
  <si>
    <t>H20/1</t>
  </si>
  <si>
    <t>Halogen/Incandescent, (1) 20W lamp</t>
  </si>
  <si>
    <t>20W Halogen/Incandescent</t>
  </si>
  <si>
    <t>H21/1</t>
  </si>
  <si>
    <t>Halogen/Incandescent, (1) 21W lamp</t>
  </si>
  <si>
    <t>21W Halogen/Incandescent</t>
  </si>
  <si>
    <t>H22/1</t>
  </si>
  <si>
    <t>Halogen/Incandescent, (1) 22W lamp</t>
  </si>
  <si>
    <t>22W Halogen/Incandescent</t>
  </si>
  <si>
    <t>H23/1</t>
  </si>
  <si>
    <t>Halogen/Incandescent, (1) 23W lamp</t>
  </si>
  <si>
    <t>23W Halogen/Incandescent</t>
  </si>
  <si>
    <t>H24/1</t>
  </si>
  <si>
    <t>Halogen/Incandescent, (1) 24W lamp</t>
  </si>
  <si>
    <t>24W Halogen/Incandescent</t>
  </si>
  <si>
    <t>H25/1</t>
  </si>
  <si>
    <t>Halogen/Incandescent, (1) 25W lamp</t>
  </si>
  <si>
    <t>25W Halogen/Incandescent</t>
  </si>
  <si>
    <t>H26/1</t>
  </si>
  <si>
    <t>Halogen/Incandescent, (1) 26W lamp</t>
  </si>
  <si>
    <t>26W Halogen/Incandescent</t>
  </si>
  <si>
    <t>H27/1</t>
  </si>
  <si>
    <t>Halogen/Incandescent, (1) 27W lamp</t>
  </si>
  <si>
    <t>27W Halogen/Incandescent</t>
  </si>
  <si>
    <t>H28/1</t>
  </si>
  <si>
    <t>Halogen/Incandescent, (1) 28W lamp</t>
  </si>
  <si>
    <t>28W Halogen/Incandescent</t>
  </si>
  <si>
    <t>H29/1</t>
  </si>
  <si>
    <t>Halogen/Incandescent, (1) 29W lamp</t>
  </si>
  <si>
    <t>29W Halogen/Incandescent</t>
  </si>
  <si>
    <t>H30/1</t>
  </si>
  <si>
    <t>Halogen/Incandescent, (1) 30W lamp</t>
  </si>
  <si>
    <t>30W Halogen/Incandescent</t>
  </si>
  <si>
    <t>H31/1</t>
  </si>
  <si>
    <t>Halogen/Incandescent, (1) 31W lamp</t>
  </si>
  <si>
    <t>31W Halogen/Incandescent</t>
  </si>
  <si>
    <t>H32/1</t>
  </si>
  <si>
    <t>Halogen/Incandescent, (1) 32W lamp</t>
  </si>
  <si>
    <t>32W Halogen/Incandescent</t>
  </si>
  <si>
    <t>H33/1</t>
  </si>
  <si>
    <t>Halogen/Incandescent, (1) 33W lamp</t>
  </si>
  <si>
    <t>33W Halogen/Incandescent</t>
  </si>
  <si>
    <t>H34/1</t>
  </si>
  <si>
    <t>Halogen/Incandescent, (1) 34W lamp</t>
  </si>
  <si>
    <t>34W Halogen/Incandescent</t>
  </si>
  <si>
    <t>H35/1</t>
  </si>
  <si>
    <t>Halogen/Incandescent, (1) 35W lamp</t>
  </si>
  <si>
    <t>35W Halogen/Incandescent</t>
  </si>
  <si>
    <t>H36/1</t>
  </si>
  <si>
    <t>Halogen/Incandescent, (1) 36W lamp</t>
  </si>
  <si>
    <t>36W Halogen/Incandescent</t>
  </si>
  <si>
    <t>H37/1</t>
  </si>
  <si>
    <t>Halogen/Incandescent, (1) 37W lamp</t>
  </si>
  <si>
    <t>37W Halogen/Incandescent</t>
  </si>
  <si>
    <t>H38/1</t>
  </si>
  <si>
    <t>Halogen/Incandescent, (1) 38W lamp</t>
  </si>
  <si>
    <t>38W Halogen/Incandescent</t>
  </si>
  <si>
    <t>H39/1</t>
  </si>
  <si>
    <t>Halogen/Incandescent, (1) 39W lamp</t>
  </si>
  <si>
    <t>39W Halogen/Incandescent</t>
  </si>
  <si>
    <t>H40/1</t>
  </si>
  <si>
    <t>Halogen/Incandescent, (1) 40W lamp</t>
  </si>
  <si>
    <t>40W Halogen/Incandescent</t>
  </si>
  <si>
    <t>H41/1</t>
  </si>
  <si>
    <t>Halogen/Incandescent, (1) 41W lamp</t>
  </si>
  <si>
    <t>41W Halogen/Incandescent</t>
  </si>
  <si>
    <t>H42/1</t>
  </si>
  <si>
    <t>Halogen/Incandescent, (1) 42W lamp</t>
  </si>
  <si>
    <t>42W Halogen/Incandescent</t>
  </si>
  <si>
    <t>H43/1</t>
  </si>
  <si>
    <t>Halogen/Incandescent, (1) 43W lamp</t>
  </si>
  <si>
    <t>43W Halogen/Incandescent</t>
  </si>
  <si>
    <t>H44/1</t>
  </si>
  <si>
    <t>Halogen/Incandescent, (1) 44W lamp</t>
  </si>
  <si>
    <t>44W Halogen/Incandescent</t>
  </si>
  <si>
    <t>H45/1</t>
  </si>
  <si>
    <t>Halogen/Incandescent, (1) 45W lamp</t>
  </si>
  <si>
    <t>45W Halogen/Incandescent</t>
  </si>
  <si>
    <t>H46/1</t>
  </si>
  <si>
    <t>Halogen/Incandescent, (1) 46W lamp</t>
  </si>
  <si>
    <t>46W Halogen/Incandescent</t>
  </si>
  <si>
    <t>H47/1</t>
  </si>
  <si>
    <t>Halogen/Incandescent, (1) 47W lamp</t>
  </si>
  <si>
    <t>47W Halogen/Incandescent</t>
  </si>
  <si>
    <t>H48/1</t>
  </si>
  <si>
    <t>Halogen/Incandescent, (1) 48W lamp</t>
  </si>
  <si>
    <t>48W Halogen/Incandescent</t>
  </si>
  <si>
    <t>H49/1</t>
  </si>
  <si>
    <t>Halogen/Incandescent, (1) 49W lamp</t>
  </si>
  <si>
    <t>49W Halogen/Incandescent</t>
  </si>
  <si>
    <t>H50/1</t>
  </si>
  <si>
    <t>Halogen/Incandescent, (1) 50W lamp</t>
  </si>
  <si>
    <t>50W Halogen/Incandescent</t>
  </si>
  <si>
    <t>H51/1</t>
  </si>
  <si>
    <t>Halogen/Incandescent, (1) 51W lamp</t>
  </si>
  <si>
    <t>51W Halogen/Incandescent</t>
  </si>
  <si>
    <t>H52/1</t>
  </si>
  <si>
    <t>Halogen/Incandescent, (1) 52W lamp</t>
  </si>
  <si>
    <t>52W Halogen/Incandescent</t>
  </si>
  <si>
    <t>H53/1</t>
  </si>
  <si>
    <t>Halogen/Incandescent, (1) 53W lamp</t>
  </si>
  <si>
    <t>53W Halogen/Incandescent</t>
  </si>
  <si>
    <t>H54/1</t>
  </si>
  <si>
    <t>Halogen/Incandescent, (1) 54W lamp</t>
  </si>
  <si>
    <t>54W Halogen/Incandescent</t>
  </si>
  <si>
    <t>H55/1</t>
  </si>
  <si>
    <t>Halogen/Incandescent, (1) 55W lamp</t>
  </si>
  <si>
    <t>55W Halogen/Incandescent</t>
  </si>
  <si>
    <t>H56/1</t>
  </si>
  <si>
    <t>Halogen/Incandescent, (1) 56W lamp</t>
  </si>
  <si>
    <t>56W Halogen/Incandescent</t>
  </si>
  <si>
    <t>H57/1</t>
  </si>
  <si>
    <t>Halogen/Incandescent, (1) 57W lamp</t>
  </si>
  <si>
    <t>57W Halogen/Incandescent</t>
  </si>
  <si>
    <t>H58/1</t>
  </si>
  <si>
    <t>Halogen/Incandescent, (1) 58W lamp</t>
  </si>
  <si>
    <t>58W Halogen/Incandescent</t>
  </si>
  <si>
    <t>H59/1</t>
  </si>
  <si>
    <t>Halogen/Incandescent, (1) 59W lamp</t>
  </si>
  <si>
    <t>59W Halogen/Incandescent</t>
  </si>
  <si>
    <t>H60/1</t>
  </si>
  <si>
    <t>Halogen/Incandescent, (1) 60W lamp</t>
  </si>
  <si>
    <t>60W Halogen/Incandescent</t>
  </si>
  <si>
    <t>H61/1</t>
  </si>
  <si>
    <t>Halogen/Incandescent, (1) 61W lamp</t>
  </si>
  <si>
    <t>61W Halogen/Incandescent</t>
  </si>
  <si>
    <t>H62/1</t>
  </si>
  <si>
    <t>Halogen/Incandescent, (1) 62W lamp</t>
  </si>
  <si>
    <t>62W Halogen/Incandescent</t>
  </si>
  <si>
    <t>H63/1</t>
  </si>
  <si>
    <t>Halogen/Incandescent, (1) 63W lamp</t>
  </si>
  <si>
    <t>63W Halogen/Incandescent</t>
  </si>
  <si>
    <t>H64/1</t>
  </si>
  <si>
    <t>Halogen/Incandescent, (1) 64W lamp</t>
  </si>
  <si>
    <t>64W Halogen/Incandescent</t>
  </si>
  <si>
    <t>H65/1</t>
  </si>
  <si>
    <t>Halogen/Incandescent, (1) 65W lamp</t>
  </si>
  <si>
    <t>65W Halogen/Incandescent</t>
  </si>
  <si>
    <t>H66/1</t>
  </si>
  <si>
    <t>Halogen/Incandescent, (1) 66W lamp</t>
  </si>
  <si>
    <t>66W Halogen/Incandescent</t>
  </si>
  <si>
    <t>H67/1</t>
  </si>
  <si>
    <t>Halogen/Incandescent, (1) 67W lamp</t>
  </si>
  <si>
    <t>67W Halogen/Incandescent</t>
  </si>
  <si>
    <t>H68/1</t>
  </si>
  <si>
    <t>Halogen/Incandescent, (1) 68W lamp</t>
  </si>
  <si>
    <t>68W Halogen/Incandescent</t>
  </si>
  <si>
    <t>H69/1</t>
  </si>
  <si>
    <t>Halogen/Incandescent, (1) 69W lamp</t>
  </si>
  <si>
    <t>69W Halogen/Incandescent</t>
  </si>
  <si>
    <t>H70/1</t>
  </si>
  <si>
    <t>Halogen/Incandescent, (1) 70W lamp</t>
  </si>
  <si>
    <t>70W Halogen/Incandescent</t>
  </si>
  <si>
    <t>H71/1</t>
  </si>
  <si>
    <t>Halogen/Incandescent, (1) 71W lamp</t>
  </si>
  <si>
    <t>71W Halogen/Incandescent</t>
  </si>
  <si>
    <t>H72/1</t>
  </si>
  <si>
    <t>Halogen/Incandescent, (1) 72W lamp</t>
  </si>
  <si>
    <t>72W Halogen/Incandescent</t>
  </si>
  <si>
    <t>H73/1</t>
  </si>
  <si>
    <t>Halogen/Incandescent, (1) 73W lamp</t>
  </si>
  <si>
    <t>73W Halogen/Incandescent</t>
  </si>
  <si>
    <t>H74/1</t>
  </si>
  <si>
    <t>Halogen/Incandescent, (1) 74W lamp</t>
  </si>
  <si>
    <t>74W Halogen/Incandescent</t>
  </si>
  <si>
    <t>H75/1</t>
  </si>
  <si>
    <t>Halogen/Incandescent, (1) 75W lamp</t>
  </si>
  <si>
    <t>75W Halogen/Incandescent</t>
  </si>
  <si>
    <t>H80/1</t>
  </si>
  <si>
    <t>Halogen/Incandescent, (1) 80W lamp</t>
  </si>
  <si>
    <t>80W Halogen/Incandescent</t>
  </si>
  <si>
    <t>H90/1</t>
  </si>
  <si>
    <t>Halogen/Incandescent, (1) 90W lamp</t>
  </si>
  <si>
    <t>90W Halogen/Incandescent</t>
  </si>
  <si>
    <t>H100/1</t>
  </si>
  <si>
    <t>Halogen/Incandescent, (1) 100W lamp</t>
  </si>
  <si>
    <t>100W Halogen/Incandescent</t>
  </si>
  <si>
    <t>H150/1</t>
  </si>
  <si>
    <t>Halogen/Incandescent, (1) 150W lamp</t>
  </si>
  <si>
    <t>150W Halogen/Incandescent</t>
  </si>
  <si>
    <t>H250/1</t>
  </si>
  <si>
    <t>Halogen/Incandescent, (1) 250W lamp</t>
  </si>
  <si>
    <t>250W Halogen/Incandescent</t>
  </si>
  <si>
    <t>H300/1</t>
  </si>
  <si>
    <t>Halogen/Incandescent, (1) 300W lamp</t>
  </si>
  <si>
    <t>300W Halogen/Incandescent</t>
  </si>
  <si>
    <t>H500/1</t>
  </si>
  <si>
    <t>Halogen/Incandescent, (1) 500W lamp</t>
  </si>
  <si>
    <t>500W Halogen/Incandescent</t>
  </si>
  <si>
    <t>Table_Measure_Caps</t>
  </si>
  <si>
    <t>Table_Bonus_Caps</t>
  </si>
  <si>
    <t>Worksheet</t>
  </si>
  <si>
    <t>Measure Type</t>
  </si>
  <si>
    <t>Estimated Raw Incentive Total</t>
  </si>
  <si>
    <t>Energy Savings Total (kWh)</t>
  </si>
  <si>
    <t>Demand Reduction Total (kW)</t>
  </si>
  <si>
    <t>Cost Savings Total</t>
  </si>
  <si>
    <t>Gross Measure Cost Total</t>
  </si>
  <si>
    <t>Net Measure Cost Total</t>
  </si>
  <si>
    <t>Raw ItoC Ratio</t>
  </si>
  <si>
    <t>Capped Incentive</t>
  </si>
  <si>
    <t>Bonus Rate</t>
  </si>
  <si>
    <t>Capped Incentive Total</t>
  </si>
  <si>
    <t>Uncapped Bonus</t>
  </si>
  <si>
    <t>Final Bonus</t>
  </si>
  <si>
    <t>Prescript Lights</t>
  </si>
  <si>
    <t>Custom Lights</t>
  </si>
  <si>
    <t>Prescript Controls</t>
  </si>
  <si>
    <t>Project ID Number</t>
  </si>
  <si>
    <t>Include Snips of Documentation (Business Type, Invoice, DLC, specs)</t>
  </si>
  <si>
    <t>Annual Usage from APTracks (kWh)</t>
  </si>
  <si>
    <t>Savings as a % of the Annual Usage</t>
  </si>
  <si>
    <t>QC Checklist</t>
  </si>
  <si>
    <t>Advisor Review</t>
  </si>
  <si>
    <t>Engineering Review</t>
  </si>
  <si>
    <t>Name</t>
  </si>
  <si>
    <t>Is the building type accurate?</t>
  </si>
  <si>
    <t>Do the fixture quantities match the invoices/proposals?</t>
  </si>
  <si>
    <t>Do the baseline wattage values agree with the TRM?</t>
  </si>
  <si>
    <t>Do the LED wattage values match the spec sheets?</t>
  </si>
  <si>
    <t>Do the LEDs have DLC or ES certification?</t>
  </si>
  <si>
    <t>Does HVAC type makes sense for the facility?</t>
  </si>
  <si>
    <t>Is there a bonus? If yes, unhide Summary columns E &amp; F</t>
  </si>
  <si>
    <t>Are supporting snips provided (see right)?</t>
  </si>
  <si>
    <t>Verify that Bonus (if applicable) doesn't exceed caps</t>
  </si>
  <si>
    <t>Do existing fixture types match what is actually installed?</t>
  </si>
  <si>
    <t>On the Prescriptive Lighting tab, are there any "General" lines that could be switched to detailed with more accurate fixture characteristics installed?</t>
  </si>
  <si>
    <t>Automated Checks</t>
  </si>
  <si>
    <t>Prescriptive</t>
  </si>
  <si>
    <t>Summary kWh = Export kWh</t>
  </si>
  <si>
    <t>Summary Incentives = Export Incentives</t>
  </si>
  <si>
    <t>Summary Costs = Export Costs</t>
  </si>
  <si>
    <t>Table_Contacts</t>
  </si>
  <si>
    <t>Entity</t>
  </si>
  <si>
    <t>Contact Name</t>
  </si>
  <si>
    <t>Street</t>
  </si>
  <si>
    <t>Zip</t>
  </si>
  <si>
    <t>Phone</t>
  </si>
  <si>
    <t>Email</t>
  </si>
  <si>
    <t>Classification</t>
  </si>
  <si>
    <t>PFI?</t>
  </si>
  <si>
    <t>DBE?</t>
  </si>
  <si>
    <t>Registered TA?</t>
  </si>
  <si>
    <t>Project Role</t>
  </si>
  <si>
    <t>Check Payable To</t>
  </si>
  <si>
    <t>Payee</t>
  </si>
  <si>
    <t>Tab</t>
  </si>
  <si>
    <t>Project Number</t>
  </si>
  <si>
    <t>Line Ref No.</t>
  </si>
  <si>
    <t>Unit of Measure</t>
  </si>
  <si>
    <t>Units</t>
  </si>
  <si>
    <t>kWh Savings</t>
  </si>
  <si>
    <t>kW Savings</t>
  </si>
  <si>
    <t>Incentive</t>
  </si>
  <si>
    <t>Equipment Cost</t>
  </si>
  <si>
    <t>Labor Cost</t>
  </si>
  <si>
    <t>Operating Hours</t>
  </si>
  <si>
    <t>Existing Unit Wattage</t>
  </si>
  <si>
    <t>Proposed Unit Wattage</t>
  </si>
  <si>
    <t>Calculator Version</t>
  </si>
  <si>
    <t>Uncapped Incentive</t>
  </si>
  <si>
    <t>Controls</t>
  </si>
  <si>
    <t>ea.</t>
  </si>
  <si>
    <t>File Version</t>
  </si>
  <si>
    <t>Change</t>
  </si>
  <si>
    <t>Person</t>
  </si>
  <si>
    <t>v3.1 - 2024</t>
  </si>
  <si>
    <t>Verifying everything is in line with IECC 2021 LA state energy code; Removed EISA-affected prescriptive lighting measures; Adjusted the information in the "Intro" tab</t>
  </si>
  <si>
    <t>Spencer Kurtz</t>
  </si>
  <si>
    <t>v3.2 - 2024</t>
  </si>
  <si>
    <t>Removed external file links</t>
  </si>
  <si>
    <t>v3.3 - 2024</t>
  </si>
  <si>
    <t>Added 4' T5 Linear LED measure</t>
  </si>
  <si>
    <t>v4.0 - 2025</t>
  </si>
  <si>
    <t>Formatted for 2025</t>
  </si>
  <si>
    <r>
      <rPr>
        <sz val="10"/>
        <color theme="1"/>
        <rFont val="Arial"/>
        <family val="2"/>
      </rPr>
      <t xml:space="preserve">Energy Smart energy efficiency incentives are available to all commercial Entergy New Orleans customers. This workbook serves as the primary application for interior and exterior lighting energy efficiency projects. The workbook provides an estimate of the energy saved as well as potential Energy Smart incentives, subject to review and approval by the program team. </t>
    </r>
    <r>
      <rPr>
        <b/>
        <sz val="10"/>
        <color theme="8"/>
        <rFont val="Arial"/>
        <family val="2"/>
      </rPr>
      <t>Pre-approval and a pre-installation site inspection are required</t>
    </r>
    <r>
      <rPr>
        <sz val="10"/>
        <color theme="1"/>
        <rFont val="Arial"/>
        <family val="2"/>
      </rPr>
      <t>.</t>
    </r>
    <r>
      <rPr>
        <b/>
        <sz val="10"/>
        <color theme="8"/>
        <rFont val="Calibri"/>
        <family val="2"/>
        <scheme val="minor"/>
      </rPr>
      <t xml:space="preserve">
</t>
    </r>
    <r>
      <rPr>
        <sz val="10"/>
        <color theme="1"/>
        <rFont val="Calibri"/>
        <family val="2"/>
        <scheme val="minor"/>
      </rPr>
      <t xml:space="preserve">
</t>
    </r>
  </si>
  <si>
    <t>Version 4.1 - 2026</t>
  </si>
  <si>
    <t>Energy Smart is a comprehensive energy efficiency program developed by the New Orleans City Council and 
administered by Entergy New Orleans, LLC.©2026 Entergy Services, LLC All Rights Reserved.</t>
  </si>
  <si>
    <t>Product of APTIM Environmental &amp; Infrastructure,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</si>
</sst>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4" formatCode="_(&quot;$&quot;* #,##0.00_);_(&quot;$&quot;* \(#,##0.00\);_(&quot;$&quot;* &quot;-&quot;??_);_(@_)"/>
    <numFmt numFmtId="164" formatCode="&quot;$&quot;#,##0.00"/>
    <numFmt numFmtId="165" formatCode="&quot;$&quot;#,##0"/>
    <numFmt numFmtId="166" formatCode="0.0"/>
    <numFmt numFmtId="167" formatCode="#,##0.0"/>
    <numFmt numFmtId="168" formatCode="#,##0.000"/>
    <numFmt numFmtId="169" formatCode="0.000"/>
    <numFmt numFmtId="170" formatCode="&quot;$&quot;#,##0.000"/>
    <numFmt numFmtId="171" formatCode="0.0%"/>
    <numFmt numFmtId="172" formatCode="&quot;$&quot;#,##0.0"/>
  </numFmts>
  <fonts count="67"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3F3F76"/>
      <name val="Calibri"/>
      <family val="2"/>
      <scheme val="minor"/>
    </font>
    <font>
      <sz val="10"/>
      <color theme="1"/>
      <name val="Arial"/>
      <family val="2"/>
    </font>
    <font>
      <sz val="9"/>
      <color indexed="81"/>
      <name val="Tahoma"/>
      <family val="2"/>
    </font>
    <font>
      <sz val="11"/>
      <name val="Calibri"/>
      <family val="2"/>
      <scheme val="minor"/>
    </font>
    <font>
      <sz val="8"/>
      <name val="Calibri"/>
      <family val="2"/>
      <scheme val="minor"/>
    </font>
    <font>
      <vertAlign val="subscript"/>
      <sz val="11"/>
      <color theme="1"/>
      <name val="Calibri"/>
      <family val="2"/>
      <scheme val="minor"/>
    </font>
    <font>
      <b/>
      <sz val="10"/>
      <name val="Arial"/>
      <family val="2"/>
    </font>
    <font>
      <b/>
      <sz val="10"/>
      <color theme="0"/>
      <name val="Calibri"/>
      <family val="2"/>
      <scheme val="minor"/>
    </font>
    <font>
      <sz val="10"/>
      <color theme="1"/>
      <name val="Calibri"/>
      <family val="2"/>
      <scheme val="minor"/>
    </font>
    <font>
      <b/>
      <sz val="12"/>
      <color theme="0"/>
      <name val="Arial"/>
      <family val="2"/>
    </font>
    <font>
      <sz val="12"/>
      <color theme="0"/>
      <name val="Arial"/>
      <family val="2"/>
    </font>
    <font>
      <sz val="10"/>
      <color theme="0"/>
      <name val="Arial"/>
      <family val="2"/>
    </font>
    <font>
      <sz val="12"/>
      <color theme="1"/>
      <name val="Arial"/>
      <family val="2"/>
    </font>
    <font>
      <sz val="11"/>
      <color theme="0"/>
      <name val="Calibri"/>
      <family val="2"/>
      <scheme val="minor"/>
    </font>
    <font>
      <u/>
      <sz val="11"/>
      <color theme="1"/>
      <name val="Calibri"/>
      <family val="2"/>
      <scheme val="minor"/>
    </font>
    <font>
      <sz val="10"/>
      <color theme="0"/>
      <name val="Calibri"/>
      <family val="2"/>
      <scheme val="minor"/>
    </font>
    <font>
      <b/>
      <sz val="11"/>
      <color theme="1"/>
      <name val="Calibri"/>
      <family val="2"/>
      <scheme val="minor"/>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b/>
      <sz val="12"/>
      <color theme="0"/>
      <name val="Calibri"/>
      <family val="2"/>
      <scheme val="minor"/>
    </font>
    <font>
      <b/>
      <sz val="10"/>
      <color theme="1"/>
      <name val="Calibri"/>
      <family val="2"/>
    </font>
    <font>
      <b/>
      <sz val="13"/>
      <color theme="0"/>
      <name val="Calibri"/>
      <family val="2"/>
      <scheme val="minor"/>
    </font>
    <font>
      <sz val="10"/>
      <color rgb="FF000000"/>
      <name val="Calibri"/>
      <family val="2"/>
    </font>
    <font>
      <sz val="10"/>
      <color theme="1"/>
      <name val="Calibri"/>
      <family val="2"/>
    </font>
    <font>
      <u/>
      <sz val="10"/>
      <color theme="10"/>
      <name val="Calibri"/>
      <family val="2"/>
      <scheme val="minor"/>
    </font>
    <font>
      <u/>
      <sz val="10"/>
      <color theme="11"/>
      <name val="Calibri"/>
      <family val="2"/>
      <scheme val="minor"/>
    </font>
    <font>
      <b/>
      <i/>
      <sz val="10"/>
      <color theme="8"/>
      <name val="Calibri"/>
      <family val="2"/>
    </font>
    <font>
      <b/>
      <sz val="10"/>
      <color theme="1"/>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9"/>
      <color indexed="81"/>
      <name val="Tahoma"/>
      <family val="2"/>
    </font>
    <font>
      <b/>
      <sz val="10"/>
      <color theme="8"/>
      <name val="Calibri"/>
      <family val="2"/>
      <scheme val="minor"/>
    </font>
    <font>
      <b/>
      <sz val="20"/>
      <color rgb="FF002D56"/>
      <name val="Arial"/>
      <family val="2"/>
    </font>
    <font>
      <strike/>
      <sz val="10"/>
      <color theme="1"/>
      <name val="Calibri"/>
      <family val="2"/>
      <scheme val="minor"/>
    </font>
    <font>
      <b/>
      <sz val="10"/>
      <color theme="8"/>
      <name val="Calibri"/>
      <family val="2"/>
    </font>
    <font>
      <b/>
      <sz val="11"/>
      <color rgb="FFFF0000"/>
      <name val="Calibri"/>
      <family val="2"/>
      <scheme val="minor"/>
    </font>
    <font>
      <b/>
      <sz val="12"/>
      <color rgb="FFFF0000"/>
      <name val="Calibri"/>
      <family val="2"/>
      <scheme val="minor"/>
    </font>
    <font>
      <b/>
      <sz val="14"/>
      <color theme="0"/>
      <name val="Calibri"/>
      <family val="2"/>
      <scheme val="minor"/>
    </font>
    <font>
      <b/>
      <sz val="18"/>
      <color theme="0"/>
      <name val="Calibri"/>
      <family val="2"/>
      <scheme val="minor"/>
    </font>
    <font>
      <i/>
      <sz val="11"/>
      <color theme="1"/>
      <name val="Calibri"/>
      <family val="2"/>
      <scheme val="minor"/>
    </font>
    <font>
      <b/>
      <sz val="20"/>
      <color theme="8"/>
      <name val="Arial"/>
      <family val="2"/>
    </font>
    <font>
      <b/>
      <sz val="10"/>
      <color theme="8"/>
      <name val="Arial"/>
      <family val="2"/>
    </font>
    <font>
      <b/>
      <sz val="10"/>
      <color theme="1"/>
      <name val="Arial"/>
      <family val="2"/>
    </font>
    <font>
      <sz val="10"/>
      <color rgb="FF000000"/>
      <name val="Arial"/>
      <family val="2"/>
    </font>
    <font>
      <b/>
      <sz val="10"/>
      <color theme="0"/>
      <name val="Arial"/>
      <family val="2"/>
    </font>
    <font>
      <sz val="10"/>
      <color theme="8"/>
      <name val="Arial"/>
      <family val="2"/>
    </font>
    <font>
      <b/>
      <sz val="10"/>
      <color rgb="FF000000"/>
      <name val="Arial"/>
      <family val="2"/>
    </font>
    <font>
      <b/>
      <sz val="18"/>
      <color theme="0"/>
      <name val="Arial"/>
      <family val="2"/>
    </font>
    <font>
      <b/>
      <sz val="18"/>
      <color theme="8"/>
      <name val="Arial"/>
      <family val="2"/>
    </font>
    <font>
      <u/>
      <sz val="10"/>
      <color theme="10"/>
      <name val="Arial"/>
      <family val="2"/>
    </font>
    <font>
      <sz val="10"/>
      <color theme="4"/>
      <name val="Arial"/>
      <family val="2"/>
    </font>
    <font>
      <b/>
      <sz val="14"/>
      <color theme="0"/>
      <name val="Arial"/>
      <family val="2"/>
    </font>
    <font>
      <vertAlign val="superscript"/>
      <sz val="10"/>
      <color rgb="FF000000"/>
      <name val="Arial"/>
      <family val="2"/>
    </font>
  </fonts>
  <fills count="32">
    <fill>
      <patternFill patternType="none"/>
    </fill>
    <fill>
      <patternFill patternType="gray125"/>
    </fill>
    <fill>
      <patternFill patternType="solid">
        <fgColor theme="0" tint="-0.14999847407452621"/>
        <bgColor indexed="64"/>
      </patternFill>
    </fill>
    <fill>
      <patternFill patternType="solid">
        <fgColor rgb="FF003C71"/>
        <bgColor indexed="64"/>
      </patternFill>
    </fill>
    <fill>
      <patternFill patternType="solid">
        <fgColor theme="0" tint="-4.9989318521683403E-2"/>
        <bgColor indexed="64"/>
      </patternFill>
    </fill>
    <fill>
      <patternFill patternType="solid">
        <fgColor rgb="FFF2F2F2"/>
      </patternFill>
    </fill>
    <fill>
      <patternFill patternType="solid">
        <fgColor theme="5"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theme="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FFFCC"/>
      </patternFill>
    </fill>
    <fill>
      <patternFill patternType="solid">
        <fgColor rgb="FF002D56"/>
        <bgColor indexed="64"/>
      </patternFill>
    </fill>
    <fill>
      <patternFill patternType="solid">
        <fgColor rgb="FFC00000"/>
        <bgColor indexed="64"/>
      </patternFill>
    </fill>
    <fill>
      <patternFill patternType="solid">
        <fgColor theme="2"/>
        <bgColor indexed="64"/>
      </patternFill>
    </fill>
    <fill>
      <patternFill patternType="solid">
        <fgColor rgb="FFA5A5A5"/>
      </patternFill>
    </fill>
    <fill>
      <patternFill patternType="solid">
        <fgColor theme="4" tint="0.79998168889431442"/>
        <bgColor indexed="65"/>
      </patternFill>
    </fill>
    <fill>
      <patternFill patternType="solid">
        <fgColor theme="6"/>
        <bgColor indexed="64"/>
      </patternFill>
    </fill>
    <fill>
      <patternFill patternType="solid">
        <fgColor theme="4"/>
        <bgColor indexed="64"/>
      </patternFill>
    </fill>
    <fill>
      <patternFill patternType="solid">
        <fgColor theme="8"/>
        <bgColor indexed="64"/>
      </patternFill>
    </fill>
    <fill>
      <patternFill patternType="solid">
        <fgColor theme="3"/>
        <bgColor indexed="64"/>
      </patternFill>
    </fill>
    <fill>
      <patternFill patternType="solid">
        <fgColor rgb="FF8DC63F"/>
        <bgColor indexed="64"/>
      </patternFill>
    </fill>
    <fill>
      <patternFill patternType="solid">
        <fgColor rgb="FF006E51"/>
        <bgColor indexed="64"/>
      </patternFill>
    </fill>
    <fill>
      <patternFill patternType="solid">
        <fgColor theme="1"/>
        <bgColor indexed="64"/>
      </patternFill>
    </fill>
    <fill>
      <patternFill patternType="solid">
        <fgColor theme="0"/>
        <bgColor indexed="64"/>
      </patternFill>
    </fill>
    <fill>
      <patternFill patternType="solid">
        <fgColor rgb="FFF2F2F2"/>
        <bgColor indexed="64"/>
      </patternFill>
    </fill>
    <fill>
      <patternFill patternType="solid">
        <fgColor theme="0" tint="-0.249977111117893"/>
        <bgColor indexed="64"/>
      </patternFill>
    </fill>
    <fill>
      <patternFill patternType="solid">
        <fgColor rgb="FFC0C0C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auto="1"/>
      </left>
      <right style="thin">
        <color auto="1"/>
      </right>
      <top/>
      <bottom style="thin">
        <color auto="1"/>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ck">
        <color auto="1"/>
      </left>
      <right style="thick">
        <color auto="1"/>
      </right>
      <top style="thick">
        <color auto="1"/>
      </top>
      <bottom style="thick">
        <color auto="1"/>
      </bottom>
      <diagonal/>
    </border>
    <border>
      <left style="thin">
        <color rgb="FFC00000"/>
      </left>
      <right style="thin">
        <color rgb="FFC00000"/>
      </right>
      <top style="thin">
        <color rgb="FFC00000"/>
      </top>
      <bottom style="thin">
        <color rgb="FFC00000"/>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rgb="FFC00000"/>
      </left>
      <right style="thin">
        <color rgb="FFC00000"/>
      </right>
      <top style="thin">
        <color rgb="FFC00000"/>
      </top>
      <bottom/>
      <diagonal/>
    </border>
    <border>
      <left style="thick">
        <color indexed="64"/>
      </left>
      <right/>
      <top/>
      <bottom/>
      <diagonal/>
    </border>
    <border>
      <left style="thick">
        <color auto="1"/>
      </left>
      <right style="thick">
        <color auto="1"/>
      </right>
      <top style="thick">
        <color auto="1"/>
      </top>
      <bottom/>
      <diagonal/>
    </border>
    <border>
      <left style="thin">
        <color rgb="FFC00000"/>
      </left>
      <right/>
      <top style="thin">
        <color rgb="FFC00000"/>
      </top>
      <bottom style="thin">
        <color rgb="FFC00000"/>
      </bottom>
      <diagonal/>
    </border>
    <border>
      <left/>
      <right style="thin">
        <color rgb="FFC00000"/>
      </right>
      <top style="thin">
        <color rgb="FFC00000"/>
      </top>
      <bottom style="thin">
        <color rgb="FFC00000"/>
      </bottom>
      <diagonal/>
    </border>
    <border>
      <left style="thin">
        <color rgb="FFC00000"/>
      </left>
      <right style="thin">
        <color rgb="FFC00000"/>
      </right>
      <top/>
      <bottom/>
      <diagonal/>
    </border>
  </borders>
  <cellStyleXfs count="42">
    <xf numFmtId="0" fontId="0" fillId="0" borderId="0"/>
    <xf numFmtId="0" fontId="36" fillId="0" borderId="0" applyNumberFormat="0" applyFill="0" applyBorder="0" applyAlignment="0" applyProtection="0"/>
    <xf numFmtId="0" fontId="32" fillId="18" borderId="1" applyNumberFormat="0">
      <alignment horizontal="left" vertical="center" wrapText="1"/>
    </xf>
    <xf numFmtId="0" fontId="34" fillId="25" borderId="1" applyNumberFormat="0">
      <alignment horizontal="left" vertical="center" wrapText="1"/>
      <protection locked="0"/>
    </xf>
    <xf numFmtId="9" fontId="5" fillId="0" borderId="0" applyFont="0" applyFill="0" applyBorder="0" applyAlignment="0" applyProtection="0"/>
    <xf numFmtId="0" fontId="37" fillId="0" borderId="0" applyNumberFormat="0" applyFill="0" applyBorder="0" applyAlignment="0" applyProtection="0"/>
    <xf numFmtId="0" fontId="24" fillId="0" borderId="0" applyNumberFormat="0" applyFill="0" applyBorder="0" applyAlignment="0" applyProtection="0"/>
    <xf numFmtId="0" fontId="25" fillId="0" borderId="15" applyNumberFormat="0" applyFill="0" applyAlignment="0" applyProtection="0"/>
    <xf numFmtId="0" fontId="26" fillId="0" borderId="16" applyNumberFormat="0" applyFill="0" applyAlignment="0" applyProtection="0"/>
    <xf numFmtId="0" fontId="27" fillId="0" borderId="17" applyNumberFormat="0" applyFill="0" applyAlignment="0" applyProtection="0"/>
    <xf numFmtId="0" fontId="27" fillId="0" borderId="0" applyNumberFormat="0" applyFill="0" applyBorder="0" applyAlignment="0" applyProtection="0"/>
    <xf numFmtId="0" fontId="28" fillId="11" borderId="0" applyNumberFormat="0" applyBorder="0" applyAlignment="0" applyProtection="0"/>
    <xf numFmtId="0" fontId="29" fillId="12" borderId="0" applyNumberFormat="0" applyBorder="0" applyAlignment="0" applyProtection="0"/>
    <xf numFmtId="0" fontId="30" fillId="13" borderId="0" applyNumberFormat="0" applyBorder="0" applyAlignment="0" applyProtection="0"/>
    <xf numFmtId="0" fontId="6" fillId="14" borderId="5" applyNumberFormat="0" applyAlignment="0" applyProtection="0"/>
    <xf numFmtId="0" fontId="5" fillId="15" borderId="18" applyNumberFormat="0" applyFont="0" applyAlignment="0" applyProtection="0"/>
    <xf numFmtId="0" fontId="22" fillId="0" borderId="19" applyNumberFormat="0" applyFill="0" applyAlignment="0" applyProtection="0"/>
    <xf numFmtId="0" fontId="31" fillId="16" borderId="1" applyNumberFormat="0" applyAlignment="0" applyProtection="0">
      <alignment horizontal="left" vertical="center"/>
    </xf>
    <xf numFmtId="0" fontId="35" fillId="18" borderId="1" applyNumberFormat="0">
      <alignment vertical="center" wrapText="1"/>
    </xf>
    <xf numFmtId="0" fontId="13" fillId="21" borderId="1">
      <alignment horizontal="centerContinuous" vertical="center" wrapText="1"/>
    </xf>
    <xf numFmtId="0" fontId="33" fillId="10" borderId="1">
      <alignment horizontal="centerContinuous" vertical="center" wrapText="1"/>
    </xf>
    <xf numFmtId="0" fontId="13" fillId="10" borderId="1">
      <alignment horizontal="centerContinuous" vertical="center" wrapText="1"/>
    </xf>
    <xf numFmtId="0" fontId="52" fillId="21" borderId="0">
      <alignment horizontal="centerContinuous" vertical="center" wrapText="1"/>
    </xf>
    <xf numFmtId="0" fontId="13" fillId="16" borderId="1">
      <alignment horizontal="center" vertical="center" wrapText="1"/>
    </xf>
    <xf numFmtId="0" fontId="35" fillId="0" borderId="1" applyNumberFormat="0">
      <alignment horizontal="left" vertical="center" wrapText="1"/>
    </xf>
    <xf numFmtId="0" fontId="21" fillId="17" borderId="0" applyNumberFormat="0" applyAlignment="0">
      <alignment horizontal="center" vertical="center"/>
    </xf>
    <xf numFmtId="0" fontId="13" fillId="17" borderId="21">
      <alignment horizontal="left" wrapText="1"/>
    </xf>
    <xf numFmtId="0" fontId="14" fillId="0" borderId="22" applyNumberFormat="0"/>
    <xf numFmtId="0" fontId="40" fillId="5" borderId="23" applyNumberFormat="0" applyAlignment="0" applyProtection="0"/>
    <xf numFmtId="0" fontId="41" fillId="19" borderId="24" applyNumberFormat="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 fillId="20" borderId="0" applyNumberFormat="0" applyBorder="0" applyAlignment="0" applyProtection="0"/>
    <xf numFmtId="0" fontId="41" fillId="21" borderId="0">
      <alignment horizontal="centerContinuous"/>
    </xf>
    <xf numFmtId="0" fontId="31" fillId="10" borderId="1">
      <alignment horizontal="centerContinuous" vertical="center" wrapText="1"/>
    </xf>
    <xf numFmtId="0" fontId="13" fillId="23" borderId="1">
      <alignment horizontal="center" vertical="center" wrapText="1"/>
    </xf>
    <xf numFmtId="0" fontId="13" fillId="23" borderId="1">
      <alignment horizontal="center" vertical="center" wrapText="1"/>
    </xf>
    <xf numFmtId="44" fontId="14" fillId="0" borderId="0" applyFont="0" applyFill="0" applyBorder="0" applyAlignment="0" applyProtection="0"/>
    <xf numFmtId="167" fontId="35" fillId="18" borderId="1">
      <alignment vertical="center" wrapText="1"/>
    </xf>
    <xf numFmtId="9" fontId="3" fillId="0" borderId="0" applyFont="0" applyFill="0" applyBorder="0" applyAlignment="0" applyProtection="0"/>
    <xf numFmtId="9" fontId="3" fillId="0" borderId="0" applyFont="0" applyFill="0" applyBorder="0" applyAlignment="0" applyProtection="0"/>
    <xf numFmtId="0" fontId="2" fillId="0" borderId="0"/>
  </cellStyleXfs>
  <cellXfs count="302">
    <xf numFmtId="0" fontId="0" fillId="0" borderId="0" xfId="0"/>
    <xf numFmtId="0" fontId="7" fillId="0" borderId="0" xfId="0" applyFont="1" applyAlignment="1">
      <alignment horizontal="left" wrapText="1" indent="1"/>
    </xf>
    <xf numFmtId="0" fontId="0" fillId="2" borderId="1" xfId="0" applyFill="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1" xfId="0" applyBorder="1"/>
    <xf numFmtId="0" fontId="0" fillId="0" borderId="0" xfId="0" applyAlignment="1">
      <alignment horizontal="center"/>
    </xf>
    <xf numFmtId="0" fontId="0" fillId="2" borderId="1" xfId="0" applyFill="1" applyBorder="1"/>
    <xf numFmtId="0" fontId="7" fillId="0" borderId="0" xfId="0" applyFont="1" applyAlignment="1">
      <alignment horizontal="left"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17" fillId="0" borderId="0" xfId="0" applyFont="1" applyAlignment="1">
      <alignment horizontal="left" vertical="center" wrapText="1"/>
    </xf>
    <xf numFmtId="0" fontId="0" fillId="0" borderId="0" xfId="0" applyAlignment="1">
      <alignment wrapText="1"/>
    </xf>
    <xf numFmtId="165" fontId="7" fillId="0" borderId="0" xfId="0" applyNumberFormat="1" applyFont="1" applyAlignment="1">
      <alignment horizontal="left" wrapText="1"/>
    </xf>
    <xf numFmtId="0" fontId="0" fillId="7" borderId="1" xfId="0" applyFill="1" applyBorder="1"/>
    <xf numFmtId="0" fontId="0" fillId="7" borderId="4" xfId="0" applyFill="1" applyBorder="1"/>
    <xf numFmtId="3" fontId="0" fillId="7" borderId="1" xfId="0" applyNumberFormat="1" applyFill="1" applyBorder="1"/>
    <xf numFmtId="3" fontId="0" fillId="7" borderId="4" xfId="0" applyNumberFormat="1" applyFill="1" applyBorder="1"/>
    <xf numFmtId="0" fontId="18" fillId="0" borderId="0" xfId="0" applyFont="1" applyAlignment="1">
      <alignment horizontal="left" vertical="center" wrapText="1"/>
    </xf>
    <xf numFmtId="0" fontId="0" fillId="0" borderId="0" xfId="0" applyAlignment="1">
      <alignment vertical="center" wrapText="1"/>
    </xf>
    <xf numFmtId="0" fontId="0" fillId="0" borderId="1" xfId="0" applyBorder="1" applyAlignment="1">
      <alignment horizontal="center" vertical="center"/>
    </xf>
    <xf numFmtId="0" fontId="20" fillId="0" borderId="0" xfId="0" applyFont="1"/>
    <xf numFmtId="0" fontId="0" fillId="8" borderId="1" xfId="0" applyFill="1" applyBorder="1" applyAlignment="1">
      <alignment horizontal="center" vertical="center"/>
    </xf>
    <xf numFmtId="3" fontId="0" fillId="8" borderId="1" xfId="0" applyNumberFormat="1" applyFill="1"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vertical="center"/>
    </xf>
    <xf numFmtId="9" fontId="0" fillId="0" borderId="1" xfId="4" applyFont="1" applyBorder="1" applyAlignment="1">
      <alignment horizontal="center" vertical="center"/>
    </xf>
    <xf numFmtId="0" fontId="0" fillId="0" borderId="1" xfId="0" applyBorder="1" applyAlignment="1">
      <alignment horizontal="left" vertical="center"/>
    </xf>
    <xf numFmtId="0" fontId="0" fillId="0" borderId="0" xfId="0" applyAlignment="1">
      <alignment horizontal="center" vertical="center" wrapText="1"/>
    </xf>
    <xf numFmtId="9" fontId="9" fillId="2" borderId="1" xfId="4" applyFont="1" applyFill="1" applyBorder="1" applyAlignment="1">
      <alignment horizontal="center" vertical="center"/>
    </xf>
    <xf numFmtId="164" fontId="0" fillId="0" borderId="1" xfId="4" applyNumberFormat="1" applyFont="1" applyBorder="1" applyAlignment="1">
      <alignment horizontal="center" vertical="center"/>
    </xf>
    <xf numFmtId="166" fontId="0" fillId="7" borderId="4" xfId="0" applyNumberFormat="1" applyFill="1" applyBorder="1"/>
    <xf numFmtId="0" fontId="0" fillId="6" borderId="2" xfId="0" applyFill="1" applyBorder="1"/>
    <xf numFmtId="3" fontId="0" fillId="6" borderId="2" xfId="0" applyNumberFormat="1" applyFill="1" applyBorder="1"/>
    <xf numFmtId="0" fontId="0" fillId="6" borderId="9" xfId="0" applyFill="1" applyBorder="1"/>
    <xf numFmtId="0" fontId="12" fillId="0" borderId="0" xfId="0" applyFont="1" applyAlignment="1">
      <alignment horizontal="left" vertical="center" wrapText="1" indent="1"/>
    </xf>
    <xf numFmtId="165" fontId="0" fillId="0" borderId="0" xfId="0" applyNumberFormat="1"/>
    <xf numFmtId="0" fontId="7" fillId="0" borderId="0" xfId="0" applyFont="1" applyAlignment="1">
      <alignment horizontal="left" vertical="center" wrapText="1" indent="1"/>
    </xf>
    <xf numFmtId="164" fontId="0" fillId="0" borderId="0" xfId="0" applyNumberFormat="1"/>
    <xf numFmtId="0" fontId="0" fillId="9" borderId="1" xfId="0" applyFill="1" applyBorder="1"/>
    <xf numFmtId="0" fontId="0" fillId="9" borderId="4" xfId="0" applyFill="1" applyBorder="1"/>
    <xf numFmtId="166" fontId="0" fillId="9" borderId="4" xfId="0" applyNumberFormat="1" applyFill="1" applyBorder="1"/>
    <xf numFmtId="2" fontId="0" fillId="7" borderId="3" xfId="0" applyNumberFormat="1" applyFill="1" applyBorder="1"/>
    <xf numFmtId="2" fontId="0" fillId="0" borderId="0" xfId="0" applyNumberFormat="1"/>
    <xf numFmtId="2" fontId="0" fillId="9" borderId="1" xfId="0" applyNumberFormat="1" applyFill="1" applyBorder="1"/>
    <xf numFmtId="2" fontId="0" fillId="7" borderId="1" xfId="0" applyNumberFormat="1" applyFill="1" applyBorder="1"/>
    <xf numFmtId="2" fontId="0" fillId="6" borderId="2" xfId="0" applyNumberFormat="1" applyFill="1" applyBorder="1"/>
    <xf numFmtId="0" fontId="0" fillId="0" borderId="0" xfId="0" applyAlignment="1">
      <alignment horizontal="left"/>
    </xf>
    <xf numFmtId="0" fontId="23" fillId="0" borderId="0" xfId="0" applyFont="1" applyAlignment="1">
      <alignment horizontal="left" wrapText="1"/>
    </xf>
    <xf numFmtId="14" fontId="34" fillId="25" borderId="1" xfId="3" applyNumberFormat="1">
      <alignment horizontal="left" vertical="center" wrapText="1"/>
      <protection locked="0"/>
    </xf>
    <xf numFmtId="0" fontId="13" fillId="21" borderId="1" xfId="19">
      <alignment horizontal="centerContinuous" vertical="center" wrapText="1"/>
    </xf>
    <xf numFmtId="0" fontId="35" fillId="0" borderId="0" xfId="24" applyBorder="1">
      <alignment horizontal="left" vertical="center" wrapText="1"/>
    </xf>
    <xf numFmtId="0" fontId="31" fillId="16" borderId="1" xfId="17" applyAlignment="1"/>
    <xf numFmtId="0" fontId="21" fillId="17" borderId="0" xfId="25">
      <alignment horizontal="center" vertical="center"/>
    </xf>
    <xf numFmtId="0" fontId="13" fillId="17" borderId="21" xfId="26">
      <alignment horizontal="left" wrapText="1"/>
    </xf>
    <xf numFmtId="0" fontId="13" fillId="17" borderId="21" xfId="26" applyAlignment="1">
      <alignment horizontal="left"/>
    </xf>
    <xf numFmtId="0" fontId="14" fillId="0" borderId="22" xfId="27"/>
    <xf numFmtId="3" fontId="0" fillId="0" borderId="0" xfId="0" applyNumberFormat="1"/>
    <xf numFmtId="0" fontId="34" fillId="25" borderId="1" xfId="3" applyAlignment="1">
      <alignment horizontal="center" vertical="center" wrapText="1"/>
      <protection locked="0"/>
    </xf>
    <xf numFmtId="0" fontId="52" fillId="21" borderId="0" xfId="22" applyAlignment="1">
      <alignment horizontal="left" vertical="center" wrapText="1"/>
    </xf>
    <xf numFmtId="0" fontId="0" fillId="0" borderId="13" xfId="0" applyBorder="1" applyAlignment="1">
      <alignment horizontal="left" wrapText="1"/>
    </xf>
    <xf numFmtId="0" fontId="35" fillId="18" borderId="1" xfId="18" applyAlignment="1">
      <alignment horizontal="center" vertical="center" wrapText="1"/>
    </xf>
    <xf numFmtId="0" fontId="47" fillId="0" borderId="0" xfId="0" applyFont="1"/>
    <xf numFmtId="0" fontId="35" fillId="18" borderId="4" xfId="18" applyBorder="1" applyAlignment="1">
      <alignment horizontal="center" vertical="center" wrapText="1"/>
    </xf>
    <xf numFmtId="0" fontId="35" fillId="18" borderId="9" xfId="18" applyBorder="1" applyAlignment="1">
      <alignment horizontal="center" vertical="center" wrapText="1"/>
    </xf>
    <xf numFmtId="3" fontId="34" fillId="25" borderId="1" xfId="3" applyNumberFormat="1" applyAlignment="1">
      <alignment horizontal="center" vertical="center" wrapText="1"/>
      <protection locked="0"/>
    </xf>
    <xf numFmtId="165" fontId="34" fillId="25" borderId="1" xfId="3" applyNumberFormat="1" applyAlignment="1">
      <alignment horizontal="center" vertical="center" wrapText="1"/>
      <protection locked="0"/>
    </xf>
    <xf numFmtId="164" fontId="35" fillId="18" borderId="1" xfId="18" applyNumberFormat="1" applyAlignment="1">
      <alignment horizontal="center" vertical="center" wrapText="1"/>
    </xf>
    <xf numFmtId="3" fontId="35" fillId="18" borderId="1" xfId="18" applyNumberFormat="1" applyAlignment="1">
      <alignment horizontal="center" vertical="center" wrapText="1"/>
    </xf>
    <xf numFmtId="167" fontId="35" fillId="18" borderId="1" xfId="18" applyNumberFormat="1" applyAlignment="1">
      <alignment horizontal="center" vertical="center" wrapText="1"/>
    </xf>
    <xf numFmtId="0" fontId="35" fillId="18" borderId="2" xfId="18" applyBorder="1" applyAlignment="1">
      <alignment horizontal="center" vertical="center" wrapText="1"/>
    </xf>
    <xf numFmtId="0" fontId="39" fillId="0" borderId="0" xfId="0" applyFont="1"/>
    <xf numFmtId="165" fontId="14" fillId="0" borderId="22" xfId="27" applyNumberFormat="1"/>
    <xf numFmtId="168" fontId="35" fillId="18" borderId="1" xfId="18" applyNumberFormat="1" applyAlignment="1">
      <alignment horizontal="center" vertical="center" wrapText="1"/>
    </xf>
    <xf numFmtId="0" fontId="21" fillId="17" borderId="0" xfId="25" applyAlignment="1"/>
    <xf numFmtId="167" fontId="48" fillId="18" borderId="1" xfId="18" applyNumberFormat="1" applyFont="1" applyAlignment="1">
      <alignment horizontal="center" vertical="center" wrapText="1"/>
    </xf>
    <xf numFmtId="0" fontId="13" fillId="16" borderId="1" xfId="23" applyAlignment="1">
      <alignment vertical="center" wrapText="1"/>
    </xf>
    <xf numFmtId="0" fontId="0" fillId="0" borderId="0" xfId="0" applyAlignment="1">
      <alignment horizontal="center" wrapText="1"/>
    </xf>
    <xf numFmtId="165" fontId="0" fillId="0" borderId="0" xfId="0" applyNumberFormat="1" applyAlignment="1">
      <alignment horizontal="center"/>
    </xf>
    <xf numFmtId="2" fontId="0" fillId="0" borderId="0" xfId="0" applyNumberFormat="1" applyAlignment="1">
      <alignment horizontal="center"/>
    </xf>
    <xf numFmtId="4" fontId="0" fillId="0" borderId="0" xfId="0" applyNumberFormat="1" applyAlignment="1">
      <alignment horizontal="center"/>
    </xf>
    <xf numFmtId="3" fontId="0" fillId="0" borderId="0" xfId="0" applyNumberFormat="1" applyAlignment="1">
      <alignment horizontal="center"/>
    </xf>
    <xf numFmtId="9" fontId="0" fillId="0" borderId="0" xfId="4" applyFont="1" applyAlignment="1">
      <alignment horizontal="center"/>
    </xf>
    <xf numFmtId="9" fontId="14" fillId="0" borderId="22" xfId="27" applyNumberFormat="1"/>
    <xf numFmtId="0" fontId="21" fillId="17" borderId="0" xfId="25" applyAlignment="1">
      <alignment horizontal="center" vertical="center" wrapText="1"/>
    </xf>
    <xf numFmtId="1" fontId="21" fillId="17" borderId="0" xfId="25" applyNumberFormat="1" applyAlignment="1">
      <alignment horizontal="center" vertical="center" wrapText="1"/>
    </xf>
    <xf numFmtId="0" fontId="0" fillId="0" borderId="0" xfId="0" applyAlignment="1">
      <alignment horizontal="left" vertical="top" wrapText="1"/>
    </xf>
    <xf numFmtId="0" fontId="0" fillId="0" borderId="0" xfId="0" applyAlignment="1">
      <alignment horizontal="left" wrapText="1"/>
    </xf>
    <xf numFmtId="0" fontId="0" fillId="9" borderId="12" xfId="0" applyFill="1" applyBorder="1"/>
    <xf numFmtId="0" fontId="0" fillId="7" borderId="12" xfId="0" applyFill="1" applyBorder="1"/>
    <xf numFmtId="0" fontId="19" fillId="3" borderId="14" xfId="0" applyFont="1" applyFill="1" applyBorder="1" applyAlignment="1">
      <alignment wrapText="1"/>
    </xf>
    <xf numFmtId="0" fontId="19" fillId="3" borderId="10" xfId="0" applyFont="1" applyFill="1" applyBorder="1" applyAlignment="1">
      <alignment wrapText="1"/>
    </xf>
    <xf numFmtId="0" fontId="19" fillId="3" borderId="8" xfId="0" applyFont="1" applyFill="1" applyBorder="1" applyAlignment="1">
      <alignment wrapText="1"/>
    </xf>
    <xf numFmtId="2" fontId="19" fillId="3" borderId="10" xfId="0" applyNumberFormat="1" applyFont="1" applyFill="1" applyBorder="1" applyAlignment="1">
      <alignment wrapText="1"/>
    </xf>
    <xf numFmtId="0" fontId="19" fillId="3" borderId="13" xfId="0" applyFont="1" applyFill="1" applyBorder="1" applyAlignment="1">
      <alignment wrapText="1"/>
    </xf>
    <xf numFmtId="1" fontId="0" fillId="6" borderId="9" xfId="0" applyNumberFormat="1" applyFill="1" applyBorder="1"/>
    <xf numFmtId="3" fontId="0" fillId="6" borderId="9" xfId="0" applyNumberFormat="1" applyFill="1" applyBorder="1"/>
    <xf numFmtId="0" fontId="0" fillId="6" borderId="11" xfId="0" applyFill="1" applyBorder="1"/>
    <xf numFmtId="9" fontId="0" fillId="0" borderId="0" xfId="0" applyNumberFormat="1"/>
    <xf numFmtId="0" fontId="14" fillId="0" borderId="28" xfId="27" applyBorder="1"/>
    <xf numFmtId="9" fontId="0" fillId="0" borderId="1" xfId="0" applyNumberFormat="1" applyBorder="1"/>
    <xf numFmtId="0" fontId="13" fillId="17" borderId="0" xfId="26" applyBorder="1">
      <alignment horizontal="left" wrapText="1"/>
    </xf>
    <xf numFmtId="2" fontId="0" fillId="7" borderId="7" xfId="0" applyNumberFormat="1" applyFill="1" applyBorder="1"/>
    <xf numFmtId="169" fontId="0" fillId="9" borderId="1" xfId="0" applyNumberFormat="1" applyFill="1" applyBorder="1"/>
    <xf numFmtId="169" fontId="0" fillId="7" borderId="1" xfId="0" applyNumberFormat="1" applyFill="1" applyBorder="1"/>
    <xf numFmtId="169" fontId="0" fillId="6" borderId="2" xfId="0" applyNumberFormat="1" applyFill="1" applyBorder="1"/>
    <xf numFmtId="0" fontId="52" fillId="0" borderId="0" xfId="22" applyFill="1" applyAlignment="1">
      <alignment vertical="center" wrapText="1"/>
    </xf>
    <xf numFmtId="0" fontId="52" fillId="0" borderId="0" xfId="22" applyFill="1">
      <alignment horizontal="centerContinuous" vertical="center" wrapText="1"/>
    </xf>
    <xf numFmtId="0" fontId="13" fillId="16" borderId="3" xfId="23" applyBorder="1" applyAlignment="1">
      <alignment vertical="center" wrapText="1"/>
    </xf>
    <xf numFmtId="0" fontId="0" fillId="0" borderId="29" xfId="0" applyBorder="1" applyAlignment="1">
      <alignment wrapText="1"/>
    </xf>
    <xf numFmtId="0" fontId="0" fillId="0" borderId="29" xfId="0" applyBorder="1"/>
    <xf numFmtId="0" fontId="0" fillId="27" borderId="0" xfId="0" applyFill="1"/>
    <xf numFmtId="0" fontId="13" fillId="17" borderId="30" xfId="26" applyBorder="1" applyAlignment="1">
      <alignment horizontal="left"/>
    </xf>
    <xf numFmtId="0" fontId="14" fillId="0" borderId="31" xfId="27" applyBorder="1"/>
    <xf numFmtId="0" fontId="14" fillId="0" borderId="32" xfId="27" applyBorder="1"/>
    <xf numFmtId="0" fontId="14" fillId="0" borderId="1" xfId="27" applyBorder="1"/>
    <xf numFmtId="0" fontId="13" fillId="17" borderId="0" xfId="25" applyFont="1" applyAlignment="1">
      <alignment horizontal="center" vertical="center" wrapText="1"/>
    </xf>
    <xf numFmtId="0" fontId="13" fillId="16" borderId="0" xfId="23" applyBorder="1">
      <alignment horizontal="center" vertical="center" wrapText="1"/>
    </xf>
    <xf numFmtId="2" fontId="21" fillId="17" borderId="0" xfId="25" applyNumberFormat="1" applyAlignment="1">
      <alignment horizontal="center" vertical="center" wrapText="1"/>
    </xf>
    <xf numFmtId="169" fontId="21" fillId="17" borderId="0" xfId="25" applyNumberFormat="1" applyAlignment="1">
      <alignment horizontal="center" vertical="center" wrapText="1"/>
    </xf>
    <xf numFmtId="0" fontId="0" fillId="2" borderId="1" xfId="0" applyFill="1" applyBorder="1" applyAlignment="1">
      <alignment vertical="center" wrapText="1"/>
    </xf>
    <xf numFmtId="166" fontId="48" fillId="18" borderId="1" xfId="18" applyNumberFormat="1" applyFont="1" applyAlignment="1">
      <alignment horizontal="center" vertical="center" wrapText="1"/>
    </xf>
    <xf numFmtId="0" fontId="39" fillId="0" borderId="0" xfId="0" applyFont="1" applyAlignment="1">
      <alignment horizontal="center"/>
    </xf>
    <xf numFmtId="2" fontId="0" fillId="9" borderId="3" xfId="0" applyNumberFormat="1" applyFill="1" applyBorder="1"/>
    <xf numFmtId="9" fontId="14" fillId="0" borderId="0" xfId="0" applyNumberFormat="1" applyFont="1" applyAlignment="1">
      <alignment horizontal="center"/>
    </xf>
    <xf numFmtId="0" fontId="21" fillId="17" borderId="0" xfId="25" applyNumberFormat="1" applyAlignment="1">
      <alignment horizontal="center" vertical="center" wrapText="1"/>
    </xf>
    <xf numFmtId="0" fontId="21" fillId="17" borderId="0" xfId="25" applyNumberFormat="1" applyAlignment="1">
      <alignment vertical="center"/>
    </xf>
    <xf numFmtId="0" fontId="21" fillId="17" borderId="0" xfId="25" applyNumberFormat="1" applyAlignment="1">
      <alignment horizontal="center" vertical="center"/>
    </xf>
    <xf numFmtId="0" fontId="21" fillId="17" borderId="0" xfId="25" applyNumberFormat="1" applyAlignment="1">
      <alignment horizontal="center"/>
    </xf>
    <xf numFmtId="0" fontId="21" fillId="17" borderId="0" xfId="25" applyAlignment="1">
      <alignment horizontal="center" vertical="center"/>
    </xf>
    <xf numFmtId="164" fontId="35" fillId="0" borderId="1" xfId="24" applyNumberFormat="1" applyAlignment="1" applyProtection="1">
      <alignment horizontal="center" vertical="center" wrapText="1"/>
      <protection hidden="1"/>
    </xf>
    <xf numFmtId="167" fontId="35" fillId="0" borderId="1" xfId="24" applyNumberFormat="1" applyAlignment="1" applyProtection="1">
      <alignment horizontal="center" vertical="center" wrapText="1"/>
      <protection hidden="1"/>
    </xf>
    <xf numFmtId="170" fontId="14" fillId="0" borderId="22" xfId="27" applyNumberFormat="1"/>
    <xf numFmtId="171" fontId="0" fillId="4" borderId="1" xfId="4" applyNumberFormat="1" applyFont="1" applyFill="1" applyBorder="1" applyAlignment="1">
      <alignment horizontal="center" vertical="center"/>
    </xf>
    <xf numFmtId="170" fontId="0" fillId="0" borderId="0" xfId="0" applyNumberFormat="1"/>
    <xf numFmtId="0" fontId="0" fillId="0" borderId="0" xfId="0" applyAlignment="1">
      <alignment horizontal="left" vertical="center" wrapText="1"/>
    </xf>
    <xf numFmtId="0" fontId="39" fillId="0" borderId="0" xfId="0" applyFont="1" applyAlignment="1">
      <alignment horizontal="center" vertical="center" wrapText="1"/>
    </xf>
    <xf numFmtId="164" fontId="53" fillId="0" borderId="0" xfId="0" applyNumberFormat="1" applyFont="1"/>
    <xf numFmtId="0" fontId="2" fillId="2" borderId="1" xfId="41" applyFill="1" applyBorder="1"/>
    <xf numFmtId="0" fontId="2" fillId="0" borderId="0" xfId="41"/>
    <xf numFmtId="0" fontId="2" fillId="0" borderId="1" xfId="41" applyBorder="1"/>
    <xf numFmtId="166" fontId="2" fillId="0" borderId="1" xfId="41" applyNumberFormat="1" applyBorder="1"/>
    <xf numFmtId="0" fontId="2" fillId="0" borderId="1" xfId="41" applyBorder="1" applyAlignment="1">
      <alignment wrapText="1"/>
    </xf>
    <xf numFmtId="14" fontId="2" fillId="0" borderId="1" xfId="41" applyNumberFormat="1" applyBorder="1"/>
    <xf numFmtId="172" fontId="0" fillId="0" borderId="0" xfId="0" applyNumberFormat="1"/>
    <xf numFmtId="172" fontId="53" fillId="0" borderId="0" xfId="0" applyNumberFormat="1" applyFont="1"/>
    <xf numFmtId="169" fontId="0" fillId="0" borderId="0" xfId="0" applyNumberFormat="1"/>
    <xf numFmtId="0" fontId="14" fillId="0" borderId="33" xfId="27" applyBorder="1"/>
    <xf numFmtId="0" fontId="7" fillId="0" borderId="7" xfId="0" applyFont="1" applyBorder="1" applyAlignment="1">
      <alignment horizontal="left" vertical="top" wrapText="1"/>
    </xf>
    <xf numFmtId="0" fontId="7" fillId="0" borderId="0" xfId="0" applyFont="1"/>
    <xf numFmtId="14" fontId="34" fillId="4" borderId="1" xfId="3" applyNumberFormat="1" applyFill="1">
      <alignment horizontal="left" vertical="center" wrapText="1"/>
      <protection locked="0"/>
    </xf>
    <xf numFmtId="14" fontId="57" fillId="4" borderId="1" xfId="3" applyNumberFormat="1" applyFont="1" applyFill="1">
      <alignment horizontal="left" vertical="center" wrapText="1"/>
      <protection locked="0"/>
    </xf>
    <xf numFmtId="0" fontId="57" fillId="4" borderId="1" xfId="3" applyFont="1" applyFill="1">
      <alignment horizontal="left" vertical="center" wrapText="1"/>
      <protection locked="0"/>
    </xf>
    <xf numFmtId="3" fontId="57" fillId="4" borderId="1" xfId="3" applyNumberFormat="1" applyFont="1" applyFill="1">
      <alignment horizontal="left" vertical="center" wrapText="1"/>
      <protection locked="0"/>
    </xf>
    <xf numFmtId="164" fontId="57" fillId="4" borderId="1" xfId="3" applyNumberFormat="1" applyFont="1" applyFill="1">
      <alignment horizontal="left" vertical="center" wrapText="1"/>
      <protection locked="0"/>
    </xf>
    <xf numFmtId="0" fontId="56" fillId="18" borderId="1" xfId="0" applyFont="1" applyFill="1" applyBorder="1" applyAlignment="1">
      <alignment horizontal="left" vertical="center" wrapText="1"/>
    </xf>
    <xf numFmtId="0" fontId="58" fillId="24" borderId="1" xfId="0" applyFont="1" applyFill="1" applyBorder="1" applyAlignment="1">
      <alignment horizontal="left" vertical="center" wrapText="1"/>
    </xf>
    <xf numFmtId="0" fontId="56" fillId="18" borderId="1" xfId="18" applyFont="1" applyAlignment="1">
      <alignment horizontal="left" vertical="center" wrapText="1"/>
    </xf>
    <xf numFmtId="0" fontId="58" fillId="26" borderId="1" xfId="0" applyFont="1" applyFill="1" applyBorder="1" applyAlignment="1">
      <alignment horizontal="left" vertical="center" wrapText="1"/>
    </xf>
    <xf numFmtId="0" fontId="56" fillId="0" borderId="0" xfId="0" applyFont="1"/>
    <xf numFmtId="49" fontId="34" fillId="4" borderId="1" xfId="3" applyNumberFormat="1" applyFill="1">
      <alignment horizontal="left" vertical="center" wrapText="1"/>
      <protection locked="0"/>
    </xf>
    <xf numFmtId="0" fontId="63" fillId="0" borderId="0" xfId="1" applyFont="1" applyBorder="1" applyAlignment="1">
      <alignment horizontal="left" vertical="top" wrapText="1"/>
    </xf>
    <xf numFmtId="0" fontId="58" fillId="21" borderId="1" xfId="19" applyFont="1">
      <alignment horizontal="centerContinuous" vertical="center" wrapText="1"/>
    </xf>
    <xf numFmtId="0" fontId="58" fillId="23" borderId="1" xfId="36" applyFont="1">
      <alignment horizontal="center" vertical="center" wrapText="1"/>
    </xf>
    <xf numFmtId="167" fontId="55" fillId="18" borderId="1" xfId="18" applyNumberFormat="1" applyFont="1" applyAlignment="1">
      <alignment horizontal="center" vertical="center" wrapText="1"/>
    </xf>
    <xf numFmtId="168" fontId="55" fillId="18" borderId="1" xfId="18" applyNumberFormat="1" applyFont="1" applyAlignment="1">
      <alignment horizontal="center" vertical="center" wrapText="1"/>
    </xf>
    <xf numFmtId="164" fontId="55" fillId="18" borderId="1" xfId="18" applyNumberFormat="1" applyFont="1" applyAlignment="1">
      <alignment horizontal="center" vertical="center" wrapText="1"/>
    </xf>
    <xf numFmtId="0" fontId="58" fillId="16" borderId="14" xfId="23" applyFont="1" applyBorder="1" applyAlignment="1">
      <alignment horizontal="left" vertical="center" wrapText="1"/>
    </xf>
    <xf numFmtId="0" fontId="58" fillId="16" borderId="10" xfId="17" applyFont="1" applyBorder="1" applyAlignment="1" applyProtection="1">
      <alignment horizontal="left" vertical="center" wrapText="1"/>
    </xf>
    <xf numFmtId="0" fontId="58" fillId="16" borderId="8" xfId="23" applyFont="1" applyBorder="1" applyAlignment="1">
      <alignment horizontal="left" vertical="center" wrapText="1"/>
    </xf>
    <xf numFmtId="0" fontId="58" fillId="16" borderId="10" xfId="23" applyFont="1" applyBorder="1" applyAlignment="1">
      <alignment horizontal="left" vertical="center" wrapText="1"/>
    </xf>
    <xf numFmtId="0" fontId="58" fillId="21" borderId="1" xfId="19" applyFont="1" applyAlignment="1">
      <alignment horizontal="left" vertical="center" wrapText="1"/>
    </xf>
    <xf numFmtId="0" fontId="58" fillId="21" borderId="10" xfId="19" applyFont="1" applyBorder="1" applyAlignment="1">
      <alignment horizontal="left" vertical="center" wrapText="1"/>
    </xf>
    <xf numFmtId="0" fontId="58" fillId="10" borderId="10" xfId="21" applyFont="1" applyBorder="1" applyAlignment="1">
      <alignment horizontal="left" vertical="center" wrapText="1"/>
    </xf>
    <xf numFmtId="0" fontId="0" fillId="0" borderId="0" xfId="0" applyAlignment="1">
      <alignment horizontal="left" vertical="center"/>
    </xf>
    <xf numFmtId="0" fontId="47" fillId="0" borderId="0" xfId="0" applyFont="1" applyAlignment="1">
      <alignment horizontal="left"/>
    </xf>
    <xf numFmtId="0" fontId="58" fillId="10" borderId="1" xfId="21" applyFont="1" applyAlignment="1">
      <alignment horizontal="left" vertical="center" wrapText="1"/>
    </xf>
    <xf numFmtId="0" fontId="58" fillId="10" borderId="3" xfId="21" applyFont="1" applyBorder="1" applyAlignment="1">
      <alignment horizontal="left" vertical="center" wrapText="1"/>
    </xf>
    <xf numFmtId="0" fontId="58" fillId="23" borderId="1" xfId="36" applyFont="1" applyAlignment="1">
      <alignment horizontal="left" vertical="center" wrapText="1"/>
    </xf>
    <xf numFmtId="0" fontId="34" fillId="4" borderId="1" xfId="3" applyFill="1" applyAlignment="1">
      <alignment horizontal="center" vertical="center" wrapText="1"/>
      <protection locked="0"/>
    </xf>
    <xf numFmtId="3" fontId="34" fillId="4" borderId="1" xfId="3" applyNumberFormat="1" applyFill="1" applyAlignment="1">
      <alignment horizontal="center" vertical="center" wrapText="1"/>
      <protection locked="0"/>
    </xf>
    <xf numFmtId="165" fontId="34" fillId="4" borderId="1" xfId="3" applyNumberFormat="1" applyFill="1" applyAlignment="1">
      <alignment horizontal="center" vertical="center" wrapText="1"/>
      <protection locked="0"/>
    </xf>
    <xf numFmtId="3" fontId="34" fillId="4" borderId="2" xfId="3" applyNumberFormat="1" applyFill="1" applyBorder="1" applyAlignment="1">
      <alignment horizontal="center" vertical="center" wrapText="1"/>
      <protection locked="0"/>
    </xf>
    <xf numFmtId="0" fontId="34" fillId="4" borderId="2" xfId="3" applyFill="1" applyBorder="1" applyAlignment="1">
      <alignment horizontal="center" vertical="center" wrapText="1"/>
      <protection locked="0"/>
    </xf>
    <xf numFmtId="165" fontId="34" fillId="4" borderId="2" xfId="3" applyNumberFormat="1" applyFill="1" applyBorder="1" applyAlignment="1">
      <alignment horizontal="center" vertical="center" wrapText="1"/>
      <protection locked="0"/>
    </xf>
    <xf numFmtId="164" fontId="55" fillId="28" borderId="4" xfId="18" applyNumberFormat="1" applyFont="1" applyFill="1" applyBorder="1" applyAlignment="1">
      <alignment horizontal="left" vertical="center" wrapText="1"/>
    </xf>
    <xf numFmtId="167" fontId="55" fillId="28" borderId="1" xfId="18" applyNumberFormat="1" applyFont="1" applyFill="1" applyAlignment="1">
      <alignment horizontal="left" vertical="center" wrapText="1"/>
    </xf>
    <xf numFmtId="168" fontId="55" fillId="28" borderId="1" xfId="18" applyNumberFormat="1" applyFont="1" applyFill="1" applyAlignment="1">
      <alignment horizontal="left" vertical="center" wrapText="1"/>
    </xf>
    <xf numFmtId="164" fontId="55" fillId="28" borderId="1" xfId="18" applyNumberFormat="1" applyFont="1" applyFill="1" applyAlignment="1">
      <alignment horizontal="left" vertical="center" wrapText="1"/>
    </xf>
    <xf numFmtId="0" fontId="7" fillId="18" borderId="4" xfId="18" applyFont="1" applyBorder="1" applyAlignment="1">
      <alignment horizontal="center" vertical="center" wrapText="1"/>
    </xf>
    <xf numFmtId="0" fontId="7" fillId="18" borderId="9" xfId="18" applyFont="1" applyBorder="1" applyAlignment="1">
      <alignment horizontal="center" vertical="center" wrapText="1"/>
    </xf>
    <xf numFmtId="0" fontId="34" fillId="29" borderId="1" xfId="3" applyFill="1" applyAlignment="1">
      <alignment horizontal="center" vertical="center" wrapText="1"/>
      <protection locked="0"/>
    </xf>
    <xf numFmtId="0" fontId="34" fillId="4" borderId="3" xfId="3" applyFill="1" applyBorder="1">
      <alignment horizontal="left" vertical="center" wrapText="1"/>
      <protection locked="0"/>
    </xf>
    <xf numFmtId="0" fontId="34" fillId="4" borderId="7" xfId="3" applyFill="1" applyBorder="1">
      <alignment horizontal="left" vertical="center" wrapText="1"/>
      <protection locked="0"/>
    </xf>
    <xf numFmtId="164" fontId="48" fillId="18" borderId="1" xfId="18" applyNumberFormat="1" applyFont="1" applyAlignment="1">
      <alignment horizontal="left" vertical="center" wrapText="1"/>
    </xf>
    <xf numFmtId="167" fontId="48" fillId="18" borderId="1" xfId="18" applyNumberFormat="1" applyFont="1" applyAlignment="1">
      <alignment horizontal="left" vertical="center" wrapText="1"/>
    </xf>
    <xf numFmtId="168" fontId="48" fillId="18" borderId="1" xfId="18" applyNumberFormat="1" applyFont="1" applyAlignment="1">
      <alignment horizontal="left" vertical="center" wrapText="1"/>
    </xf>
    <xf numFmtId="1" fontId="34" fillId="4" borderId="1" xfId="3" applyNumberFormat="1" applyFill="1" applyAlignment="1">
      <alignment horizontal="center" vertical="center" wrapText="1"/>
      <protection locked="0"/>
    </xf>
    <xf numFmtId="0" fontId="58" fillId="26" borderId="1" xfId="19" applyFont="1" applyFill="1" applyAlignment="1">
      <alignment horizontal="left" vertical="center" wrapText="1"/>
    </xf>
    <xf numFmtId="0" fontId="64" fillId="28" borderId="0" xfId="0" applyFont="1" applyFill="1" applyAlignment="1" applyProtection="1">
      <alignment horizontal="left" vertical="center" wrapText="1"/>
      <protection locked="0"/>
    </xf>
    <xf numFmtId="0" fontId="61" fillId="28" borderId="0" xfId="22" applyFont="1" applyFill="1" applyAlignment="1">
      <alignment horizontal="left" vertical="center" wrapText="1"/>
    </xf>
    <xf numFmtId="164" fontId="7" fillId="0" borderId="1" xfId="24" applyNumberFormat="1" applyFont="1" applyAlignment="1" applyProtection="1">
      <alignment horizontal="center" vertical="center" wrapText="1"/>
      <protection hidden="1"/>
    </xf>
    <xf numFmtId="167" fontId="7" fillId="0" borderId="1" xfId="24" applyNumberFormat="1" applyFont="1" applyAlignment="1" applyProtection="1">
      <alignment horizontal="center" vertical="center" wrapText="1"/>
      <protection hidden="1"/>
    </xf>
    <xf numFmtId="0" fontId="56" fillId="18" borderId="1" xfId="2" applyFont="1" applyAlignment="1">
      <alignment vertical="center" wrapText="1"/>
    </xf>
    <xf numFmtId="168" fontId="7" fillId="0" borderId="3" xfId="24" applyNumberFormat="1" applyFont="1" applyBorder="1" applyAlignment="1" applyProtection="1">
      <alignment horizontal="center" vertical="center" wrapText="1"/>
      <protection hidden="1"/>
    </xf>
    <xf numFmtId="167" fontId="56" fillId="0" borderId="1" xfId="0" applyNumberFormat="1" applyFont="1" applyBorder="1" applyAlignment="1" applyProtection="1">
      <alignment horizontal="center" vertical="center" wrapText="1"/>
      <protection hidden="1"/>
    </xf>
    <xf numFmtId="168" fontId="56" fillId="0" borderId="3" xfId="24" applyNumberFormat="1" applyFont="1" applyBorder="1" applyAlignment="1" applyProtection="1">
      <alignment horizontal="center" vertical="center" wrapText="1"/>
      <protection hidden="1"/>
    </xf>
    <xf numFmtId="164" fontId="7" fillId="0" borderId="1" xfId="37" applyNumberFormat="1" applyFont="1" applyBorder="1" applyAlignment="1" applyProtection="1">
      <alignment horizontal="center" vertical="center" wrapText="1"/>
      <protection hidden="1"/>
    </xf>
    <xf numFmtId="167" fontId="7" fillId="0" borderId="3" xfId="24" applyNumberFormat="1" applyFont="1" applyBorder="1" applyAlignment="1" applyProtection="1">
      <alignment horizontal="center" vertical="center" wrapText="1"/>
      <protection hidden="1"/>
    </xf>
    <xf numFmtId="164" fontId="56" fillId="18" borderId="4" xfId="2" applyNumberFormat="1" applyFont="1" applyBorder="1" applyAlignment="1" applyProtection="1">
      <alignment horizontal="center" vertical="center" wrapText="1"/>
      <protection hidden="1"/>
    </xf>
    <xf numFmtId="164" fontId="56" fillId="0" borderId="1" xfId="0" applyNumberFormat="1" applyFont="1" applyBorder="1" applyAlignment="1" applyProtection="1">
      <alignment horizontal="center" vertical="center" wrapText="1"/>
      <protection hidden="1"/>
    </xf>
    <xf numFmtId="167" fontId="56" fillId="0" borderId="3" xfId="0" applyNumberFormat="1" applyFont="1" applyBorder="1" applyAlignment="1" applyProtection="1">
      <alignment horizontal="center" vertical="center" wrapText="1"/>
      <protection hidden="1"/>
    </xf>
    <xf numFmtId="165" fontId="7" fillId="0" borderId="0" xfId="0" applyNumberFormat="1" applyFont="1"/>
    <xf numFmtId="164" fontId="7" fillId="0" borderId="0" xfId="0" applyNumberFormat="1" applyFont="1"/>
    <xf numFmtId="164" fontId="56" fillId="18" borderId="4" xfId="2" applyNumberFormat="1" applyFont="1" applyBorder="1">
      <alignment horizontal="left" vertical="center" wrapText="1"/>
    </xf>
    <xf numFmtId="0" fontId="56" fillId="18" borderId="9" xfId="0" applyFont="1" applyFill="1" applyBorder="1" applyAlignment="1">
      <alignment horizontal="left" vertical="center" wrapText="1"/>
    </xf>
    <xf numFmtId="164" fontId="56" fillId="18" borderId="4" xfId="2" applyNumberFormat="1" applyFont="1" applyBorder="1" applyProtection="1">
      <alignment horizontal="left" vertical="center" wrapText="1"/>
      <protection hidden="1"/>
    </xf>
    <xf numFmtId="0" fontId="7" fillId="0" borderId="0" xfId="0" applyFont="1" applyAlignment="1">
      <alignment wrapText="1"/>
    </xf>
    <xf numFmtId="0" fontId="7" fillId="0" borderId="0" xfId="0" applyFont="1" applyAlignment="1">
      <alignment horizontal="left"/>
    </xf>
    <xf numFmtId="0" fontId="61" fillId="0" borderId="0" xfId="22" applyFont="1" applyFill="1" applyAlignment="1">
      <alignment vertical="center" wrapText="1"/>
    </xf>
    <xf numFmtId="0" fontId="58" fillId="10" borderId="1" xfId="21" applyFont="1" applyAlignment="1">
      <alignment horizontal="center" vertical="center" wrapText="1"/>
    </xf>
    <xf numFmtId="0" fontId="60" fillId="4" borderId="1" xfId="3" applyFont="1" applyFill="1">
      <alignment horizontal="left" vertical="center" wrapText="1"/>
      <protection locked="0"/>
    </xf>
    <xf numFmtId="0" fontId="56" fillId="30" borderId="1" xfId="19" applyFont="1" applyFill="1" applyAlignment="1">
      <alignment horizontal="left" vertical="center" wrapText="1"/>
    </xf>
    <xf numFmtId="0" fontId="58" fillId="24" borderId="1" xfId="19" applyFont="1" applyFill="1" applyAlignment="1">
      <alignment horizontal="left" vertical="center" wrapText="1"/>
    </xf>
    <xf numFmtId="0" fontId="56" fillId="31" borderId="1" xfId="2" applyFont="1" applyFill="1">
      <alignment horizontal="left" vertical="center" wrapText="1"/>
    </xf>
    <xf numFmtId="166" fontId="1" fillId="0" borderId="1" xfId="41" applyNumberFormat="1" applyFont="1" applyBorder="1"/>
    <xf numFmtId="0" fontId="1" fillId="0" borderId="1" xfId="41" applyFont="1" applyBorder="1" applyAlignment="1">
      <alignment wrapText="1"/>
    </xf>
    <xf numFmtId="0" fontId="1" fillId="0" borderId="1" xfId="41" applyFont="1" applyBorder="1"/>
    <xf numFmtId="0" fontId="7" fillId="0" borderId="1" xfId="0" applyFont="1" applyBorder="1" applyAlignment="1">
      <alignment horizontal="left" vertical="center" wrapText="1"/>
    </xf>
    <xf numFmtId="0" fontId="0" fillId="0" borderId="0" xfId="0" applyAlignment="1">
      <alignment horizontal="left" vertical="top" wrapText="1"/>
    </xf>
    <xf numFmtId="0" fontId="0" fillId="0" borderId="0" xfId="0" applyAlignment="1">
      <alignment horizontal="left" vertical="top"/>
    </xf>
    <xf numFmtId="0" fontId="54" fillId="0" borderId="0" xfId="0" applyFont="1" applyAlignment="1">
      <alignment horizontal="left" vertical="center"/>
    </xf>
    <xf numFmtId="0" fontId="46" fillId="0" borderId="0" xfId="0" applyFont="1" applyAlignment="1">
      <alignment horizontal="left" vertical="center"/>
    </xf>
    <xf numFmtId="0" fontId="7" fillId="0" borderId="7" xfId="0" applyFont="1" applyBorder="1" applyAlignment="1">
      <alignment horizontal="left" vertical="center" wrapText="1"/>
    </xf>
    <xf numFmtId="0" fontId="0" fillId="0" borderId="11" xfId="0" applyBorder="1" applyAlignment="1">
      <alignment horizontal="left" vertical="center" wrapText="1"/>
    </xf>
    <xf numFmtId="0" fontId="0" fillId="0" borderId="9" xfId="0" applyBorder="1" applyAlignment="1">
      <alignment horizontal="left" vertical="center" wrapText="1"/>
    </xf>
    <xf numFmtId="0" fontId="0" fillId="0" borderId="6" xfId="0" applyBorder="1" applyAlignment="1">
      <alignment horizontal="left" vertical="center" wrapText="1"/>
    </xf>
    <xf numFmtId="0" fontId="0" fillId="0" borderId="0" xfId="0" applyAlignment="1">
      <alignment horizontal="left" vertical="center" wrapText="1"/>
    </xf>
    <xf numFmtId="0" fontId="0" fillId="0" borderId="20" xfId="0" applyBorder="1" applyAlignment="1">
      <alignment horizontal="left" vertical="center" wrapText="1"/>
    </xf>
    <xf numFmtId="0" fontId="0" fillId="0" borderId="8"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15" fillId="10" borderId="1" xfId="17" applyFont="1" applyFill="1" applyAlignment="1">
      <alignment horizontal="left" vertical="center" wrapText="1"/>
    </xf>
    <xf numFmtId="0" fontId="31" fillId="10" borderId="1" xfId="17" applyFill="1" applyAlignment="1">
      <alignment horizontal="left" vertical="center" wrapText="1"/>
    </xf>
    <xf numFmtId="0" fontId="0" fillId="0" borderId="13" xfId="0" applyBorder="1" applyAlignment="1">
      <alignment horizontal="left" vertical="top" wrapText="1"/>
    </xf>
    <xf numFmtId="0" fontId="57" fillId="0" borderId="7" xfId="0" applyFont="1" applyBorder="1" applyAlignment="1">
      <alignment horizontal="left" vertical="center" wrapText="1"/>
    </xf>
    <xf numFmtId="0" fontId="7" fillId="0" borderId="11" xfId="0" applyFont="1" applyBorder="1" applyAlignment="1">
      <alignment horizontal="left" vertical="center" wrapText="1"/>
    </xf>
    <xf numFmtId="0" fontId="7" fillId="0" borderId="9" xfId="0" applyFont="1" applyBorder="1" applyAlignment="1">
      <alignment horizontal="left" vertical="center" wrapText="1"/>
    </xf>
    <xf numFmtId="0" fontId="7" fillId="0" borderId="8"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3" xfId="0" applyFont="1" applyBorder="1" applyAlignment="1">
      <alignment horizontal="left" vertical="center" wrapText="1"/>
    </xf>
    <xf numFmtId="0" fontId="7" fillId="0" borderId="12" xfId="0" applyFont="1" applyBorder="1" applyAlignment="1">
      <alignment horizontal="left" vertical="center" wrapText="1"/>
    </xf>
    <xf numFmtId="0" fontId="7" fillId="0" borderId="4" xfId="0" applyFont="1" applyBorder="1" applyAlignment="1">
      <alignment horizontal="left" vertical="center" wrapText="1"/>
    </xf>
    <xf numFmtId="0" fontId="7" fillId="0" borderId="3" xfId="0" applyFont="1" applyBorder="1" applyAlignment="1">
      <alignment horizontal="left" vertical="center"/>
    </xf>
    <xf numFmtId="0" fontId="7" fillId="0" borderId="12" xfId="0" applyFont="1" applyBorder="1" applyAlignment="1">
      <alignment horizontal="left" vertical="center"/>
    </xf>
    <xf numFmtId="0" fontId="7" fillId="0" borderId="4" xfId="0" applyFont="1" applyBorder="1" applyAlignment="1">
      <alignment horizontal="left" vertical="center"/>
    </xf>
    <xf numFmtId="0" fontId="15" fillId="10" borderId="7" xfId="17" applyFont="1" applyFill="1" applyBorder="1" applyAlignment="1">
      <alignment horizontal="left"/>
    </xf>
    <xf numFmtId="0" fontId="15" fillId="10" borderId="11" xfId="17" applyFont="1" applyFill="1" applyBorder="1" applyAlignment="1">
      <alignment horizontal="left"/>
    </xf>
    <xf numFmtId="0" fontId="15" fillId="10" borderId="9" xfId="17" applyFont="1" applyFill="1" applyBorder="1" applyAlignment="1">
      <alignment horizontal="left"/>
    </xf>
    <xf numFmtId="0" fontId="62" fillId="0" borderId="0" xfId="22" applyFont="1" applyFill="1" applyAlignment="1">
      <alignment horizontal="left" vertical="center" wrapText="1"/>
    </xf>
    <xf numFmtId="0" fontId="61" fillId="0" borderId="0" xfId="22" applyFont="1" applyFill="1" applyAlignment="1">
      <alignment horizontal="left" vertical="center" wrapText="1"/>
    </xf>
    <xf numFmtId="0" fontId="15" fillId="10" borderId="3" xfId="17" applyFont="1" applyFill="1" applyBorder="1" applyAlignment="1">
      <alignment horizontal="left" vertical="center" wrapText="1"/>
    </xf>
    <xf numFmtId="0" fontId="15" fillId="10" borderId="4" xfId="17" applyFont="1" applyFill="1" applyBorder="1" applyAlignment="1">
      <alignment horizontal="left" vertical="center" wrapText="1"/>
    </xf>
    <xf numFmtId="0" fontId="56" fillId="31" borderId="1" xfId="2" applyFont="1" applyFill="1">
      <alignment horizontal="left" vertical="center" wrapText="1"/>
    </xf>
    <xf numFmtId="0" fontId="57" fillId="4" borderId="1" xfId="3" applyFont="1" applyFill="1" applyAlignment="1">
      <alignment horizontal="center" vertical="center" wrapText="1"/>
      <protection locked="0"/>
    </xf>
    <xf numFmtId="0" fontId="62" fillId="28" borderId="0" xfId="22" applyFont="1" applyFill="1" applyAlignment="1">
      <alignment horizontal="left" vertical="center" wrapText="1"/>
    </xf>
    <xf numFmtId="0" fontId="7" fillId="0" borderId="0" xfId="0" applyFont="1" applyAlignment="1">
      <alignment horizontal="left" vertical="top" wrapText="1"/>
    </xf>
    <xf numFmtId="0" fontId="0" fillId="0" borderId="0" xfId="0"/>
    <xf numFmtId="0" fontId="58" fillId="21" borderId="3" xfId="19" applyFont="1" applyBorder="1" applyAlignment="1">
      <alignment horizontal="center" vertical="center" wrapText="1"/>
    </xf>
    <xf numFmtId="0" fontId="58" fillId="21" borderId="12" xfId="19" applyFont="1" applyBorder="1" applyAlignment="1">
      <alignment horizontal="center" vertical="center" wrapText="1"/>
    </xf>
    <xf numFmtId="0" fontId="58" fillId="10" borderId="3" xfId="21" applyFont="1" applyBorder="1" applyAlignment="1">
      <alignment horizontal="center" vertical="center" wrapText="1"/>
    </xf>
    <xf numFmtId="0" fontId="58" fillId="10" borderId="12" xfId="21" applyFont="1" applyBorder="1" applyAlignment="1">
      <alignment horizontal="center" vertical="center" wrapText="1"/>
    </xf>
    <xf numFmtId="0" fontId="58" fillId="10" borderId="4" xfId="21" applyFont="1" applyBorder="1" applyAlignment="1">
      <alignment horizontal="center" vertical="center" wrapText="1"/>
    </xf>
    <xf numFmtId="0" fontId="58" fillId="21" borderId="4" xfId="19" applyFont="1" applyBorder="1" applyAlignment="1">
      <alignment horizontal="center" vertical="center" wrapText="1"/>
    </xf>
    <xf numFmtId="0" fontId="7" fillId="0" borderId="0" xfId="0" applyFont="1" applyAlignment="1">
      <alignment horizontal="left" wrapText="1"/>
    </xf>
    <xf numFmtId="0" fontId="65" fillId="10" borderId="1" xfId="17" applyFont="1" applyFill="1" applyAlignment="1">
      <alignment horizontal="left" vertical="center" wrapText="1"/>
    </xf>
    <xf numFmtId="0" fontId="56" fillId="0" borderId="0" xfId="0" applyFont="1" applyAlignment="1">
      <alignment horizontal="left" wrapText="1"/>
    </xf>
    <xf numFmtId="0" fontId="15" fillId="10" borderId="13" xfId="17" applyFont="1" applyFill="1" applyBorder="1" applyAlignment="1">
      <alignment horizontal="left"/>
    </xf>
    <xf numFmtId="0" fontId="15" fillId="10" borderId="3" xfId="17" applyFont="1" applyFill="1" applyBorder="1" applyAlignment="1">
      <alignment horizontal="left"/>
    </xf>
    <xf numFmtId="0" fontId="15" fillId="10" borderId="12" xfId="17" applyFont="1" applyFill="1" applyBorder="1" applyAlignment="1">
      <alignment horizontal="left"/>
    </xf>
    <xf numFmtId="0" fontId="15" fillId="10" borderId="6" xfId="17" applyFont="1" applyFill="1" applyBorder="1" applyAlignment="1">
      <alignment horizontal="left"/>
    </xf>
    <xf numFmtId="0" fontId="15" fillId="10" borderId="0" xfId="17" applyFont="1" applyFill="1" applyBorder="1" applyAlignment="1">
      <alignment horizontal="left"/>
    </xf>
    <xf numFmtId="0" fontId="7" fillId="0" borderId="1" xfId="24" applyFont="1" applyProtection="1">
      <alignment horizontal="left" vertical="center" wrapText="1"/>
      <protection hidden="1"/>
    </xf>
    <xf numFmtId="0" fontId="13" fillId="16" borderId="1" xfId="23">
      <alignment horizontal="center" vertical="center" wrapText="1"/>
    </xf>
    <xf numFmtId="14" fontId="34" fillId="25" borderId="1" xfId="3" applyNumberFormat="1">
      <alignment horizontal="left" vertical="center" wrapText="1"/>
      <protection locked="0"/>
    </xf>
    <xf numFmtId="0" fontId="35" fillId="0" borderId="1" xfId="24" applyProtection="1">
      <alignment horizontal="left" vertical="center" wrapText="1"/>
      <protection hidden="1"/>
    </xf>
    <xf numFmtId="0" fontId="32" fillId="18" borderId="1" xfId="2" applyAlignment="1">
      <alignment vertical="center" wrapText="1"/>
    </xf>
    <xf numFmtId="0" fontId="31" fillId="16" borderId="1" xfId="17" applyAlignment="1">
      <alignment horizontal="center" vertical="center" wrapText="1"/>
    </xf>
    <xf numFmtId="49" fontId="34" fillId="25" borderId="1" xfId="3" applyNumberFormat="1">
      <alignment horizontal="left" vertical="center" wrapText="1"/>
      <protection locked="0"/>
    </xf>
    <xf numFmtId="0" fontId="52" fillId="21" borderId="0" xfId="22" applyAlignment="1">
      <alignment horizontal="left" vertical="center" wrapText="1"/>
    </xf>
    <xf numFmtId="0" fontId="35" fillId="0" borderId="0" xfId="24" applyBorder="1">
      <alignment horizontal="left" vertical="center" wrapText="1"/>
    </xf>
    <xf numFmtId="0" fontId="51" fillId="16" borderId="1" xfId="17" applyFont="1" applyAlignment="1">
      <alignment horizontal="center" vertical="center" wrapText="1"/>
    </xf>
    <xf numFmtId="0" fontId="31" fillId="16" borderId="1" xfId="17" applyAlignment="1">
      <alignment horizontal="center"/>
    </xf>
    <xf numFmtId="0" fontId="38" fillId="0" borderId="0" xfId="24" applyFont="1" applyBorder="1">
      <alignment horizontal="left" vertical="center" wrapText="1"/>
    </xf>
    <xf numFmtId="0" fontId="13" fillId="17" borderId="25" xfId="26" applyBorder="1" applyAlignment="1">
      <alignment wrapText="1"/>
    </xf>
    <xf numFmtId="0" fontId="13" fillId="17" borderId="26" xfId="26" applyBorder="1" applyAlignment="1">
      <alignment wrapText="1"/>
    </xf>
    <xf numFmtId="0" fontId="13" fillId="17" borderId="27" xfId="26" applyBorder="1" applyAlignment="1">
      <alignment wrapText="1"/>
    </xf>
    <xf numFmtId="0" fontId="41" fillId="22" borderId="13" xfId="0" applyFont="1" applyFill="1" applyBorder="1" applyAlignment="1">
      <alignment wrapText="1"/>
    </xf>
    <xf numFmtId="0" fontId="41" fillId="22" borderId="14" xfId="0" applyFont="1" applyFill="1" applyBorder="1" applyAlignment="1">
      <alignment wrapText="1"/>
    </xf>
    <xf numFmtId="0" fontId="31" fillId="10" borderId="1" xfId="34" applyAlignment="1">
      <alignment horizontal="center" vertical="center" wrapText="1"/>
    </xf>
    <xf numFmtId="0" fontId="13" fillId="17" borderId="21" xfId="26">
      <alignment horizontal="left" wrapText="1"/>
    </xf>
  </cellXfs>
  <cellStyles count="42">
    <cellStyle name="20% - Accent1" xfId="32" builtinId="30" hidden="1"/>
    <cellStyle name="Bad" xfId="12" builtinId="27" hidden="1"/>
    <cellStyle name="Check Cell" xfId="29" builtinId="23" hidden="1"/>
    <cellStyle name="Currency" xfId="37" builtinId="4"/>
    <cellStyle name="Explanatory Text" xfId="31" builtinId="53" hidden="1"/>
    <cellStyle name="Followed Hyperlink" xfId="5" builtinId="9" customBuiltin="1"/>
    <cellStyle name="Good" xfId="11" builtinId="26" hidden="1"/>
    <cellStyle name="Heading 1" xfId="7" builtinId="16" hidden="1"/>
    <cellStyle name="Heading 1" xfId="20" builtinId="16" hidden="1"/>
    <cellStyle name="Heading 1" xfId="17" xr:uid="{827A2D4A-7385-4E53-97FD-71BCCCD5F2E7}"/>
    <cellStyle name="Heading 2" xfId="8" builtinId="17" hidden="1"/>
    <cellStyle name="Heading 2" xfId="33" builtinId="17" customBuiltin="1"/>
    <cellStyle name="Heading 3" xfId="9" builtinId="18" hidden="1"/>
    <cellStyle name="Heading 3" xfId="34" xr:uid="{E719F22B-8762-4EB0-8669-209ED71251E1}"/>
    <cellStyle name="Heading 4" xfId="10" builtinId="19" hidden="1"/>
    <cellStyle name="Heading 4" xfId="35" builtinId="19" hidden="1"/>
    <cellStyle name="Hide Cell" xfId="25" xr:uid="{2243FA24-2F08-4FD5-AA9A-ED2C4FD21563}"/>
    <cellStyle name="Hyperlink" xfId="1" builtinId="8" customBuiltin="1"/>
    <cellStyle name="Input" xfId="14" builtinId="20" hidden="1"/>
    <cellStyle name="Input General" xfId="3" xr:uid="{FD8ACB3A-2E60-4E56-BDE0-F16C605B706F}"/>
    <cellStyle name="Locked Cell" xfId="18" xr:uid="{C5AC115B-4C70-4598-B33B-FF8931F43D69}"/>
    <cellStyle name="Locked Cell Bold" xfId="2" xr:uid="{00000000-0005-0000-0000-000003000000}"/>
    <cellStyle name="Locked Cell White" xfId="24" xr:uid="{8F7DEB48-FAC3-4610-9226-B7D4124C58C1}"/>
    <cellStyle name="Locked Energy Savings" xfId="38" xr:uid="{41C6B9D0-A526-49D0-8E82-BFD54E12B3F1}"/>
    <cellStyle name="Name Range Title" xfId="26" xr:uid="{46E703C9-C83A-4FAE-BD96-AD2C2F1C6BF7}"/>
    <cellStyle name="Neutral" xfId="13" builtinId="28" hidden="1"/>
    <cellStyle name="Normal" xfId="0" builtinId="0" customBuiltin="1"/>
    <cellStyle name="Normal 2" xfId="41" xr:uid="{F0B6984A-C247-498B-8BCD-563C4876CEB5}"/>
    <cellStyle name="Note" xfId="15" builtinId="10" hidden="1"/>
    <cellStyle name="Output" xfId="28" builtinId="21" hidden="1"/>
    <cellStyle name="Percent" xfId="4" builtinId="5"/>
    <cellStyle name="Percent 2" xfId="40" xr:uid="{416123FB-5607-4118-8FFF-EAFDCD816952}"/>
    <cellStyle name="Percent 3" xfId="39" xr:uid="{76B98F0A-56E2-4D43-8282-B5F726F6ECD7}"/>
    <cellStyle name="Range Data" xfId="27" xr:uid="{7896B364-4370-470C-B83C-A03F3C77F542}"/>
    <cellStyle name="Sheet Heading" xfId="22" xr:uid="{9BC41EA3-605D-47B9-99C5-959AB6AED4CA}"/>
    <cellStyle name="Table Top 1" xfId="23" xr:uid="{8C0905FB-CD4E-49DB-B46F-8EC853259812}"/>
    <cellStyle name="Table Top 2" xfId="19" xr:uid="{DDE9671C-2664-4B42-B64A-D6F716A86511}"/>
    <cellStyle name="Table Top 3" xfId="21" xr:uid="{241A7E45-4EC5-408D-8C63-73DB54E40084}"/>
    <cellStyle name="Table Top 4" xfId="36" xr:uid="{FDC1E094-0D14-4F86-90B9-56EB940D9840}"/>
    <cellStyle name="Title" xfId="6" builtinId="15" hidden="1"/>
    <cellStyle name="Total" xfId="16" builtinId="25" hidden="1"/>
    <cellStyle name="Warning Text" xfId="30" builtinId="11" hidden="1"/>
  </cellStyles>
  <dxfs count="264">
    <dxf>
      <font>
        <color rgb="FF9C0006"/>
      </font>
      <fill>
        <patternFill>
          <bgColor rgb="FFFFC7CE"/>
        </patternFill>
      </fill>
    </dxf>
    <dxf>
      <font>
        <color rgb="FF9C5700"/>
      </font>
      <fill>
        <patternFill>
          <bgColor rgb="FFFFEB9C"/>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patternType="solid">
          <fgColor indexed="64"/>
          <bgColor theme="5" tint="0.79998168889431442"/>
        </patternFill>
      </fill>
    </dxf>
    <dxf>
      <fill>
        <patternFill patternType="solid">
          <fgColor indexed="64"/>
          <bgColor theme="5" tint="0.79998168889431442"/>
        </patternFill>
      </fill>
      <border diagonalUp="0" diagonalDown="0">
        <left/>
        <right/>
        <top style="thin">
          <color indexed="64"/>
        </top>
        <bottom style="thin">
          <color indexed="64"/>
        </bottom>
        <vertical/>
        <horizontal/>
      </border>
    </dxf>
    <dxf>
      <numFmt numFmtId="166" formatCode="0.0"/>
      <fill>
        <patternFill patternType="solid">
          <fgColor indexed="64"/>
          <bgColor theme="5" tint="0.79998168889431442"/>
        </patternFill>
      </fill>
      <border diagonalUp="0" diagonalDown="0">
        <left/>
        <right style="thin">
          <color indexed="64"/>
        </right>
        <top style="thin">
          <color indexed="64"/>
        </top>
        <bottom style="thin">
          <color indexed="64"/>
        </bottom>
        <vertical/>
        <horizontal/>
      </border>
    </dxf>
    <dxf>
      <numFmt numFmtId="0" formatCode="General"/>
      <fill>
        <patternFill patternType="solid">
          <fgColor indexed="64"/>
          <bgColor theme="5" tint="0.79998168889431442"/>
        </patternFill>
      </fill>
      <border diagonalUp="0" diagonalDown="0">
        <left/>
        <right style="thin">
          <color indexed="64"/>
        </right>
        <top style="thin">
          <color indexed="64"/>
        </top>
        <bottom style="thin">
          <color indexed="64"/>
        </bottom>
        <vertical/>
        <horizontal/>
      </border>
    </dxf>
    <dxf>
      <numFmt numFmtId="0" formatCode="General"/>
      <fill>
        <patternFill patternType="solid">
          <fgColor indexed="64"/>
          <bgColor theme="5" tint="0.79998168889431442"/>
        </patternFill>
      </fill>
      <border diagonalUp="0" diagonalDown="0">
        <left/>
        <right style="thin">
          <color indexed="64"/>
        </right>
        <top style="thin">
          <color indexed="64"/>
        </top>
        <bottom style="thin">
          <color indexed="64"/>
        </bottom>
        <vertical/>
        <horizontal/>
      </border>
    </dxf>
    <dxf>
      <fill>
        <patternFill patternType="solid">
          <fgColor indexed="64"/>
          <bgColor theme="5" tint="0.79998168889431442"/>
        </patternFill>
      </fill>
      <border diagonalUp="0" diagonalDown="0">
        <left/>
        <right style="thin">
          <color indexed="64"/>
        </right>
        <top style="thin">
          <color indexed="64"/>
        </top>
        <bottom style="thin">
          <color indexed="64"/>
        </bottom>
        <vertical/>
        <horizontal/>
      </border>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dxf>
    <dxf>
      <numFmt numFmtId="2" formatCode="0.00"/>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dxf>
    <dxf>
      <numFmt numFmtId="2" formatCode="0.00"/>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dxf>
    <dxf>
      <numFmt numFmtId="169" formatCode="0.000"/>
      <fill>
        <patternFill patternType="solid">
          <fgColor indexed="64"/>
          <bgColor theme="5" tint="0.79998168889431442"/>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5" tint="0.79998168889431442"/>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5" tint="0.79998168889431442"/>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solid">
          <fgColor indexed="64"/>
          <bgColor theme="5" tint="0.79998168889431442"/>
        </patternFill>
      </fill>
    </dxf>
    <dxf>
      <border outline="0">
        <bottom style="thin">
          <color indexed="64"/>
        </bottom>
      </border>
    </dxf>
    <dxf>
      <font>
        <b val="0"/>
        <i val="0"/>
        <strike val="0"/>
        <condense val="0"/>
        <extend val="0"/>
        <outline val="0"/>
        <shadow val="0"/>
        <u val="none"/>
        <vertAlign val="baseline"/>
        <sz val="11"/>
        <color theme="0"/>
        <name val="Calibri"/>
        <family val="2"/>
        <scheme val="minor"/>
      </font>
      <fill>
        <patternFill patternType="solid">
          <fgColor indexed="64"/>
          <bgColor rgb="FF003C71"/>
        </patternFill>
      </fill>
      <alignment horizontal="general" vertical="bottom" textRotation="0" wrapText="1" indent="0" justifyLastLine="0" shrinkToFit="0" readingOrder="0"/>
      <border diagonalUp="0" diagonalDown="0" outline="0">
        <left style="thin">
          <color auto="1"/>
        </left>
        <right style="thin">
          <color auto="1"/>
        </right>
        <top/>
        <bottom/>
      </border>
    </dxf>
    <dxf>
      <numFmt numFmtId="0" formatCode="General"/>
    </dxf>
    <dxf>
      <numFmt numFmtId="0" formatCode="General"/>
    </dxf>
    <dxf>
      <numFmt numFmtId="0" formatCode="General"/>
    </dxf>
    <dxf>
      <numFmt numFmtId="0" formatCode="General"/>
    </dxf>
    <dxf>
      <font>
        <b/>
      </font>
    </dxf>
    <dxf>
      <numFmt numFmtId="165" formatCode="&quot;$&quot;#,##0"/>
    </dxf>
    <dxf>
      <numFmt numFmtId="165" formatCode="&quot;$&quot;#,##0"/>
    </dxf>
    <dxf>
      <numFmt numFmtId="165" formatCode="&quot;$&quot;#,##0"/>
    </dxf>
    <dxf>
      <numFmt numFmtId="13" formatCode="0%"/>
    </dxf>
    <dxf>
      <numFmt numFmtId="165" formatCode="&quot;$&quot;#,##0"/>
      <alignment horizontal="center" vertical="bottom" textRotation="0" wrapText="0" indent="0" justifyLastLine="0" shrinkToFit="0" readingOrder="0"/>
    </dxf>
    <dxf>
      <numFmt numFmtId="165" formatCode="&quot;$&quot;#,##0"/>
      <alignment horizontal="center"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bottom" textRotation="0" wrapText="0" indent="0" justifyLastLine="0" shrinkToFit="0" readingOrder="0"/>
    </dxf>
    <dxf>
      <alignment horizontal="center" vertical="bottom" textRotation="0" wrapText="0" indent="0" justifyLastLine="0" shrinkToFit="0" readingOrder="0"/>
    </dxf>
    <dxf>
      <numFmt numFmtId="165" formatCode="&quot;$&quot;#,##0"/>
      <alignment horizontal="center" vertical="bottom" textRotation="0" wrapText="0" indent="0" justifyLastLine="0" shrinkToFit="0" readingOrder="0"/>
    </dxf>
    <dxf>
      <numFmt numFmtId="165" formatCode="&quot;$&quot;#,##0"/>
      <alignment horizontal="center" vertical="bottom" textRotation="0" wrapText="0" indent="0" justifyLastLine="0" shrinkToFit="0" readingOrder="0"/>
    </dxf>
    <dxf>
      <numFmt numFmtId="165" formatCode="&quot;$&quot;#,##0"/>
      <alignment horizontal="center" vertical="bottom" textRotation="0" wrapText="0" indent="0" justifyLastLine="0" shrinkToFit="0" readingOrder="0"/>
    </dxf>
    <dxf>
      <numFmt numFmtId="165" formatCode="&quot;$&quot;#,##0"/>
      <alignment horizontal="center" vertical="bottom" textRotation="0" wrapText="0" indent="0" justifyLastLine="0" shrinkToFit="0" readingOrder="0"/>
    </dxf>
    <dxf>
      <numFmt numFmtId="165" formatCode="&quot;$&quot;#,##0"/>
      <alignment horizontal="center" vertical="bottom" textRotation="0" wrapText="0" indent="0" justifyLastLine="0" shrinkToFit="0" readingOrder="0"/>
    </dxf>
    <dxf>
      <numFmt numFmtId="165" formatCode="&quot;$&quot;#,##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4" formatCode="#,##0.00"/>
      <alignment horizontal="center" vertical="bottom" textRotation="0" wrapText="0" indent="0" justifyLastLine="0" shrinkToFit="0" readingOrder="0"/>
    </dxf>
    <dxf>
      <numFmt numFmtId="165" formatCode="&quot;$&quot;#,##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165" formatCode="&quot;$&quot;#,##0"/>
      <alignment horizontal="center" vertical="bottom" textRotation="0" wrapText="0" indent="0" justifyLastLine="0" shrinkToFit="0" readingOrder="0"/>
    </dxf>
    <dxf>
      <numFmt numFmtId="165" formatCode="&quot;$&quot;#,##0"/>
      <alignment horizontal="center" vertical="bottom" textRotation="0" wrapText="0" indent="0" justifyLastLine="0" shrinkToFit="0" readingOrder="0"/>
    </dxf>
    <dxf>
      <numFmt numFmtId="0" formatCode="General"/>
    </dxf>
    <dxf>
      <alignment horizontal="center" vertical="bottom" textRotation="0" wrapText="1" indent="0" justifyLastLine="0" shrinkToFit="0" readingOrder="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ill>
        <patternFill patternType="none">
          <fgColor indexed="64"/>
          <bgColor auto="1"/>
        </patternFill>
      </fill>
    </dxf>
    <dxf>
      <numFmt numFmtId="0" formatCode="General"/>
    </dxf>
    <dxf>
      <numFmt numFmtId="0" formatCode="General"/>
    </dxf>
    <dxf>
      <border diagonalUp="0" diagonalDown="0">
        <left style="thick">
          <color indexed="64"/>
        </left>
        <vertical/>
      </border>
    </dxf>
    <dxf>
      <alignment horizontal="general" textRotation="0" wrapText="1" indent="0" justifyLastLine="0" shrinkToFit="0" readingOrder="0"/>
    </dxf>
    <dxf>
      <alignment horizontal="general" vertical="bottom" textRotation="0" wrapText="1" indent="0" justifyLastLine="0" shrinkToFit="0" readingOrder="0"/>
    </dxf>
    <dxf>
      <numFmt numFmtId="170" formatCode="&quot;$&quot;#,##0.000"/>
    </dxf>
    <dxf>
      <alignment horizontal="general" vertical="bottom" textRotation="0" wrapText="0" indent="0" justifyLastLine="0" shrinkToFit="0" readingOrder="0"/>
    </dxf>
    <dxf>
      <alignment horizontal="general" vertical="bottom" textRotation="0" wrapText="1" indent="0" justifyLastLine="0" shrinkToFit="0" readingOrder="0"/>
    </dxf>
    <dxf>
      <numFmt numFmtId="2" formatCode="0.00"/>
    </dxf>
    <dxf>
      <numFmt numFmtId="2" formatCode="0.00"/>
    </dxf>
    <dxf>
      <numFmt numFmtId="2" formatCode="0.00"/>
    </dxf>
    <dxf>
      <numFmt numFmtId="3" formatCode="#,##0"/>
    </dxf>
    <dxf>
      <fill>
        <patternFill patternType="none">
          <fgColor indexed="64"/>
          <bgColor auto="1"/>
        </patternFill>
      </fill>
    </dxf>
    <dxf>
      <fill>
        <patternFill patternType="none">
          <fgColor indexed="64"/>
          <bgColor indexed="65"/>
        </patternFill>
      </fill>
    </dxf>
    <dxf>
      <numFmt numFmtId="172" formatCode="&quot;$&quot;#,##0.0"/>
    </dxf>
    <dxf>
      <numFmt numFmtId="172" formatCode="&quot;$&quot;#,##0.0"/>
    </dxf>
    <dxf>
      <numFmt numFmtId="0" formatCode="General"/>
    </dxf>
    <dxf>
      <font>
        <b/>
        <i val="0"/>
        <strike val="0"/>
        <condense val="0"/>
        <extend val="0"/>
        <outline val="0"/>
        <shadow val="0"/>
        <u val="none"/>
        <vertAlign val="baseline"/>
        <sz val="10"/>
        <color theme="1"/>
        <name val="Arial"/>
        <family val="2"/>
        <scheme val="none"/>
      </font>
      <numFmt numFmtId="167" formatCode="#,##0.0"/>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1"/>
    </dxf>
    <dxf>
      <font>
        <strike val="0"/>
        <outline val="0"/>
        <shadow val="0"/>
        <u val="none"/>
        <vertAlign val="baseline"/>
        <name val="Arial"/>
        <family val="2"/>
        <scheme val="none"/>
      </font>
      <numFmt numFmtId="167" formatCode="#,##0.0"/>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1"/>
    </dxf>
    <dxf>
      <font>
        <b/>
        <i val="0"/>
        <strike val="0"/>
        <condense val="0"/>
        <extend val="0"/>
        <outline val="0"/>
        <shadow val="0"/>
        <u val="none"/>
        <vertAlign val="baseline"/>
        <sz val="10"/>
        <color theme="1"/>
        <name val="Arial"/>
        <family val="2"/>
        <scheme val="none"/>
      </font>
      <numFmt numFmtId="164" formatCode="&quot;$&quot;#,##0.0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i val="0"/>
        <strike val="0"/>
        <condense val="0"/>
        <extend val="0"/>
        <outline val="0"/>
        <shadow val="0"/>
        <u val="none"/>
        <vertAlign val="baseline"/>
        <sz val="10"/>
        <color theme="1"/>
        <name val="Arial"/>
        <family val="2"/>
        <scheme val="none"/>
      </font>
      <numFmt numFmtId="164" formatCode="&quot;$&quot;#,##0.0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i val="0"/>
        <strike val="0"/>
        <condense val="0"/>
        <extend val="0"/>
        <outline val="0"/>
        <shadow val="0"/>
        <u val="none"/>
        <vertAlign val="baseline"/>
        <sz val="10"/>
        <color theme="1"/>
        <name val="Arial"/>
        <family val="2"/>
        <scheme val="none"/>
      </font>
      <numFmt numFmtId="164" formatCode="&quot;$&quot;#,##0.0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i val="0"/>
        <strike val="0"/>
        <condense val="0"/>
        <extend val="0"/>
        <outline val="0"/>
        <shadow val="0"/>
        <u val="none"/>
        <vertAlign val="baseline"/>
        <sz val="10"/>
        <color theme="1"/>
        <name val="Arial"/>
        <family val="2"/>
        <scheme val="none"/>
      </font>
      <numFmt numFmtId="164" formatCode="&quot;$&quot;#,##0.0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strike val="0"/>
        <outline val="0"/>
        <shadow val="0"/>
        <u val="none"/>
        <vertAlign val="baseline"/>
        <name val="Arial"/>
        <family val="2"/>
        <scheme val="none"/>
      </font>
      <numFmt numFmtId="164" formatCode="&quot;$&quot;#,##0.0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i val="0"/>
        <strike val="0"/>
        <condense val="0"/>
        <extend val="0"/>
        <outline val="0"/>
        <shadow val="0"/>
        <u val="none"/>
        <vertAlign val="baseline"/>
        <sz val="10"/>
        <color theme="1"/>
        <name val="Arial"/>
        <family val="2"/>
        <scheme val="none"/>
      </font>
      <fill>
        <patternFill patternType="solid">
          <fgColor indexed="64"/>
          <bgColor theme="2"/>
        </patternFill>
      </fill>
      <alignment horizontal="center" vertical="center"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name val="Arial"/>
        <family val="2"/>
        <scheme val="none"/>
      </font>
      <numFmt numFmtId="164" formatCode="&quot;$&quot;#,##0.00"/>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font>
        <strike val="0"/>
        <outline val="0"/>
        <shadow val="0"/>
        <u val="none"/>
        <vertAlign val="baseline"/>
        <name val="Arial"/>
        <family val="2"/>
        <scheme val="none"/>
      </font>
    </dxf>
    <dxf>
      <border outline="0">
        <left style="thin">
          <color indexed="64"/>
        </left>
        <right style="thin">
          <color indexed="64"/>
        </right>
        <top style="thin">
          <color indexed="64"/>
        </top>
        <bottom style="thin">
          <color indexed="64"/>
        </bottom>
      </border>
    </dxf>
    <dxf>
      <font>
        <strike val="0"/>
        <outline val="0"/>
        <shadow val="0"/>
        <u val="none"/>
        <vertAlign val="baseline"/>
        <name val="Arial"/>
        <family val="2"/>
        <scheme val="none"/>
      </font>
      <alignment horizontal="center" vertical="center" textRotation="0" wrapText="1" indent="0" justifyLastLine="0" shrinkToFit="0" readingOrder="0"/>
    </dxf>
    <dxf>
      <font>
        <strike val="0"/>
        <outline val="0"/>
        <shadow val="0"/>
        <u val="none"/>
        <vertAlign val="baseline"/>
        <name val="Arial"/>
        <family val="2"/>
        <scheme val="none"/>
      </font>
      <fill>
        <patternFill patternType="solid">
          <fgColor indexed="64"/>
          <bgColor theme="3"/>
        </patternFill>
      </fill>
      <alignment horizontal="left" vertical="center" textRotation="0" wrapText="1" indent="0" justifyLastLine="0" shrinkToFit="0" readingOrder="0"/>
    </dxf>
    <dxf>
      <font>
        <b/>
        <i val="0"/>
        <strike val="0"/>
        <condense val="0"/>
        <extend val="0"/>
        <outline val="0"/>
        <shadow val="0"/>
        <u val="none"/>
        <vertAlign val="baseline"/>
        <sz val="10"/>
        <color theme="1"/>
        <name val="Arial"/>
        <family val="2"/>
        <scheme val="none"/>
      </font>
      <numFmt numFmtId="168" formatCode="#,##0.000"/>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1"/>
    </dxf>
    <dxf>
      <font>
        <strike val="0"/>
        <outline val="0"/>
        <shadow val="0"/>
        <u val="none"/>
        <vertAlign val="baseline"/>
        <name val="Arial"/>
        <family val="2"/>
        <scheme val="none"/>
      </font>
      <numFmt numFmtId="168" formatCode="#,##0.000"/>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1"/>
    </dxf>
    <dxf>
      <font>
        <b/>
        <i val="0"/>
        <strike val="0"/>
        <condense val="0"/>
        <extend val="0"/>
        <outline val="0"/>
        <shadow val="0"/>
        <u val="none"/>
        <vertAlign val="baseline"/>
        <sz val="10"/>
        <color theme="1"/>
        <name val="Arial"/>
        <family val="2"/>
        <scheme val="none"/>
      </font>
      <numFmt numFmtId="167" formatCode="#,##0.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strike val="0"/>
        <outline val="0"/>
        <shadow val="0"/>
        <u val="none"/>
        <vertAlign val="baseline"/>
        <name val="Arial"/>
        <family val="2"/>
        <scheme val="none"/>
      </font>
      <numFmt numFmtId="167" formatCode="#,##0.0"/>
      <alignment horizontal="center" vertical="center" textRotation="0" wrapText="1" indent="0" justifyLastLine="0" shrinkToFit="0" readingOrder="0"/>
      <border outline="0">
        <left style="thin">
          <color indexed="64"/>
        </left>
      </border>
      <protection locked="1" hidden="1"/>
    </dxf>
    <dxf>
      <font>
        <b/>
        <i val="0"/>
        <strike val="0"/>
        <condense val="0"/>
        <extend val="0"/>
        <outline val="0"/>
        <shadow val="0"/>
        <u val="none"/>
        <vertAlign val="baseline"/>
        <sz val="10"/>
        <color theme="1"/>
        <name val="Arial"/>
        <family val="2"/>
        <scheme val="none"/>
      </font>
      <fill>
        <patternFill patternType="solid">
          <fgColor indexed="64"/>
          <bgColor theme="2"/>
        </patternFill>
      </fill>
      <alignment horizontal="left" vertical="center"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name val="Arial"/>
        <family val="2"/>
        <scheme val="none"/>
      </font>
      <numFmt numFmtId="164" formatCode="&quot;$&quot;#,##0.00"/>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font>
        <strike val="0"/>
        <outline val="0"/>
        <shadow val="0"/>
        <u val="none"/>
        <vertAlign val="baseline"/>
        <name val="Arial"/>
        <family val="2"/>
        <scheme val="none"/>
      </font>
    </dxf>
    <dxf>
      <border outline="0">
        <left style="thin">
          <color indexed="64"/>
        </left>
        <right style="thin">
          <color indexed="64"/>
        </right>
        <top style="thin">
          <color indexed="64"/>
        </top>
        <bottom style="thin">
          <color indexed="64"/>
        </bottom>
      </border>
    </dxf>
    <dxf>
      <font>
        <strike val="0"/>
        <outline val="0"/>
        <shadow val="0"/>
        <u val="none"/>
        <vertAlign val="baseline"/>
        <name val="Arial"/>
        <family val="2"/>
        <scheme val="none"/>
      </font>
    </dxf>
    <dxf>
      <font>
        <strike val="0"/>
        <outline val="0"/>
        <shadow val="0"/>
        <u val="none"/>
        <vertAlign val="baseline"/>
        <name val="Arial"/>
        <family val="2"/>
        <scheme val="none"/>
      </font>
      <fill>
        <patternFill patternType="solid">
          <fgColor indexed="64"/>
          <bgColor theme="3"/>
        </patternFill>
      </fill>
      <alignment horizontal="left" vertical="center" textRotation="0" wrapText="1" indent="0" justifyLastLine="0" shrinkToFit="0" readingOrder="0"/>
    </dxf>
    <dxf>
      <font>
        <b/>
      </font>
      <alignment horizontal="center" vertical="bottom" textRotation="0" indent="0" justifyLastLine="0" shrinkToFit="0" readingOrder="0"/>
      <protection locked="1" hidden="0"/>
    </dxf>
    <dxf>
      <alignment horizontal="left" vertical="bottom" textRotation="0" wrapText="0" indent="0" justifyLastLine="0" shrinkToFit="0" readingOrder="0"/>
      <protection locked="1" hidden="0"/>
    </dxf>
    <dxf>
      <alignment horizontal="center" vertical="bottom" textRotation="0" indent="0" justifyLastLine="0" shrinkToFit="0" readingOrder="0"/>
      <protection locked="1" hidden="0"/>
    </dxf>
    <dxf>
      <alignment horizontal="center" vertical="bottom" textRotation="0" indent="0" justifyLastLine="0" shrinkToFit="0" readingOrder="0"/>
      <protection locked="1" hidden="0"/>
    </dxf>
    <dxf>
      <alignment horizontal="center" vertical="bottom" textRotation="0" indent="0" justifyLastLine="0" shrinkToFit="0" readingOrder="0"/>
      <protection locked="1" hidden="0"/>
    </dxf>
    <dxf>
      <alignment horizontal="center" vertical="bottom" textRotation="0" indent="0" justifyLastLine="0" shrinkToFit="0" readingOrder="0"/>
      <protection locked="1" hidden="0"/>
    </dxf>
    <dxf>
      <alignment horizontal="center" vertical="bottom" textRotation="0" indent="0" justifyLastLine="0" shrinkToFit="0" readingOrder="0"/>
      <protection locked="1" hidden="0"/>
    </dxf>
    <dxf>
      <alignment horizontal="center" vertical="bottom" textRotation="0" indent="0" justifyLastLine="0" shrinkToFit="0" readingOrder="0"/>
      <protection locked="1" hidden="0"/>
    </dxf>
    <dxf>
      <alignment horizontal="center" vertical="bottom" textRotation="0" indent="0" justifyLastLine="0" shrinkToFit="0" readingOrder="0"/>
      <protection locked="1" hidden="0"/>
    </dxf>
    <dxf>
      <alignment horizontal="center" vertical="bottom" textRotation="0" indent="0" justifyLastLine="0" shrinkToFit="0" readingOrder="0"/>
      <protection locked="1" hidden="0"/>
    </dxf>
    <dxf>
      <font>
        <strike val="0"/>
        <outline val="0"/>
        <shadow val="0"/>
        <u val="none"/>
        <vertAlign val="baseline"/>
        <sz val="10"/>
        <color theme="4"/>
        <name val="Arial"/>
        <family val="2"/>
        <scheme val="none"/>
      </font>
      <fill>
        <patternFill patternType="solid">
          <fgColor indexed="64"/>
          <bgColor theme="0"/>
        </patternFill>
      </fill>
      <alignment horizontal="left" vertical="center" textRotation="0" wrapText="1" indent="0" justifyLastLine="0" shrinkToFit="0" readingOrder="0"/>
      <protection locked="0" hidden="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dxf>
    <dxf>
      <numFmt numFmtId="167" formatCode="#,##0.0"/>
      <alignment horizontal="center" vertical="center" textRotation="0" wrapText="1" indent="0" justifyLastLine="0" shrinkToFit="0" readingOrder="0"/>
      <border>
        <left style="thin">
          <color indexed="64"/>
        </left>
      </border>
    </dxf>
    <dxf>
      <numFmt numFmtId="164" formatCode="&quot;$&quot;#,##0.00"/>
      <alignment horizontal="center" vertical="center" textRotation="0" wrapText="1" indent="0" justifyLastLine="0" shrinkToFit="0" readingOrder="0"/>
      <border>
        <left style="thin">
          <color indexed="64"/>
        </left>
      </border>
    </dxf>
    <dxf>
      <numFmt numFmtId="164" formatCode="&quot;$&quot;#,##0.00"/>
      <alignment horizontal="center" vertical="center" textRotation="0" wrapText="1" indent="0" justifyLastLine="0" shrinkToFit="0" readingOrder="0"/>
    </dxf>
    <dxf>
      <numFmt numFmtId="164" formatCode="&quot;$&quot;#,##0.00"/>
      <alignment horizontal="center" vertical="center" textRotation="0" wrapText="1" indent="0" justifyLastLine="0" shrinkToFit="0" readingOrder="0"/>
      <border>
        <left style="thin">
          <color indexed="64"/>
        </left>
      </border>
    </dxf>
    <dxf>
      <numFmt numFmtId="168" formatCode="#,##0.000"/>
      <alignment horizontal="center" vertical="center" textRotation="0" wrapText="1" indent="0" justifyLastLine="0" shrinkToFit="0" readingOrder="0"/>
      <border>
        <left style="thin">
          <color indexed="64"/>
        </left>
      </border>
    </dxf>
    <dxf>
      <numFmt numFmtId="167" formatCode="#,##0.0"/>
      <border outline="0">
        <left style="thin">
          <color indexed="64"/>
        </left>
      </border>
    </dxf>
    <dxf>
      <numFmt numFmtId="164" formatCode="&quot;$&quot;#,##0.00"/>
      <alignment horizontal="center" vertical="center" textRotation="0" wrapText="1" indent="0" justifyLastLine="0" shrinkToFit="0" readingOrder="0"/>
      <border>
        <left style="thin">
          <color indexed="64"/>
        </left>
      </border>
    </dxf>
    <dxf>
      <numFmt numFmtId="164" formatCode="&quot;$&quot;#,##0.00"/>
      <alignment horizontal="center" vertical="center" textRotation="0" wrapText="1" indent="0" justifyLastLine="0" shrinkToFit="0" readingOrder="0"/>
      <border>
        <left style="thin">
          <color indexed="64"/>
        </left>
        <right style="thin">
          <color indexed="64"/>
        </right>
      </border>
    </dxf>
    <dxf>
      <numFmt numFmtId="165" formatCode="&quot;$&quot;#,##0"/>
      <fill>
        <patternFill patternType="solid">
          <fgColor indexed="64"/>
          <bgColor theme="0" tint="-4.9989318521683403E-2"/>
        </patternFill>
      </fill>
      <alignment horizontal="center" vertical="center" textRotation="0" wrapText="1" indent="0" justifyLastLine="0" shrinkToFit="0" readingOrder="0"/>
      <border outline="0">
        <left style="thin">
          <color indexed="64"/>
        </left>
        <right style="thin">
          <color indexed="64"/>
        </right>
      </border>
    </dxf>
    <dxf>
      <numFmt numFmtId="165" formatCode="&quot;$&quot;#,##0"/>
      <fill>
        <patternFill patternType="solid">
          <fgColor indexed="64"/>
          <bgColor theme="0" tint="-4.9989318521683403E-2"/>
        </patternFill>
      </fill>
      <alignment horizontal="center" vertical="center" textRotation="0" wrapText="1" indent="0" justifyLastLine="0" shrinkToFit="0" readingOrder="0"/>
      <border outline="0">
        <left style="thin">
          <color indexed="64"/>
        </left>
        <right style="thin">
          <color indexed="64"/>
        </right>
      </border>
    </dxf>
    <dxf>
      <fill>
        <patternFill patternType="solid">
          <fgColor indexed="64"/>
          <bgColor theme="0" tint="-4.9989318521683403E-2"/>
        </patternFill>
      </fill>
      <alignment horizontal="center" vertical="center" textRotation="0" wrapText="1" indent="0" justifyLastLine="0" shrinkToFit="0" readingOrder="0"/>
      <border outline="0">
        <left style="thin">
          <color indexed="64"/>
        </left>
        <right style="thin">
          <color indexed="64"/>
        </right>
      </border>
    </dxf>
    <dxf>
      <fill>
        <patternFill patternType="solid">
          <fgColor indexed="64"/>
          <bgColor theme="0" tint="-4.9989318521683403E-2"/>
        </patternFill>
      </fill>
      <alignment horizontal="center" vertical="center" textRotation="0" wrapText="1" indent="0" justifyLastLine="0" shrinkToFit="0" readingOrder="0"/>
      <border outline="0">
        <left style="thin">
          <color indexed="64"/>
        </left>
        <right style="thin">
          <color indexed="64"/>
        </right>
      </border>
    </dxf>
    <dxf>
      <numFmt numFmtId="1" formatCode="0"/>
      <fill>
        <patternFill patternType="solid">
          <fgColor indexed="64"/>
          <bgColor theme="0" tint="-4.9989318521683403E-2"/>
        </patternFill>
      </fill>
      <alignment horizontal="center" vertical="center" textRotation="0" wrapText="1" indent="0" justifyLastLine="0" shrinkToFit="0" readingOrder="0"/>
      <border outline="0">
        <right style="thin">
          <color indexed="64"/>
        </right>
      </border>
    </dxf>
    <dxf>
      <fill>
        <patternFill patternType="solid">
          <fgColor indexed="64"/>
          <bgColor theme="0" tint="-4.9989318521683403E-2"/>
        </patternFill>
      </fill>
      <alignment horizontal="center" vertical="center" textRotation="0" wrapText="1" indent="0" justifyLastLine="0" shrinkToFit="0" readingOrder="0"/>
      <border outline="0">
        <left style="thin">
          <color indexed="64"/>
        </left>
        <right style="thin">
          <color indexed="64"/>
        </right>
      </border>
    </dxf>
    <dxf>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outline="0">
        <left style="thin">
          <color indexed="64"/>
        </left>
        <right style="thin">
          <color indexed="64"/>
        </right>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border diagonalUp="0" diagonalDown="0" outline="0">
        <left style="thin">
          <color auto="1"/>
        </left>
        <right style="thin">
          <color auto="1"/>
        </right>
        <top/>
        <bottom/>
      </border>
    </dxf>
    <dxf>
      <font>
        <b val="0"/>
        <i val="0"/>
        <strike val="0"/>
        <condense val="0"/>
        <extend val="0"/>
        <outline val="0"/>
        <shadow val="0"/>
        <u val="none"/>
        <vertAlign val="baseline"/>
        <sz val="12"/>
        <color theme="1"/>
        <name val="Arial"/>
        <family val="2"/>
        <scheme val="none"/>
      </font>
      <numFmt numFmtId="169" formatCode="0.000"/>
      <fill>
        <patternFill patternType="solid">
          <fgColor indexed="64"/>
          <bgColor theme="0" tint="-0.14996795556505021"/>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69" formatCode="0.000"/>
      <fill>
        <patternFill patternType="solid">
          <fgColor indexed="64"/>
          <bgColor theme="0" tint="-0.14996795556505021"/>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 formatCode="0"/>
      <fill>
        <patternFill patternType="solid">
          <fgColor indexed="64"/>
          <bgColor theme="0" tint="-0.14996795556505021"/>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 formatCode="0"/>
      <fill>
        <patternFill patternType="solid">
          <fgColor indexed="64"/>
          <bgColor theme="0" tint="-0.14996795556505021"/>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69" formatCode="0.000"/>
      <fill>
        <patternFill patternType="solid">
          <fgColor indexed="64"/>
          <bgColor theme="0" tint="-0.14996795556505021"/>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 formatCode="0"/>
      <fill>
        <patternFill patternType="solid">
          <fgColor indexed="64"/>
          <bgColor theme="0" tint="-0.14996795556505021"/>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 formatCode="0"/>
      <fill>
        <patternFill patternType="solid">
          <fgColor indexed="64"/>
          <bgColor theme="0" tint="-0.14996795556505021"/>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 formatCode="0"/>
      <fill>
        <patternFill patternType="solid">
          <fgColor indexed="64"/>
          <bgColor theme="0" tint="-0.149967955565050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border>
    </dxf>
    <dxf>
      <numFmt numFmtId="1" formatCode="0"/>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67" formatCode="#,##0.0"/>
      <fill>
        <patternFill patternType="solid">
          <fgColor indexed="64"/>
          <bgColor theme="0" tint="-0.14996795556505021"/>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border>
    </dxf>
    <dxf>
      <font>
        <b val="0"/>
        <i val="0"/>
        <strike val="0"/>
        <condense val="0"/>
        <extend val="0"/>
        <outline val="0"/>
        <shadow val="0"/>
        <u val="none"/>
        <vertAlign val="baseline"/>
        <sz val="12"/>
        <color theme="1"/>
        <name val="Arial"/>
        <family val="2"/>
        <scheme val="none"/>
      </font>
      <numFmt numFmtId="164" formatCode="&quot;$&quot;#,##0.00"/>
      <fill>
        <patternFill patternType="solid">
          <fgColor indexed="64"/>
          <bgColor theme="0" tint="-0.149967955565050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numFmt numFmtId="164" formatCode="&quot;$&quot;#,##0.00"/>
      <fill>
        <patternFill patternType="solid">
          <fgColor indexed="64"/>
          <bgColor theme="0" tint="-0.149967955565050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numFmt numFmtId="164" formatCode="&quot;$&quot;#,##0.00"/>
      <fill>
        <patternFill patternType="solid">
          <fgColor indexed="64"/>
          <bgColor theme="0" tint="-0.149967955565050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numFmt numFmtId="168" formatCode="#,##0.000"/>
      <fill>
        <patternFill patternType="solid">
          <fgColor indexed="64"/>
          <bgColor theme="0" tint="-0.149967955565050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border>
    </dxf>
    <dxf>
      <numFmt numFmtId="167" formatCode="#,##0.0"/>
      <alignment horizontal="center" vertical="center" textRotation="0" wrapText="1" indent="0" justifyLastLine="0" shrinkToFit="0" readingOrder="0"/>
      <border>
        <left style="thin">
          <color indexed="64"/>
        </left>
      </border>
    </dxf>
    <dxf>
      <font>
        <b val="0"/>
        <i val="0"/>
        <strike val="0"/>
        <condense val="0"/>
        <extend val="0"/>
        <outline val="0"/>
        <shadow val="0"/>
        <u val="none"/>
        <vertAlign val="baseline"/>
        <sz val="12"/>
        <color theme="1"/>
        <name val="Arial"/>
        <family val="2"/>
        <scheme val="none"/>
      </font>
      <numFmt numFmtId="164" formatCode="&quot;$&quot;#,##0.00"/>
      <fill>
        <patternFill patternType="solid">
          <fgColor indexed="64"/>
          <bgColor theme="0" tint="-0.149967955565050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numFmt numFmtId="165" formatCode="&quot;$&quot;#,##0"/>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numFmt numFmtId="165" formatCode="&quot;$&quot;#,##0"/>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alignment horizontal="center" vertical="center" textRotation="0" wrapText="1" indent="0" justifyLastLine="0" shrinkToFit="0" readingOrder="0"/>
      <border outline="0">
        <left style="thin">
          <color indexed="64"/>
        </left>
        <right style="thin">
          <color indexed="64"/>
        </right>
      </border>
    </dxf>
    <dxf>
      <alignment horizontal="center" vertical="center" textRotation="0" wrapText="1" indent="0" justifyLastLine="0" shrinkToFit="0" readingOrder="0"/>
    </dxf>
    <dxf>
      <alignment horizontal="center" vertical="center" textRotation="0" wrapText="1" indent="0" justifyLastLine="0" shrinkToFit="0" readingOrder="0"/>
    </dxf>
    <dxf>
      <numFmt numFmtId="3" formatCode="#,##0"/>
      <alignment horizontal="center" vertical="center" textRotation="0" wrapText="1" indent="0" justifyLastLine="0" shrinkToFit="0" readingOrder="0"/>
      <border outline="0">
        <left style="thin">
          <color indexed="64"/>
        </left>
        <right style="thin">
          <color indexed="64"/>
        </right>
      </border>
    </dxf>
    <dxf>
      <alignment horizontal="center" vertical="center" textRotation="0" wrapText="1" indent="0" justifyLastLine="0" shrinkToFit="0" readingOrder="0"/>
      <border outline="0">
        <left style="thin">
          <color indexed="64"/>
        </left>
        <right style="thin">
          <color indexed="64"/>
        </right>
      </border>
    </dxf>
    <dxf>
      <font>
        <color rgb="FF000000"/>
      </font>
      <numFmt numFmtId="3" formatCode="#,##0"/>
      <alignment horizontal="center" vertical="center" textRotation="0" wrapText="1" indent="0" justifyLastLine="0" shrinkToFit="0" readingOrder="0"/>
      <border outline="0">
        <left style="thin">
          <color indexed="64"/>
        </left>
        <right style="thin">
          <color indexed="64"/>
        </right>
      </border>
    </dxf>
    <dxf>
      <numFmt numFmtId="3" formatCode="#,##0"/>
      <alignment horizontal="center" vertical="center" textRotation="0" wrapText="1" indent="0" justifyLastLine="0" shrinkToFit="0" readingOrder="0"/>
      <border outline="0">
        <left style="thin">
          <color indexed="64"/>
        </left>
        <right style="thin">
          <color indexed="64"/>
        </right>
      </border>
    </dxf>
    <dxf>
      <numFmt numFmtId="3" formatCode="#,##0"/>
      <alignment horizontal="center" vertical="center" textRotation="0" wrapText="1" indent="0" justifyLastLine="0" shrinkToFit="0" readingOrder="0"/>
      <border>
        <left style="thin">
          <color indexed="64"/>
        </left>
        <right style="thin">
          <color indexed="64"/>
        </right>
      </border>
    </dxf>
    <dxf>
      <alignment horizontal="center" vertical="center" textRotation="0" wrapText="1" indent="0" justifyLastLine="0" shrinkToFit="0" readingOrder="0"/>
      <border outline="0">
        <left style="thin">
          <color indexed="64"/>
        </left>
        <right style="thin">
          <color indexed="64"/>
        </right>
      </border>
    </dxf>
    <dxf>
      <alignment horizontal="center" vertical="center" textRotation="0" wrapText="1" indent="0" justifyLastLine="0" shrinkToFit="0" readingOrder="0"/>
      <border outline="0">
        <left style="thin">
          <color indexed="64"/>
        </left>
        <right style="thin">
          <color indexed="64"/>
        </right>
      </border>
    </dxf>
    <dxf>
      <fill>
        <patternFill patternType="solid">
          <fgColor indexed="64"/>
          <bgColor theme="0" tint="-4.9989318521683403E-2"/>
        </patternFill>
      </fill>
      <alignment horizontal="center" vertical="center" textRotation="0" wrapText="1" indent="0" justifyLastLine="0" shrinkToFit="0" readingOrder="0"/>
      <border outline="0">
        <left style="thin">
          <color indexed="64"/>
        </left>
        <right style="thin">
          <color indexed="64"/>
        </right>
      </border>
    </dxf>
    <dxf>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center" vertical="center" textRotation="0" wrapText="1" indent="0" justifyLastLine="0" shrinkToFit="0" readingOrder="0"/>
      <border outline="0">
        <right style="thin">
          <color indexed="64"/>
        </right>
      </border>
    </dxf>
    <dxf>
      <alignment horizontal="center" vertical="center" textRotation="0" wrapText="1" indent="0" justifyLastLine="0" shrinkToFit="0" readingOrder="0"/>
      <border outline="0">
        <right style="thin">
          <color indexed="64"/>
        </right>
      </border>
    </dxf>
    <dxf>
      <border outline="0">
        <left style="thin">
          <color auto="1"/>
        </left>
        <top style="thin">
          <color indexed="64"/>
        </top>
        <bottom style="medium">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0" tint="-0.14996795556505021"/>
        </patternFill>
      </fill>
      <alignment horizontal="center" vertical="center" textRotation="0" wrapText="1" indent="0" justifyLastLine="0" shrinkToFit="0" readingOrder="0"/>
    </dxf>
    <dxf>
      <border outline="0">
        <bottom style="thin">
          <color auto="1"/>
        </bottom>
      </border>
    </dxf>
    <dxf>
      <alignment horizontal="center" vertical="center" textRotation="0" wrapText="1" indent="0" justifyLastLine="0" shrinkToFit="0" readingOrder="0"/>
      <border diagonalUp="0" diagonalDown="0" outline="0">
        <left style="thin">
          <color auto="1"/>
        </left>
        <right style="thin">
          <color auto="1"/>
        </right>
        <top/>
        <bottom/>
      </border>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alignment horizontal="center" vertical="center" textRotation="0" wrapText="0" indent="0" justifyLastLine="0" shrinkToFit="0" readingOrder="0"/>
    </dxf>
    <dxf>
      <numFmt numFmtId="0" formatCode="General"/>
      <alignment horizontal="center" textRotation="0" indent="0" justifyLastLine="0" shrinkToFit="0" readingOrder="0"/>
    </dxf>
    <dxf>
      <numFmt numFmtId="0" formatCode="General"/>
      <alignment vertical="center" textRotation="0" indent="0" justifyLastLine="0" shrinkToFit="0" readingOrder="0"/>
    </dxf>
    <dxf>
      <numFmt numFmtId="0" formatCode="General"/>
      <alignment horizontal="center" textRotation="0" indent="0" justifyLastLine="0" shrinkToFit="0" readingOrder="0"/>
    </dxf>
    <dxf>
      <numFmt numFmtId="0" formatCode="General"/>
    </dxf>
    <dxf>
      <numFmt numFmtId="0" formatCode="General"/>
    </dxf>
    <dxf>
      <numFmt numFmtId="0" formatCode="General"/>
    </dxf>
    <dxf>
      <numFmt numFmtId="0" formatCode="General"/>
    </dxf>
    <dxf>
      <numFmt numFmtId="0" formatCode="General"/>
    </dxf>
    <dxf>
      <numFmt numFmtId="167" formatCode="#,##0.0"/>
      <alignment horizontal="center" vertical="center" textRotation="0" wrapText="1" indent="0" justifyLastLine="0" shrinkToFit="0" readingOrder="0"/>
      <border outline="0">
        <left style="thin">
          <color indexed="64"/>
        </left>
      </border>
    </dxf>
    <dxf>
      <numFmt numFmtId="167" formatCode="#,##0.0"/>
      <fill>
        <patternFill patternType="solid">
          <fgColor indexed="64"/>
          <bgColor theme="2"/>
        </patternFill>
      </fill>
      <alignment horizontal="center" vertical="center" textRotation="0" wrapText="1" indent="0" justifyLastLine="0" shrinkToFit="0" readingOrder="0"/>
      <border outline="0">
        <left style="thin">
          <color indexed="64"/>
        </left>
      </border>
    </dxf>
    <dxf>
      <numFmt numFmtId="164" formatCode="&quot;$&quot;#,##0.00"/>
      <fill>
        <patternFill patternType="solid">
          <fgColor indexed="64"/>
          <bgColor theme="2"/>
        </patternFill>
      </fill>
      <alignment horizontal="center" vertical="center" textRotation="0" wrapText="1" indent="0" justifyLastLine="0" shrinkToFit="0" readingOrder="0"/>
      <border outline="0">
        <left style="thin">
          <color indexed="64"/>
        </left>
        <right style="thin">
          <color indexed="64"/>
        </right>
      </border>
    </dxf>
    <dxf>
      <numFmt numFmtId="164" formatCode="&quot;$&quot;#,##0.00"/>
      <fill>
        <patternFill patternType="solid">
          <fgColor indexed="64"/>
          <bgColor theme="2"/>
        </patternFill>
      </fill>
      <alignment horizontal="center" vertical="center" textRotation="0" wrapText="1" indent="0" justifyLastLine="0" shrinkToFit="0" readingOrder="0"/>
      <border outline="0">
        <left style="thin">
          <color indexed="64"/>
        </left>
        <right style="thin">
          <color indexed="64"/>
        </right>
      </border>
    </dxf>
    <dxf>
      <numFmt numFmtId="164" formatCode="&quot;$&quot;#,##0.00"/>
      <fill>
        <patternFill patternType="solid">
          <fgColor indexed="64"/>
          <bgColor theme="2"/>
        </patternFill>
      </fill>
      <alignment horizontal="center" vertical="center" textRotation="0" wrapText="1" indent="0" justifyLastLine="0" shrinkToFit="0" readingOrder="0"/>
      <border outline="0">
        <left style="thin">
          <color indexed="64"/>
        </left>
        <right style="thin">
          <color indexed="64"/>
        </right>
      </border>
    </dxf>
    <dxf>
      <numFmt numFmtId="168" formatCode="#,##0.000"/>
      <fill>
        <patternFill patternType="solid">
          <fgColor indexed="64"/>
          <bgColor theme="2"/>
        </patternFill>
      </fill>
      <alignment horizontal="center" vertical="center" textRotation="0" wrapText="1" indent="0" justifyLastLine="0" shrinkToFit="0" readingOrder="0"/>
      <border outline="0">
        <left style="thin">
          <color indexed="64"/>
        </left>
        <right style="thin">
          <color indexed="64"/>
        </right>
      </border>
    </dxf>
    <dxf>
      <numFmt numFmtId="167" formatCode="#,##0.0"/>
      <fill>
        <patternFill patternType="solid">
          <fgColor indexed="64"/>
          <bgColor theme="2"/>
        </patternFill>
      </fill>
      <alignment horizontal="center" vertical="center" textRotation="0" wrapText="1" indent="0" justifyLastLine="0" shrinkToFit="0" readingOrder="0"/>
      <border outline="0">
        <left style="thin">
          <color indexed="64"/>
        </left>
        <right style="thin">
          <color indexed="64"/>
        </right>
      </border>
    </dxf>
    <dxf>
      <numFmt numFmtId="164" formatCode="&quot;$&quot;#,##0.00"/>
      <fill>
        <patternFill patternType="solid">
          <fgColor indexed="64"/>
          <bgColor theme="2"/>
        </patternFill>
      </fill>
      <alignment horizontal="center" vertical="center" textRotation="0" wrapText="1" indent="0" justifyLastLine="0" shrinkToFit="0" readingOrder="0"/>
      <border outline="0">
        <left style="thin">
          <color indexed="64"/>
        </left>
        <right style="thin">
          <color indexed="64"/>
        </right>
      </border>
    </dxf>
    <dxf>
      <numFmt numFmtId="164" formatCode="&quot;$&quot;#,##0.00"/>
      <fill>
        <patternFill patternType="solid">
          <fgColor indexed="64"/>
          <bgColor theme="2"/>
        </patternFill>
      </fill>
      <alignment horizontal="center" vertical="center" textRotation="0" wrapText="1" indent="0" justifyLastLine="0" shrinkToFit="0" readingOrder="0"/>
      <border outline="0">
        <left style="thin">
          <color indexed="64"/>
        </left>
        <right style="thin">
          <color indexed="64"/>
        </right>
      </border>
    </dxf>
    <dxf>
      <numFmt numFmtId="165" formatCode="&quot;$&quot;#,##0"/>
      <fill>
        <patternFill patternType="solid">
          <fgColor indexed="64"/>
          <bgColor theme="0" tint="-4.9989318521683403E-2"/>
        </patternFill>
      </fill>
      <alignment horizontal="center" vertical="center" textRotation="0" wrapText="1" indent="0" justifyLastLine="0" shrinkToFit="0" readingOrder="0"/>
      <border outline="0">
        <left style="thin">
          <color indexed="64"/>
        </left>
        <right style="thin">
          <color indexed="64"/>
        </right>
      </border>
    </dxf>
    <dxf>
      <numFmt numFmtId="165" formatCode="&quot;$&quot;#,##0"/>
      <fill>
        <patternFill patternType="solid">
          <fgColor indexed="64"/>
          <bgColor theme="0" tint="-4.9989318521683403E-2"/>
        </patternFill>
      </fill>
      <alignment horizontal="center" vertical="center" textRotation="0" wrapText="1" indent="0" justifyLastLine="0" shrinkToFit="0" readingOrder="0"/>
      <border outline="0">
        <left style="thin">
          <color indexed="64"/>
        </left>
        <right style="thin">
          <color indexed="64"/>
        </right>
      </border>
    </dxf>
    <dxf>
      <numFmt numFmtId="3" formatCode="#,##0"/>
      <fill>
        <patternFill patternType="solid">
          <fgColor indexed="64"/>
          <bgColor theme="0" tint="-4.9989318521683403E-2"/>
        </patternFill>
      </fill>
      <alignment horizontal="center" vertical="center" textRotation="0" wrapText="1" indent="0" justifyLastLine="0" shrinkToFit="0" readingOrder="0"/>
      <border outline="0">
        <left style="thin">
          <color indexed="64"/>
        </left>
        <right style="thin">
          <color indexed="64"/>
        </right>
      </border>
    </dxf>
    <dxf>
      <numFmt numFmtId="3" formatCode="#,##0"/>
      <fill>
        <patternFill patternType="solid">
          <fgColor indexed="64"/>
          <bgColor theme="0" tint="-4.9989318521683403E-2"/>
        </patternFill>
      </fill>
      <alignment horizontal="center" vertical="center" textRotation="0" wrapText="1" indent="0" justifyLastLine="0" shrinkToFit="0" readingOrder="0"/>
      <border outline="0">
        <left style="thin">
          <color indexed="64"/>
        </left>
        <right style="thin">
          <color indexed="64"/>
        </right>
      </border>
    </dxf>
    <dxf>
      <numFmt numFmtId="3" formatCode="#,##0"/>
      <fill>
        <patternFill patternType="solid">
          <fgColor indexed="64"/>
          <bgColor theme="0" tint="-4.9989318521683403E-2"/>
        </patternFill>
      </fill>
      <alignment horizontal="center" vertical="center" textRotation="0" wrapText="1" indent="0" justifyLastLine="0" shrinkToFit="0" readingOrder="0"/>
      <border outline="0">
        <left style="thin">
          <color indexed="64"/>
        </left>
        <right style="thin">
          <color indexed="64"/>
        </right>
      </border>
    </dxf>
    <dxf>
      <numFmt numFmtId="3" formatCode="#,##0"/>
      <fill>
        <patternFill patternType="solid">
          <fgColor indexed="64"/>
          <bgColor theme="0" tint="-4.9989318521683403E-2"/>
        </patternFill>
      </fill>
      <alignment horizontal="center" vertical="center" textRotation="0" wrapText="1" indent="0" justifyLastLine="0" shrinkToFit="0" readingOrder="0"/>
      <border outline="0">
        <left style="thin">
          <color indexed="64"/>
        </left>
        <right style="thin">
          <color indexed="64"/>
        </right>
      </border>
    </dxf>
    <dxf>
      <numFmt numFmtId="3" formatCode="#,##0"/>
      <fill>
        <patternFill patternType="solid">
          <fgColor indexed="64"/>
          <bgColor theme="0" tint="-4.9989318521683403E-2"/>
        </patternFill>
      </fill>
      <alignment horizontal="center" vertical="center" textRotation="0" wrapText="1" indent="0" justifyLastLine="0" shrinkToFit="0" readingOrder="0"/>
      <border outline="0">
        <left style="thin">
          <color indexed="64"/>
        </left>
        <right style="thin">
          <color indexed="64"/>
        </right>
      </border>
    </dxf>
    <dxf>
      <fill>
        <patternFill patternType="solid">
          <fgColor indexed="64"/>
          <bgColor theme="0" tint="-4.9989318521683403E-2"/>
        </patternFill>
      </fill>
      <alignment horizontal="center" vertical="center" textRotation="0" wrapText="1" indent="0" justifyLastLine="0" shrinkToFit="0" readingOrder="0"/>
      <border outline="0">
        <left style="thin">
          <color indexed="64"/>
        </left>
        <right style="thin">
          <color indexed="64"/>
        </right>
      </border>
    </dxf>
    <dxf>
      <numFmt numFmtId="3" formatCode="#,##0"/>
      <fill>
        <patternFill patternType="solid">
          <fgColor indexed="64"/>
          <bgColor theme="0" tint="-4.9989318521683403E-2"/>
        </patternFill>
      </fill>
      <alignment horizontal="center" vertical="center" textRotation="0" wrapText="1" indent="0" justifyLastLine="0" shrinkToFit="0" readingOrder="0"/>
      <border outline="0">
        <left style="thin">
          <color indexed="64"/>
        </left>
        <right style="thin">
          <color indexed="64"/>
        </right>
      </border>
    </dxf>
    <dxf>
      <fill>
        <patternFill patternType="solid">
          <fgColor indexed="64"/>
          <bgColor theme="0" tint="-4.9989318521683403E-2"/>
        </patternFill>
      </fill>
      <alignment horizontal="center" vertical="center" textRotation="0" wrapText="1" indent="0" justifyLastLine="0" shrinkToFit="0" readingOrder="0"/>
      <border outline="0">
        <left style="thin">
          <color indexed="64"/>
        </left>
        <right style="thin">
          <color indexed="64"/>
        </right>
      </border>
    </dxf>
    <dxf>
      <fill>
        <patternFill patternType="solid">
          <fgColor indexed="64"/>
          <bgColor theme="0" tint="-4.9989318521683403E-2"/>
        </patternFill>
      </fill>
      <alignment horizontal="center" vertical="center" textRotation="0" wrapText="1" indent="0" justifyLastLine="0" shrinkToFit="0" readingOrder="0"/>
      <border outline="0">
        <left style="thin">
          <color indexed="64"/>
        </left>
        <right style="thin">
          <color indexed="64"/>
        </right>
      </border>
    </dxf>
    <dxf>
      <font>
        <strike/>
        <color rgb="FF000000"/>
      </font>
      <numFmt numFmtId="3" formatCode="#,##0"/>
      <fill>
        <patternFill patternType="solid">
          <fgColor indexed="64"/>
          <bgColor theme="0" tint="-4.9989318521683403E-2"/>
        </patternFill>
      </fill>
      <alignment horizontal="center" vertical="center" textRotation="0" wrapText="1" indent="0" justifyLastLine="0" shrinkToFit="0" readingOrder="0"/>
      <border outline="0">
        <left style="thin">
          <color indexed="64"/>
        </left>
        <right style="thin">
          <color indexed="64"/>
        </right>
      </border>
    </dxf>
    <dxf>
      <numFmt numFmtId="0" formatCode="General"/>
      <fill>
        <patternFill patternType="solid">
          <fgColor indexed="64"/>
          <bgColor theme="2"/>
        </patternFill>
      </fill>
      <alignment horizontal="center" vertical="center" textRotation="0" wrapText="1" indent="0" justifyLastLine="0" shrinkToFit="0" readingOrder="0"/>
      <border outline="0">
        <left style="thin">
          <color indexed="64"/>
        </left>
        <right style="thin">
          <color indexed="64"/>
        </right>
      </border>
    </dxf>
    <dxf>
      <fill>
        <patternFill patternType="solid">
          <fgColor indexed="64"/>
          <bgColor theme="0" tint="-4.9989318521683403E-2"/>
        </patternFill>
      </fill>
      <alignment horizontal="center" vertical="center" textRotation="0" wrapText="1" indent="0" justifyLastLine="0" shrinkToFit="0" readingOrder="0"/>
      <border outline="0">
        <left style="thin">
          <color indexed="64"/>
        </left>
        <right style="thin">
          <color indexed="64"/>
        </right>
      </border>
    </dxf>
    <dxf>
      <fill>
        <patternFill patternType="solid">
          <fgColor indexed="64"/>
          <bgColor theme="0" tint="-4.9989318521683403E-2"/>
        </patternFill>
      </fill>
      <alignment horizontal="center" vertical="center" textRotation="0" wrapText="1" indent="0" justifyLastLine="0" shrinkToFit="0" readingOrder="0"/>
      <border outline="0">
        <left style="thin">
          <color indexed="64"/>
        </left>
        <right style="thin">
          <color indexed="64"/>
        </right>
      </border>
    </dxf>
    <dxf>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solid">
          <fgColor indexed="64"/>
          <bgColor theme="2"/>
        </patternFill>
      </fill>
      <alignment horizontal="center" vertical="center" textRotation="0" wrapText="1" indent="0" justifyLastLine="0" shrinkToFit="0" readingOrder="0"/>
      <border outline="0">
        <left style="thin">
          <color indexed="64"/>
        </left>
        <right style="thin">
          <color indexed="64"/>
        </right>
      </border>
    </dxf>
    <dxf>
      <font>
        <strike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diagonalUp="0" diagonalDown="0" outline="0">
        <left style="thin">
          <color auto="1"/>
        </left>
        <right style="thin">
          <color auto="1"/>
        </right>
        <top/>
        <bottom/>
      </border>
    </dxf>
    <dxf>
      <fill>
        <patternFill patternType="solid">
          <fgColor auto="1"/>
          <bgColor rgb="FFF7F7F7"/>
        </patternFill>
      </fill>
    </dxf>
    <dxf>
      <fill>
        <patternFill patternType="solid">
          <fgColor auto="1"/>
          <bgColor theme="0" tint="-0.1499679555650502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patternType="solid">
          <fgColor theme="5" tint="0.79998168889431442"/>
          <bgColor theme="5" tint="0.79998168889431442"/>
        </patternFill>
      </fill>
    </dxf>
    <dxf>
      <fill>
        <patternFill patternType="solid">
          <fgColor theme="5" tint="0.79998168889431442"/>
          <bgColor theme="5" tint="0.79998168889431442"/>
        </patternFill>
      </fill>
    </dxf>
    <dxf>
      <font>
        <b/>
        <color theme="1"/>
      </font>
    </dxf>
    <dxf>
      <font>
        <b/>
        <color theme="1"/>
      </font>
    </dxf>
    <dxf>
      <font>
        <b/>
        <color theme="1"/>
      </font>
      <border>
        <top style="double">
          <color theme="5"/>
        </top>
      </border>
    </dxf>
    <dxf>
      <font>
        <b/>
        <i val="0"/>
        <strike val="0"/>
        <color theme="0"/>
      </font>
      <fill>
        <patternFill>
          <bgColor theme="5"/>
        </patternFill>
      </fill>
      <border>
        <bottom style="medium">
          <color theme="5"/>
        </bottom>
      </border>
    </dxf>
    <dxf>
      <font>
        <color theme="1"/>
      </font>
      <border>
        <left style="thin">
          <color theme="5"/>
        </left>
        <right style="thin">
          <color theme="5"/>
        </right>
        <top style="thin">
          <color theme="5"/>
        </top>
        <bottom style="thin">
          <color theme="5"/>
        </bottom>
        <vertical style="thin">
          <color theme="5"/>
        </vertical>
        <horizontal style="thin">
          <color theme="5"/>
        </horizontal>
      </border>
    </dxf>
    <dxf>
      <fill>
        <patternFill patternType="solid">
          <fgColor theme="0"/>
          <bgColor rgb="FFFFEAA7"/>
        </patternFill>
      </fill>
    </dxf>
    <dxf>
      <fill>
        <patternFill patternType="solid">
          <fgColor theme="7"/>
          <bgColor rgb="FFFFD54F"/>
        </patternFill>
      </fill>
    </dxf>
    <dxf>
      <border>
        <vertical style="thin">
          <color auto="1"/>
        </vertical>
        <horizontal style="thin">
          <color auto="1"/>
        </horizontal>
      </border>
    </dxf>
    <dxf>
      <fill>
        <patternFill patternType="gray125">
          <fgColor theme="7"/>
        </patternFill>
      </fill>
    </dxf>
    <dxf>
      <fill>
        <patternFill patternType="mediumGray">
          <fgColor theme="7"/>
        </patternFill>
      </fill>
    </dxf>
    <dxf>
      <border>
        <vertical style="thin">
          <color auto="1"/>
        </vertical>
        <horizontal style="thin">
          <color auto="1"/>
        </horizontal>
      </border>
    </dxf>
  </dxfs>
  <tableStyles count="5" defaultTableStyle="Lookup Table" defaultPivotStyle="PivotStyleLight16">
    <tableStyle name="Input Cells" pivot="0" count="3" xr9:uid="{00000000-0011-0000-FFFF-FFFF00000000}">
      <tableStyleElement type="wholeTable" dxfId="263"/>
      <tableStyleElement type="firstRowStripe" dxfId="262"/>
      <tableStyleElement type="secondRowStripe" dxfId="261"/>
    </tableStyle>
    <tableStyle name="Input Cells 2" pivot="0" count="3" xr9:uid="{C2C6F8B6-F1BF-4C38-8C6C-F5810E96A7ED}">
      <tableStyleElement type="wholeTable" dxfId="260"/>
      <tableStyleElement type="firstRowStripe" dxfId="259"/>
      <tableStyleElement type="secondRowStripe" dxfId="258"/>
    </tableStyle>
    <tableStyle name="Invisible" pivot="0" table="0" count="0" xr9:uid="{608B31E0-24D9-463C-B6F1-B39AD8790504}"/>
    <tableStyle name="Lookup Table" pivot="0" count="7" xr9:uid="{7A430CEC-830A-4AC1-B89A-72EA92F001D4}">
      <tableStyleElement type="wholeTable" dxfId="257"/>
      <tableStyleElement type="headerRow" dxfId="256"/>
      <tableStyleElement type="totalRow" dxfId="255"/>
      <tableStyleElement type="firstColumn" dxfId="254"/>
      <tableStyleElement type="lastColumn" dxfId="253"/>
      <tableStyleElement type="firstRowStripe" dxfId="252"/>
      <tableStyleElement type="firstColumnStripe" dxfId="251"/>
    </tableStyle>
    <tableStyle name="No Input" pivot="0" count="3" xr9:uid="{6B172CA5-6E53-4EC8-A05C-2C0F8F85993F}">
      <tableStyleElement type="wholeTable" dxfId="250"/>
      <tableStyleElement type="firstRowStripe" dxfId="249"/>
      <tableStyleElement type="secondRowStripe" dxfId="248"/>
    </tableStyle>
  </tableStyles>
  <colors>
    <mruColors>
      <color rgb="FFC0C0C0"/>
      <color rgb="FF8DC63F"/>
      <color rgb="FFF2F2F2"/>
      <color rgb="FF006E51"/>
      <color rgb="FFC9E4A6"/>
      <color rgb="FFFFF2CC"/>
      <color rgb="FFFFFFCC"/>
      <color rgb="FF000000"/>
      <color rgb="FFDDDDDD"/>
      <color rgb="FF002D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4</xdr:col>
      <xdr:colOff>1516379</xdr:colOff>
      <xdr:row>26</xdr:row>
      <xdr:rowOff>291723</xdr:rowOff>
    </xdr:from>
    <xdr:to>
      <xdr:col>4</xdr:col>
      <xdr:colOff>2569300</xdr:colOff>
      <xdr:row>28</xdr:row>
      <xdr:rowOff>81494</xdr:rowOff>
    </xdr:to>
    <xdr:pic>
      <xdr:nvPicPr>
        <xdr:cNvPr id="3" name="Picture 2">
          <a:extLst>
            <a:ext uri="{FF2B5EF4-FFF2-40B4-BE49-F238E27FC236}">
              <a16:creationId xmlns:a16="http://schemas.microsoft.com/office/drawing/2014/main" id="{DEB3BC3F-7FFE-4654-B1A3-36BEA3DC65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40779" y="11325483"/>
          <a:ext cx="1052921" cy="277451"/>
        </a:xfrm>
        <a:prstGeom prst="rect">
          <a:avLst/>
        </a:prstGeom>
      </xdr:spPr>
    </xdr:pic>
    <xdr:clientData/>
  </xdr:twoCellAnchor>
  <xdr:twoCellAnchor editAs="oneCell">
    <xdr:from>
      <xdr:col>1</xdr:col>
      <xdr:colOff>19051</xdr:colOff>
      <xdr:row>0</xdr:row>
      <xdr:rowOff>209550</xdr:rowOff>
    </xdr:from>
    <xdr:to>
      <xdr:col>2</xdr:col>
      <xdr:colOff>714376</xdr:colOff>
      <xdr:row>0</xdr:row>
      <xdr:rowOff>705574</xdr:rowOff>
    </xdr:to>
    <xdr:pic>
      <xdr:nvPicPr>
        <xdr:cNvPr id="4" name="Picture 3">
          <a:extLst>
            <a:ext uri="{FF2B5EF4-FFF2-40B4-BE49-F238E27FC236}">
              <a16:creationId xmlns:a16="http://schemas.microsoft.com/office/drawing/2014/main" id="{57C41C80-30EE-4D97-8CF3-7BBB5F53B28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3351" y="209550"/>
          <a:ext cx="1638300" cy="4960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1744265</xdr:colOff>
      <xdr:row>36</xdr:row>
      <xdr:rowOff>214690</xdr:rowOff>
    </xdr:from>
    <xdr:to>
      <xdr:col>6</xdr:col>
      <xdr:colOff>9799</xdr:colOff>
      <xdr:row>37</xdr:row>
      <xdr:rowOff>110580</xdr:rowOff>
    </xdr:to>
    <xdr:pic>
      <xdr:nvPicPr>
        <xdr:cNvPr id="2" name="Picture 1">
          <a:extLst>
            <a:ext uri="{FF2B5EF4-FFF2-40B4-BE49-F238E27FC236}">
              <a16:creationId xmlns:a16="http://schemas.microsoft.com/office/drawing/2014/main" id="{5399E6BA-F520-4255-8986-9A636B8A03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70156" y="8031143"/>
          <a:ext cx="873002" cy="217359"/>
        </a:xfrm>
        <a:prstGeom prst="rect">
          <a:avLst/>
        </a:prstGeom>
      </xdr:spPr>
    </xdr:pic>
    <xdr:clientData/>
  </xdr:twoCellAnchor>
  <xdr:twoCellAnchor editAs="oneCell">
    <xdr:from>
      <xdr:col>1</xdr:col>
      <xdr:colOff>28576</xdr:colOff>
      <xdr:row>0</xdr:row>
      <xdr:rowOff>123826</xdr:rowOff>
    </xdr:from>
    <xdr:to>
      <xdr:col>1</xdr:col>
      <xdr:colOff>1238250</xdr:colOff>
      <xdr:row>0</xdr:row>
      <xdr:rowOff>478664</xdr:rowOff>
    </xdr:to>
    <xdr:pic>
      <xdr:nvPicPr>
        <xdr:cNvPr id="5" name="Picture 4">
          <a:extLst>
            <a:ext uri="{FF2B5EF4-FFF2-40B4-BE49-F238E27FC236}">
              <a16:creationId xmlns:a16="http://schemas.microsoft.com/office/drawing/2014/main" id="{3C1D80DF-3B0F-1E24-DD5B-CBBE02665EC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3357" y="123826"/>
          <a:ext cx="1209674" cy="3548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975359</xdr:colOff>
      <xdr:row>18</xdr:row>
      <xdr:rowOff>12111</xdr:rowOff>
    </xdr:from>
    <xdr:to>
      <xdr:col>4</xdr:col>
      <xdr:colOff>1864450</xdr:colOff>
      <xdr:row>19</xdr:row>
      <xdr:rowOff>79589</xdr:rowOff>
    </xdr:to>
    <xdr:pic>
      <xdr:nvPicPr>
        <xdr:cNvPr id="2" name="Picture 1">
          <a:extLst>
            <a:ext uri="{FF2B5EF4-FFF2-40B4-BE49-F238E27FC236}">
              <a16:creationId xmlns:a16="http://schemas.microsoft.com/office/drawing/2014/main" id="{20E6A68D-D9D8-498B-A30B-25061D7EE1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499" y="4142151"/>
          <a:ext cx="889091" cy="244643"/>
        </a:xfrm>
        <a:prstGeom prst="rect">
          <a:avLst/>
        </a:prstGeom>
      </xdr:spPr>
    </xdr:pic>
    <xdr:clientData/>
  </xdr:twoCellAnchor>
  <xdr:twoCellAnchor editAs="oneCell">
    <xdr:from>
      <xdr:col>1</xdr:col>
      <xdr:colOff>30479</xdr:colOff>
      <xdr:row>0</xdr:row>
      <xdr:rowOff>137160</xdr:rowOff>
    </xdr:from>
    <xdr:to>
      <xdr:col>1</xdr:col>
      <xdr:colOff>1746883</xdr:colOff>
      <xdr:row>0</xdr:row>
      <xdr:rowOff>641985</xdr:rowOff>
    </xdr:to>
    <xdr:pic>
      <xdr:nvPicPr>
        <xdr:cNvPr id="3" name="Picture 2">
          <a:extLst>
            <a:ext uri="{FF2B5EF4-FFF2-40B4-BE49-F238E27FC236}">
              <a16:creationId xmlns:a16="http://schemas.microsoft.com/office/drawing/2014/main" id="{B781D2F9-FE09-4757-A233-1DFE13C66E1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019" y="137160"/>
          <a:ext cx="1714499" cy="502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0</xdr:row>
      <xdr:rowOff>85725</xdr:rowOff>
    </xdr:from>
    <xdr:to>
      <xdr:col>3</xdr:col>
      <xdr:colOff>638607</xdr:colOff>
      <xdr:row>1</xdr:row>
      <xdr:rowOff>114300</xdr:rowOff>
    </xdr:to>
    <xdr:pic>
      <xdr:nvPicPr>
        <xdr:cNvPr id="4" name="Picture 3">
          <a:extLst>
            <a:ext uri="{FF2B5EF4-FFF2-40B4-BE49-F238E27FC236}">
              <a16:creationId xmlns:a16="http://schemas.microsoft.com/office/drawing/2014/main" id="{55CE0CC0-1CAD-4461-A11B-3AEC3D2274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85725"/>
          <a:ext cx="1591107" cy="466725"/>
        </a:xfrm>
        <a:prstGeom prst="rect">
          <a:avLst/>
        </a:prstGeom>
      </xdr:spPr>
    </xdr:pic>
    <xdr:clientData/>
  </xdr:twoCellAnchor>
  <xdr:twoCellAnchor editAs="oneCell">
    <xdr:from>
      <xdr:col>1</xdr:col>
      <xdr:colOff>0</xdr:colOff>
      <xdr:row>209</xdr:row>
      <xdr:rowOff>22860</xdr:rowOff>
    </xdr:from>
    <xdr:to>
      <xdr:col>2</xdr:col>
      <xdr:colOff>523331</xdr:colOff>
      <xdr:row>210</xdr:row>
      <xdr:rowOff>107483</xdr:rowOff>
    </xdr:to>
    <xdr:pic>
      <xdr:nvPicPr>
        <xdr:cNvPr id="3" name="Picture 2">
          <a:extLst>
            <a:ext uri="{FF2B5EF4-FFF2-40B4-BE49-F238E27FC236}">
              <a16:creationId xmlns:a16="http://schemas.microsoft.com/office/drawing/2014/main" id="{E442F827-EE52-4D5B-B6D7-C530E293B56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4780" y="37939980"/>
          <a:ext cx="889091" cy="2446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971550</xdr:colOff>
      <xdr:row>105</xdr:row>
      <xdr:rowOff>152400</xdr:rowOff>
    </xdr:from>
    <xdr:to>
      <xdr:col>6</xdr:col>
      <xdr:colOff>692876</xdr:colOff>
      <xdr:row>108</xdr:row>
      <xdr:rowOff>91020</xdr:rowOff>
    </xdr:to>
    <xdr:pic>
      <xdr:nvPicPr>
        <xdr:cNvPr id="2" name="Picture 1">
          <a:extLst>
            <a:ext uri="{FF2B5EF4-FFF2-40B4-BE49-F238E27FC236}">
              <a16:creationId xmlns:a16="http://schemas.microsoft.com/office/drawing/2014/main" id="{7FD42985-4610-4BD8-8596-CDAF38D81C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48125" y="34318575"/>
          <a:ext cx="1664426" cy="424395"/>
        </a:xfrm>
        <a:prstGeom prst="rect">
          <a:avLst/>
        </a:prstGeom>
      </xdr:spPr>
    </xdr:pic>
    <xdr:clientData/>
  </xdr:twoCellAnchor>
  <xdr:twoCellAnchor editAs="oneCell">
    <xdr:from>
      <xdr:col>1</xdr:col>
      <xdr:colOff>47625</xdr:colOff>
      <xdr:row>0</xdr:row>
      <xdr:rowOff>161925</xdr:rowOff>
    </xdr:from>
    <xdr:to>
      <xdr:col>3</xdr:col>
      <xdr:colOff>582391</xdr:colOff>
      <xdr:row>0</xdr:row>
      <xdr:rowOff>638175</xdr:rowOff>
    </xdr:to>
    <xdr:pic>
      <xdr:nvPicPr>
        <xdr:cNvPr id="3" name="Picture 2">
          <a:extLst>
            <a:ext uri="{FF2B5EF4-FFF2-40B4-BE49-F238E27FC236}">
              <a16:creationId xmlns:a16="http://schemas.microsoft.com/office/drawing/2014/main" id="{E2D7E712-FE63-48B3-A312-8F5BDD259A4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161925"/>
          <a:ext cx="1572991" cy="4762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16</xdr:col>
      <xdr:colOff>342900</xdr:colOff>
      <xdr:row>205</xdr:row>
      <xdr:rowOff>126291</xdr:rowOff>
    </xdr:from>
    <xdr:to>
      <xdr:col>17</xdr:col>
      <xdr:colOff>616676</xdr:colOff>
      <xdr:row>207</xdr:row>
      <xdr:rowOff>100545</xdr:rowOff>
    </xdr:to>
    <xdr:pic>
      <xdr:nvPicPr>
        <xdr:cNvPr id="2" name="Picture 1">
          <a:extLst>
            <a:ext uri="{FF2B5EF4-FFF2-40B4-BE49-F238E27FC236}">
              <a16:creationId xmlns:a16="http://schemas.microsoft.com/office/drawing/2014/main" id="{51035FE1-1896-493D-B70E-2CE0F5F30E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021050" y="34397241"/>
          <a:ext cx="1169126" cy="298104"/>
        </a:xfrm>
        <a:prstGeom prst="rect">
          <a:avLst/>
        </a:prstGeom>
      </xdr:spPr>
    </xdr:pic>
    <xdr:clientData/>
  </xdr:twoCellAnchor>
  <xdr:twoCellAnchor editAs="oneCell">
    <xdr:from>
      <xdr:col>1</xdr:col>
      <xdr:colOff>38101</xdr:colOff>
      <xdr:row>0</xdr:row>
      <xdr:rowOff>171450</xdr:rowOff>
    </xdr:from>
    <xdr:to>
      <xdr:col>3</xdr:col>
      <xdr:colOff>409576</xdr:colOff>
      <xdr:row>0</xdr:row>
      <xdr:rowOff>598261</xdr:rowOff>
    </xdr:to>
    <xdr:pic>
      <xdr:nvPicPr>
        <xdr:cNvPr id="3" name="Picture 2">
          <a:extLst>
            <a:ext uri="{FF2B5EF4-FFF2-40B4-BE49-F238E27FC236}">
              <a16:creationId xmlns:a16="http://schemas.microsoft.com/office/drawing/2014/main" id="{0DBE1E8C-FFEB-43B8-AEE1-7080BE3FEC0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0976" y="171450"/>
          <a:ext cx="1409700" cy="42681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419099</xdr:colOff>
      <xdr:row>1338</xdr:row>
      <xdr:rowOff>14230</xdr:rowOff>
    </xdr:from>
    <xdr:to>
      <xdr:col>8</xdr:col>
      <xdr:colOff>1616800</xdr:colOff>
      <xdr:row>1339</xdr:row>
      <xdr:rowOff>157695</xdr:rowOff>
    </xdr:to>
    <xdr:pic>
      <xdr:nvPicPr>
        <xdr:cNvPr id="2" name="Picture 1">
          <a:extLst>
            <a:ext uri="{FF2B5EF4-FFF2-40B4-BE49-F238E27FC236}">
              <a16:creationId xmlns:a16="http://schemas.microsoft.com/office/drawing/2014/main" id="{6D534C10-9B10-4F0F-8E43-087339E1B0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44274" y="218155780"/>
          <a:ext cx="1197701" cy="305390"/>
        </a:xfrm>
        <a:prstGeom prst="rect">
          <a:avLst/>
        </a:prstGeom>
      </xdr:spPr>
    </xdr:pic>
    <xdr:clientData/>
  </xdr:twoCellAnchor>
  <xdr:twoCellAnchor editAs="oneCell">
    <xdr:from>
      <xdr:col>0</xdr:col>
      <xdr:colOff>66675</xdr:colOff>
      <xdr:row>0</xdr:row>
      <xdr:rowOff>180975</xdr:rowOff>
    </xdr:from>
    <xdr:to>
      <xdr:col>1</xdr:col>
      <xdr:colOff>1090971</xdr:colOff>
      <xdr:row>1</xdr:row>
      <xdr:rowOff>76200</xdr:rowOff>
    </xdr:to>
    <xdr:pic>
      <xdr:nvPicPr>
        <xdr:cNvPr id="3" name="Picture 2">
          <a:extLst>
            <a:ext uri="{FF2B5EF4-FFF2-40B4-BE49-F238E27FC236}">
              <a16:creationId xmlns:a16="http://schemas.microsoft.com/office/drawing/2014/main" id="{BC856CA5-89AC-4239-81C2-533BE46973D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5" y="180975"/>
          <a:ext cx="1510071" cy="4572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133350</xdr:colOff>
      <xdr:row>29</xdr:row>
      <xdr:rowOff>141243</xdr:rowOff>
    </xdr:from>
    <xdr:to>
      <xdr:col>6</xdr:col>
      <xdr:colOff>1169126</xdr:colOff>
      <xdr:row>31</xdr:row>
      <xdr:rowOff>81495</xdr:rowOff>
    </xdr:to>
    <xdr:pic>
      <xdr:nvPicPr>
        <xdr:cNvPr id="2" name="Picture 1">
          <a:extLst>
            <a:ext uri="{FF2B5EF4-FFF2-40B4-BE49-F238E27FC236}">
              <a16:creationId xmlns:a16="http://schemas.microsoft.com/office/drawing/2014/main" id="{6B000C7F-91B3-4A16-ACDA-4421FA0542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67450" y="7237368"/>
          <a:ext cx="1035776" cy="264102"/>
        </a:xfrm>
        <a:prstGeom prst="rect">
          <a:avLst/>
        </a:prstGeom>
      </xdr:spPr>
    </xdr:pic>
    <xdr:clientData/>
  </xdr:twoCellAnchor>
  <xdr:twoCellAnchor editAs="oneCell">
    <xdr:from>
      <xdr:col>1</xdr:col>
      <xdr:colOff>28575</xdr:colOff>
      <xdr:row>0</xdr:row>
      <xdr:rowOff>161925</xdr:rowOff>
    </xdr:from>
    <xdr:to>
      <xdr:col>2</xdr:col>
      <xdr:colOff>312806</xdr:colOff>
      <xdr:row>0</xdr:row>
      <xdr:rowOff>628650</xdr:rowOff>
    </xdr:to>
    <xdr:pic>
      <xdr:nvPicPr>
        <xdr:cNvPr id="3" name="Picture 2">
          <a:extLst>
            <a:ext uri="{FF2B5EF4-FFF2-40B4-BE49-F238E27FC236}">
              <a16:creationId xmlns:a16="http://schemas.microsoft.com/office/drawing/2014/main" id="{CE5DE5B8-87D8-4669-B84A-AC9E16F61C9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875" y="161925"/>
          <a:ext cx="1541531" cy="4667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638175</xdr:colOff>
      <xdr:row>44</xdr:row>
      <xdr:rowOff>152400</xdr:rowOff>
    </xdr:from>
    <xdr:to>
      <xdr:col>6</xdr:col>
      <xdr:colOff>1111976</xdr:colOff>
      <xdr:row>47</xdr:row>
      <xdr:rowOff>91020</xdr:rowOff>
    </xdr:to>
    <xdr:pic>
      <xdr:nvPicPr>
        <xdr:cNvPr id="2" name="Picture 1">
          <a:extLst>
            <a:ext uri="{FF2B5EF4-FFF2-40B4-BE49-F238E27FC236}">
              <a16:creationId xmlns:a16="http://schemas.microsoft.com/office/drawing/2014/main" id="{DE8C1F4A-855B-44DF-BDF0-A0A52AF217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81650" y="7905750"/>
          <a:ext cx="1664426" cy="424395"/>
        </a:xfrm>
        <a:prstGeom prst="rect">
          <a:avLst/>
        </a:prstGeom>
      </xdr:spPr>
    </xdr:pic>
    <xdr:clientData/>
  </xdr:twoCellAnchor>
  <xdr:twoCellAnchor editAs="oneCell">
    <xdr:from>
      <xdr:col>4</xdr:col>
      <xdr:colOff>704850</xdr:colOff>
      <xdr:row>0</xdr:row>
      <xdr:rowOff>95250</xdr:rowOff>
    </xdr:from>
    <xdr:to>
      <xdr:col>7</xdr:col>
      <xdr:colOff>60564</xdr:colOff>
      <xdr:row>5</xdr:row>
      <xdr:rowOff>67228</xdr:rowOff>
    </xdr:to>
    <xdr:pic>
      <xdr:nvPicPr>
        <xdr:cNvPr id="3" name="Picture 2">
          <a:extLst>
            <a:ext uri="{FF2B5EF4-FFF2-40B4-BE49-F238E27FC236}">
              <a16:creationId xmlns:a16="http://schemas.microsoft.com/office/drawing/2014/main" id="{082DEC46-B0FF-4254-A50A-542B19FF353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57700" y="95250"/>
          <a:ext cx="2927589" cy="8863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spencer_kurtz_aptim_com/Documents/Desktop/ENO%20Program%20Files/Program%20Calculator%20Templates/2024/Energy_Smart_Non-Lighting_Workbook_v3.1%20-%20Unlock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spencer_kurtz_aptim_com/Documents/Desktop/ELL%20Program%20Files/Program%20Template%20Docs%20&amp;%20Calculators/2024%20Template%20Calculators/ELL_Non-Lighting%20Workbook_Unprotected_2024%20v4.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ersonal/andrew_sheaffer_aptim_com/_vti_history/121856/Documents/Documents/Files/Calc%20rework/ENO%20Combined%20Calculato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ites/capture1/631216186PH/ENO_Internal/Ops_Eng/Engineering/Tools/Program%20Calculators/2023%20Applications/Distributable%20ENO%20Non-Lighting%20Applic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pplication"/>
      <sheetName val="Signature"/>
      <sheetName val="HVAC"/>
      <sheetName val="Refrigeration"/>
      <sheetName val="Com Kitchen"/>
      <sheetName val="Window Film"/>
      <sheetName val="Efficient Windows"/>
      <sheetName val="Misc"/>
      <sheetName val="Custom"/>
      <sheetName val="Summary"/>
      <sheetName val="Completion"/>
      <sheetName val="References"/>
      <sheetName val="HVAC Calcs"/>
      <sheetName val="Caps"/>
      <sheetName val="QC"/>
      <sheetName val="Proj Data"/>
      <sheetName val="APTracks Export Data"/>
      <sheetName val="Change Log"/>
      <sheetName val="Energy_Smart_Non-Lighting_Workb"/>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llable application &amp; instruct"/>
      <sheetName val="Equipment qualifications"/>
      <sheetName val="Summary"/>
      <sheetName val="HVAC"/>
      <sheetName val="Refrigeration"/>
      <sheetName val="Food service"/>
      <sheetName val="Misc."/>
      <sheetName val="Custom"/>
      <sheetName val="Completion notice"/>
      <sheetName val="QC"/>
      <sheetName val="Printable application"/>
      <sheetName val="Lookups"/>
      <sheetName val="Savings Lookups"/>
      <sheetName val="APTracks Export Data"/>
      <sheetName val="Change Log"/>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sheetData sheetId="10" refreshError="1"/>
      <sheetData sheetId="11"/>
      <sheetData sheetId="12"/>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V"/>
      <sheetName val="Summary"/>
      <sheetName val="Review"/>
      <sheetName val="EnSmPC"/>
      <sheetName val="Tables"/>
      <sheetName val="Library"/>
      <sheetName val="Analysis"/>
      <sheetName val="WE"/>
      <sheetName val="OE"/>
      <sheetName val="EQ"/>
      <sheetName val="TAC"/>
      <sheetName val="PA"/>
      <sheetName val="AS"/>
      <sheetName val="DummyCopy"/>
      <sheetName val="PML"/>
      <sheetName val="PL"/>
      <sheetName val="PLC"/>
      <sheetName val="PH"/>
      <sheetName val="PR"/>
      <sheetName val="PCK"/>
      <sheetName val="PM"/>
      <sheetName val="CLI"/>
      <sheetName val="FT"/>
      <sheetName val="CH"/>
      <sheetName val="CLPost"/>
      <sheetName val="CLPre"/>
      <sheetName val="CN"/>
      <sheetName val="CK"/>
      <sheetName val="SR"/>
      <sheetName val="PC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Eligibility"/>
      <sheetName val="Project"/>
      <sheetName val="HVAC"/>
      <sheetName val="Refrigeration"/>
      <sheetName val="Com Kitchen"/>
      <sheetName val="Window Film"/>
      <sheetName val="Misc"/>
      <sheetName val="Custom"/>
      <sheetName val="Summary"/>
      <sheetName val="Signature"/>
      <sheetName val="Completion"/>
      <sheetName val="References"/>
      <sheetName val="Caps"/>
      <sheetName val="QC"/>
      <sheetName val="Proj Data"/>
      <sheetName val="APTracks Export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Distribution View" id="{AB6DCCBF-3DF4-4B0A-BF49-28D813B48435}">
    <nsvFilter filterId="{C86DCFFF-2D47-473A-9BC9-BAB0551BF868}" ref="B4:AY204" tableId="2"/>
  </namedSheetView>
</namedSheetViews>
</file>

<file path=xl/persons/person.xml><?xml version="1.0" encoding="utf-8"?>
<personList xmlns="http://schemas.microsoft.com/office/spreadsheetml/2018/threadedcomments" xmlns:x="http://schemas.openxmlformats.org/spreadsheetml/2006/main">
  <person displayName="Kurtz, Spencer" id="{338A1EFB-A46D-4598-B4D1-9FC87236A14B}" userId="spencer.kurtz@aptim.com" providerId="PeoplePicker"/>
  <person displayName="Sheaffer, Andrew" id="{85B7E230-E8AA-408A-AA82-8BC1888B6C16}" userId="andrew.sheaffer@aptim.com" providerId="PeoplePicker"/>
  <person displayName="Kurtz, Spencer" id="{53B4C323-E50F-466A-9D2B-07B77C4A4BC3}" userId="S::spencer.kurtz@aptim.com::fe2f2be9-1164-485f-94b6-80f4257875eb" providerId="AD"/>
  <person displayName="Sheaffer, Andrew" id="{E8812C5B-8B55-413E-91E8-D27DE0C48A0B}" userId="S::andrew.sheaffer@aptim.com::4546dc98-8da5-44cc-b2cf-f5203d327a50"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86DCFFF-2D47-473A-9BC9-BAB0551BF868}" name="Table_PrescriptLights_Input" displayName="Table_PrescriptLights_Input" ref="B4:AY204" totalsRowShown="0" headerRowDxfId="247" headerRowBorderDxfId="246" tableBorderDxfId="245" totalsRowBorderDxfId="244" headerRowCellStyle="Table Top 1" dataCellStyle="Locked Cell">
  <autoFilter ref="B4:AY204" xr:uid="{C86DCFFF-2D47-473A-9BC9-BAB0551BF86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autoFilter>
  <tableColumns count="50">
    <tableColumn id="1" xr3:uid="{8F9C875C-9563-4ABB-B625-09C157533782}" name="Line ref. no." dataDxfId="243" dataCellStyle="Locked Cell"/>
    <tableColumn id="2" xr3:uid="{46C6C011-1316-4CC5-A76D-C108F8C6CA48}" name="Measure number" dataDxfId="242" dataCellStyle="Locked Cell">
      <calculatedColumnFormula>IFERROR(INDEX(Table_Prescript_Meas[Measure Number], MATCH(Table_PrescriptLights_Input[[#This Row],[Prescriptive lighting measure]], Table_Prescript_Meas[Measure Description], 0)), "")</calculatedColumnFormula>
    </tableColumn>
    <tableColumn id="28" xr3:uid="{DB758D1D-8B9B-4C6A-91B1-15BA07126177}" name="Location/measure notes" dataDxfId="241" dataCellStyle="Input General"/>
    <tableColumn id="3" xr3:uid="{5BC3C1C0-FF6F-433B-A8E9-954196263E59}" name="Interior or exterior?" dataDxfId="240" dataCellStyle="Input General"/>
    <tableColumn id="4" xr3:uid="{81D64D76-AD10-4279-8BB9-C983A5F9AFD2}" name="Prescriptive lighting measure" dataDxfId="239" dataCellStyle="Input General"/>
    <tableColumn id="5" xr3:uid="{4C67F5B5-106B-4EE5-80F4-0928E678A73D}" name="Unit of measure" dataDxfId="238" dataCellStyle="Locked Cell">
      <calculatedColumnFormula>IFERROR(INDEX(Table_Prescript_Meas[Unit], MATCH(Table_PrescriptLights_Input[[#This Row],[Measure number]], Table_Prescript_Meas[Measure Number], 0)), "")</calculatedColumnFormula>
    </tableColumn>
    <tableColumn id="9" xr3:uid="{1C657E22-9C15-4CE8-82E7-5398C82E25D2}" name="Number of existing fixtures" dataDxfId="237" dataCellStyle="Input General"/>
    <tableColumn id="6" xr3:uid="{83F3744E-05FA-4CE5-A626-A138A7DD59CF}" name="Existing controls" dataDxfId="236" dataCellStyle="Input General"/>
    <tableColumn id="7" xr3:uid="{AB8C0CF0-C343-4ED2-8EA7-89E823FC1D58}" name="Existing lighting type" dataDxfId="235" dataCellStyle="Input General"/>
    <tableColumn id="10" xr3:uid="{DBC442EE-12D1-49EE-A609-6685C0F54900}" name="Existing lamp wattage" dataDxfId="234" dataCellStyle="Input General"/>
    <tableColumn id="8" xr3:uid="{2E04536E-C17C-4AF5-B71C-45005299FEBF}" name="Existing lamps per fixture" dataDxfId="233" dataCellStyle="Input General"/>
    <tableColumn id="12" xr3:uid="{7132A76C-B671-4D78-984A-B13BBC229AEB}" name="Number of proposed fixtures" dataDxfId="232" dataCellStyle="Input General"/>
    <tableColumn id="13" xr3:uid="{9E7A8A11-149F-4655-B204-A37C9970958E}" name="Proposed lamp wattage" dataDxfId="231" dataCellStyle="Input General"/>
    <tableColumn id="38" xr3:uid="{508C274B-953F-41EE-BF6C-4E08EC2DFF0E}" name="Proposed lamps per fixture" dataDxfId="230" dataCellStyle="Input General"/>
    <tableColumn id="11" xr3:uid="{5A405C63-A97E-4D64-95FF-847D8330CB87}" name="ENERGY STAR or DLC qualified?" dataDxfId="229" dataCellStyle="Input General"/>
    <tableColumn id="24" xr3:uid="{F8E399E5-540C-438A-A5D5-49024E9F1E40}" name="Qualifying model number" dataDxfId="228" dataCellStyle="Input General"/>
    <tableColumn id="14" xr3:uid="{E3C62EC6-E0E5-44D8-8322-4915701CD4C7}" name="Material cost per fixture" dataDxfId="227" dataCellStyle="Input General"/>
    <tableColumn id="15" xr3:uid="{73391BD7-BA9B-4655-8D59-8036683B6997}" name="Total labor cost" dataDxfId="226" dataCellStyle="Input General"/>
    <tableColumn id="16" xr3:uid="{75D6130F-A3AD-4B6C-8D4A-A9BF89230E2D}" name="Per-unit incentive" dataDxfId="225" dataCellStyle="Locked Cell">
      <calculatedColumnFormula>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calculatedColumnFormula>
    </tableColumn>
    <tableColumn id="17" xr3:uid="{10CA3C0B-F6F6-4CD9-BAFE-66EF99651F2B}" name="Estimated incentive" dataDxfId="224" dataCellStyle="Locked Cell">
      <calculatedColumnFormula>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calculatedColumnFormula>
    </tableColumn>
    <tableColumn id="18" xr3:uid="{242BB73F-FF6A-4795-8760-4BF5E54052DF}" name="Energy savings (kWh)" dataDxfId="223" dataCellStyle="Locked Cell">
      <calculatedColumnFormula>IF(Table_PrescriptLights_Input[[#This Row],[Prescriptive lighting measure]]="","",Table_PrescriptLights_Input[[#This Row],[Calculated Energy Savings]])</calculatedColumnFormula>
    </tableColumn>
    <tableColumn id="20" xr3:uid="{1D47EF14-5FDD-46D6-BD70-A783441979ED}" name="Demand reduction (kW)" dataDxfId="222" dataCellStyle="Locked Cell">
      <calculatedColumnFormula>IF(Table_PrescriptLights_Input[[#This Row],[Prescriptive lighting measure]]="","",Table_PrescriptLights_Input[[#This Row],[Calculated Demand Savings]])</calculatedColumnFormula>
    </tableColumn>
    <tableColumn id="19" xr3:uid="{9353DCEE-B0B9-4D5E-99AD-C689A8C09023}" name="Cost savings" dataDxfId="221" dataCellStyle="Locked Cell">
      <calculatedColumnFormula>IFERROR(Table_PrescriptLights_Input[[#This Row],[Energy savings (kWh)]]*Input_AvgkWhRate, "")</calculatedColumnFormula>
    </tableColumn>
    <tableColumn id="25" xr3:uid="{F3721235-2AC1-4A24-BEAB-C067BFB49151}" name="Gross measure cost" dataDxfId="220" dataCellStyle="Locked Cell">
      <calculatedColumnFormula>IF(Table_PrescriptLights_Input[[#This Row],[Prescriptive lighting measure]]="", "",Table_PrescriptLights_Input[[#This Row],[Material cost per fixture]]*Table_PrescriptLights_Input[[#This Row],[Number of proposed fixtures]]+Table_PrescriptLights_Input[[#This Row],[Total labor cost]])</calculatedColumnFormula>
    </tableColumn>
    <tableColumn id="21" xr3:uid="{61B34AB5-3923-452A-A360-BEE9FD62F90C}" name="Net measure cost" dataDxfId="219" dataCellStyle="Locked Cell">
      <calculatedColumnFormula>IFERROR(Table_PrescriptLights_Input[[#This Row],[Gross measure cost]]-Table_PrescriptLights_Input[[#This Row],[Estimated incentive]], "")</calculatedColumnFormula>
    </tableColumn>
    <tableColumn id="22" xr3:uid="{72C4AABA-BB74-40F5-B832-4F50AEC6866D}" name="Simple payback (years)" dataDxfId="218" dataCellStyle="Locked Cell">
      <calculatedColumnFormula>IFERROR($Z5/$X5,"")</calculatedColumnFormula>
    </tableColumn>
    <tableColumn id="48" xr3:uid="{C390DDE1-E844-45BC-B385-75E3CA5F580D}" name="(Office Use Only)" dataDxfId="217" dataCellStyle="Locked Cell">
      <calculatedColumnFormula>IF(ISNUMBER(Table_PrescriptLights_Input[[#This Row],[Detailed Fixture Calculation Wattage]]), "Detailed", "General")</calculatedColumnFormula>
    </tableColumn>
    <tableColumn id="26" xr3:uid="{4FDCB4C5-DFF4-4A75-ACFA-941BC023638F}" name="Measure Options" dataCellStyle="Hide Cell">
      <calculatedColumnFormula>INDEX(Table_IntExt_Match[Measure Selection List], MATCH(Table_PrescriptLights_Input[[#This Row],[Interior or exterior?]], Table_IntExt_Match[Inetrior or Exterior], 0))</calculatedColumnFormula>
    </tableColumn>
    <tableColumn id="27" xr3:uid="{5E89ACAB-66D8-406C-9CA9-D8E747440291}" name="Unit of Measure Lookup" dataCellStyle="Hide Cell">
      <calculatedColumnFormula>INDEX(Table_Prescript_Meas[Unit], MATCH(C5, Table_Prescript_Meas[Measure Number], 0))</calculatedColumnFormula>
    </tableColumn>
    <tableColumn id="29" xr3:uid="{315FA8D7-7279-4D11-8E95-D22416E2F21F}" name="Lighting Type Drop Down Options" dataCellStyle="Hide Cell">
      <calculatedColumnFormula>INDEX(Table_Prescript_Meas[Lighting Type Selection List], MATCH(C5, Table_Prescript_Meas[Measure Number], 0))</calculatedColumnFormula>
    </tableColumn>
    <tableColumn id="33" xr3:uid="{91F39543-3BBF-4CA9-B378-FC230FBF3E2E}" name="AOH Pointer" dataDxfId="216" dataCellStyle="Hide Cell">
      <calculatedColumnFormula>INDEX(Table_Prescript_Meas[AOH Type], MATCH(Table_PrescriptLights_Input[[#This Row],[Measure number]], Table_Prescript_Meas[Measure Number],0))</calculatedColumnFormula>
    </tableColumn>
    <tableColumn id="34" xr3:uid="{087D1BBF-9573-4BDC-8C16-96ADF9AD77EE}" name="Calc AOH" dataDxfId="215" dataCellStyle="Hide Cell">
      <calculatedColumnFormula>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calculatedColumnFormula>
    </tableColumn>
    <tableColumn id="31" xr3:uid="{E1D86EAB-C774-432F-86B1-F0008699D750}" name="Detailed Baseline Fixture Lookup" dataDxfId="214" dataCellStyle="Hide Cell">
      <calculatedColumnFormula>_xlfn.CONCAT(Table_PrescriptLights_Input[[#This Row],[Existing lighting type]],":",Table_PrescriptLights_Input[[#This Row],[Existing lamps per fixture]], ":",Table_PrescriptLights_Input[[#This Row],[Existing lamp wattage]])</calculatedColumnFormula>
    </tableColumn>
    <tableColumn id="30" xr3:uid="{0D8FA94E-E161-421E-B4E6-F34A04FC209F}" name="Detailed Baseline Fixture Code" dataDxfId="213" dataCellStyle="Hide Cell">
      <calculatedColumnFormula>INDEX(Table_TRM_Fixtures[Fixture Code], MATCH(Table_PrescriptLights_Input[[#This Row],[Detailed Baseline Fixture Lookup]], Table_TRM_Fixtures[Detailed Prescriptive Baseline Fixture Lookup], 0))</calculatedColumnFormula>
    </tableColumn>
    <tableColumn id="36" xr3:uid="{2E3FCDC9-C832-42C6-9D2E-E307251B987C}" name="Detailed Fixture Calculation Wattage" dataDxfId="212" dataCellStyle="Hide Cell">
      <calculatedColumnFormula>INDEX(Table_TRM_Fixtures[Fixture Wattage for Baseline Calculations],MATCH(Table_PrescriptLights_Input[[#This Row],[Detailed Baseline Fixture Lookup]], Table_TRM_Fixtures[Detailed Prescriptive Baseline Fixture Lookup],0))</calculatedColumnFormula>
    </tableColumn>
    <tableColumn id="23" xr3:uid="{93F13A59-B880-49D8-A17B-D0B59B038321}" name="IEFE" dataDxfId="211" dataCellStyle="Hide Cell">
      <calculatedColumnFormula>INDEX(Table_Bldg_IEFD_IEFC[IEFE], MATCH( Input_HVACType,Table_Bldg_IEFD_IEFC[List_HVAC], 0))</calculatedColumnFormula>
    </tableColumn>
    <tableColumn id="32" xr3:uid="{73BE48AE-2E76-4846-AA1E-2EA6074F70D1}" name="IEFD" dataDxfId="210" dataCellStyle="Hide Cell">
      <calculatedColumnFormula>INDEX( Table_Bldg_IEFD_IEFC[IEFE],MATCH( Input_HVACType, Table_Bldg_IEFD_IEFC[List_HVAC],0 ))</calculatedColumnFormula>
    </tableColumn>
    <tableColumn id="35" xr3:uid="{7E904586-A612-40F8-ACBF-E8527FB70582}" name="PAF" dataDxfId="209" dataCellStyle="Hide Cell">
      <calculatedColumnFormula>INDEX(Table_Control_PAF[PAF], MATCH(Table_PrescriptLights_Input[[#This Row],[Existing controls]], Table_Control_PAF[List_Control_Types], 0 ) )</calculatedColumnFormula>
    </tableColumn>
    <tableColumn id="49" xr3:uid="{B73465C1-74B8-4B3A-ABD6-CB7E13CD2F8B}" name="CF" dataDxfId="208" dataCellStyle="Hide Cell">
      <calculatedColumnFormula>IF(Table_PrescriptLights_Input[[#This Row],[Existing controls]]="Switch/No Controls", INDEX(Table_Bldg_Type[CFbldg], MATCH(Input_BldgType, Table_Bldg_Type[List_Bldg_Types], 0)), INDEX(Table_Control_PAF[CFcontrol], MATCH(Table_PrescriptLights_Input[[#This Row],[Existing controls]], Table_Control_PAF[List_Control_Types], 0)))</calculatedColumnFormula>
    </tableColumn>
    <tableColumn id="40" xr3:uid="{4F11F83E-D637-4E8A-9872-10B1776BE65E}" name="Detailed Fixture Energy Savings" dataDxfId="207" dataCellStyle="Hide Cell">
      <calculatedColumnFormula>(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calculatedColumnFormula>
    </tableColumn>
    <tableColumn id="39" xr3:uid="{85FF42F3-325D-4362-A8DA-ABF2AA6B5B9F}" name="Detailed Demand Savings" dataDxfId="206" dataCellStyle="Hide Cell">
      <calculatedColumnFormula>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calculatedColumnFormula>
    </tableColumn>
    <tableColumn id="45" xr3:uid="{A235E678-A865-4228-A2D1-DA9A408BAB09}" name="Generalized Fixture Type" dataDxfId="205" dataCellStyle="Hide Cell">
      <calculatedColumnFormula>IFERROR(LEFT(Table_PrescriptLights_Input[[#This Row],[Existing lighting type]], FIND(",",Table_PrescriptLights_Input[[#This Row],[Existing lighting type]])-1), Table_PrescriptLights_Input[[#This Row],[Existing lighting type]])</calculatedColumnFormula>
    </tableColumn>
    <tableColumn id="43" xr3:uid="{6B251D42-A362-4E23-98C0-C11202DB26B2}" name="Generalized Fixture Baseline Lookup" dataDxfId="204" dataCellStyle="Hide Cell">
      <calculatedColumnFormula>_xlfn.CONCAT(Table_PrescriptLights_Input[[#This Row],[Generalized Fixture Type]], ":",Table_PrescriptLights_Input[[#This Row],[Existing lamps per fixture]],":",Table_PrescriptLights_Input[[#This Row],[Existing lamp wattage]])</calculatedColumnFormula>
    </tableColumn>
    <tableColumn id="47" xr3:uid="{0C4B3DD9-951E-41C2-8810-BE0FC3F3CA70}" name="Generalized Baseline Fixture Code" dataDxfId="203" dataCellStyle="Hide Cell">
      <calculatedColumnFormula>INDEX(Table_TRM_Fixtures[Fixture Code], MATCH(Table_PrescriptLights_Input[[#This Row],[Generalized Fixture Baseline Lookup]], Table_TRM_Fixtures[Generalized Baseline Fixture Lookup], 0))</calculatedColumnFormula>
    </tableColumn>
    <tableColumn id="41" xr3:uid="{5C44763C-50C7-4320-8C76-19C45EBEE5AA}" name="Generalized Fixture Energy Savings (uses input lamp wattages to determine savings)" dataDxfId="202" dataCellStyle="Hide Cell">
      <calculatedColumnFormula>(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calculatedColumnFormula>
    </tableColumn>
    <tableColumn id="42" xr3:uid="{FA12E410-148C-4CB8-A85A-D3D6CECD548E}" name="Generalized Demand Savings  (uses input lamp wattages to determine savings)" dataDxfId="201" dataCellStyle="Hide Cell">
      <calculatedColumnFormula>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calculatedColumnFormula>
    </tableColumn>
    <tableColumn id="44" xr3:uid="{234FDE56-A3E4-41E4-BB9D-275B256BEBFC}" name="Calculated Energy Savings" dataDxfId="200" dataCellStyle="Hide Cell">
      <calculatedColumnFormula>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calculatedColumnFormula>
    </tableColumn>
    <tableColumn id="46" xr3:uid="{0A1CB6A4-1561-41E0-98E4-67ED52DCD806}" name="Calculated Demand Savings" dataDxfId="199" dataCellStyle="Hide Cell">
      <calculatedColumnFormula>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calculatedColumnFormula>
    </tableColumn>
    <tableColumn id="50" xr3:uid="{595D9BE3-E795-4CF2-9F8A-5DADA8D68C7F}" name="Units Replaced" dataDxfId="198" dataCellStyle="Hide Cell">
      <calculatedColumnFormula>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calculatedColumnFormula>
    </tableColumn>
    <tableColumn id="51" xr3:uid="{620F8962-CE37-48F3-85AF-F1EF6F193C9B}" name="Fixture Code for ADM" dataDxfId="197" dataCellStyle="Hide Cell">
      <calculatedColumnFormula>IFERROR(Table_PrescriptLights_Input[[#This Row],[Detailed Baseline Fixture Code]],Table_PrescriptLights_Input[[#This Row],[Generalized Baseline Fixture Code]])</calculatedColumnFormula>
    </tableColumn>
  </tableColumns>
  <tableStyleInfo name="Lookup Table"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9ED5E35-1464-4FDD-A0AA-0B2A8656A30F}" name="Table_Control_PAF" displayName="Table_Control_PAF" ref="AH3:AJ12" totalsRowShown="0">
  <autoFilter ref="AH3:AJ12" xr:uid="{69ED5E35-1464-4FDD-A0AA-0B2A8656A30F}"/>
  <tableColumns count="3">
    <tableColumn id="1" xr3:uid="{2CCEA999-3127-415E-818A-56A29440B3B0}" name="List_Control_Types" dataCellStyle="Range Data"/>
    <tableColumn id="2" xr3:uid="{123BA369-4795-4926-9FBE-60ABCE3001A4}" name="PAF"/>
    <tableColumn id="3" xr3:uid="{EBFFCA95-561E-4C6B-8CAD-6F9A3D0B690C}" name="CFcontrol"/>
  </tableColumns>
  <tableStyleInfo name="Lookup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860EB02-2C76-4A00-B945-A31E0829FDE5}" name="Table_Bdg_Indep_AOH" displayName="Table_Bdg_Indep_AOH" ref="AA3:AB8" totalsRowShown="0" headerRowDxfId="79">
  <autoFilter ref="AA3:AB8" xr:uid="{F860EB02-2C76-4A00-B945-A31E0829FDE5}"/>
  <tableColumns count="2">
    <tableColumn id="1" xr3:uid="{4DBC1E65-5FA1-4EEA-914E-D1FB55555343}" name="List_Special_AOHs" dataCellStyle="Range Data"/>
    <tableColumn id="2" xr3:uid="{3515DC3B-C16E-49A9-B2C0-FE4D78BAC6CA}" name="AOH"/>
  </tableColumns>
  <tableStyleInfo name="Lookup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3F43150-BB1D-49F2-B060-6A5BF0371595}" name="Table_Programs_Rates" displayName="Table_Programs_Rates" ref="AO3:AP5" totalsRowShown="0">
  <autoFilter ref="AO3:AP5" xr:uid="{13F43150-BB1D-49F2-B060-6A5BF0371595}"/>
  <tableColumns count="2">
    <tableColumn id="1" xr3:uid="{3BF8EA89-AC12-46F5-99CC-41C83E731F21}" name="List_Program_Names" dataDxfId="78"/>
    <tableColumn id="2" xr3:uid="{488C031A-DF45-4211-A4B9-CE139C7ED760}" name="Custom Incentive Rate" dataDxfId="77"/>
  </tableColumns>
  <tableStyleInfo name="Lookup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70E3A45-C013-4BD5-A527-184E1B852EB3}" name="Table_IntExt_Match" displayName="Table_IntExt_Match" ref="T3:U5" totalsRowShown="0" headerRowDxfId="76">
  <autoFilter ref="T3:U5" xr:uid="{F70E3A45-C013-4BD5-A527-184E1B852EB3}"/>
  <tableColumns count="2">
    <tableColumn id="1" xr3:uid="{AAE23599-861E-41AC-973D-AC6B9BAE8866}" name="Inetrior or Exterior"/>
    <tableColumn id="2" xr3:uid="{E2EB4C19-97B0-4B08-930E-5D0C315B992A}" name="Measure Selection List">
      <calculatedColumnFormula>BN2</calculatedColumnFormula>
    </tableColumn>
  </tableColumns>
  <tableStyleInfo name="Lookup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CF8AD83-1009-4ACA-8B87-DD095548518A}" name="Table_Custom_Measure_No" displayName="Table_Custom_Measure_No" ref="P3:R19" totalsRowShown="0">
  <autoFilter ref="P3:R19" xr:uid="{5CF8AD83-1009-4ACA-8B87-DD095548518A}"/>
  <tableColumns count="3">
    <tableColumn id="1" xr3:uid="{0AD75090-3E57-4E58-A868-1C67966C5435}" name="List_Light_Type"/>
    <tableColumn id="3" xr3:uid="{625C3DF2-6120-46EB-ADAB-A6D8D5ADFE62}" name="Description"/>
    <tableColumn id="2" xr3:uid="{7484F53A-E631-4834-9B25-56A73BB78F98}" name="Custom Measure No"/>
  </tableColumns>
  <tableStyleInfo name="Lookup Tabl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4D816AA8-E476-4BD3-B08B-4614F958CACF}" name="Table_Measure_PAF" displayName="Table_Measure_PAF" ref="AL3:AM13" totalsRowShown="0">
  <autoFilter ref="AL3:AM13" xr:uid="{4D816AA8-E476-4BD3-B08B-4614F958CACF}"/>
  <tableColumns count="2">
    <tableColumn id="1" xr3:uid="{24979553-D24C-44EC-A264-4F176EB339F3}" name="List_Control_Measure"/>
    <tableColumn id="2" xr3:uid="{B874FA7A-F02F-4F16-A82C-E833E3D49887}" name="Proposed PAF"/>
  </tableColumns>
  <tableStyleInfo name="Lookup Tabl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76EBD05-5945-4413-AF17-9365AFC9BCB1}" name="Table_TRM_Fixtures" displayName="Table_TRM_Fixtures" ref="A2:AA1575" totalsRowShown="0" headerRowDxfId="75">
  <autoFilter ref="A2:AA1575" xr:uid="{42F5316D-739E-434A-88AF-A98354B704F3}"/>
  <sortState xmlns:xlrd2="http://schemas.microsoft.com/office/spreadsheetml/2017/richdata2" ref="A3:AA1575">
    <sortCondition ref="J2:J1575"/>
  </sortState>
  <tableColumns count="27">
    <tableColumn id="2" xr3:uid="{8A183725-688C-4C6D-9FCD-79C4766DC5BE}" name="Fixture code  (TRM Data)"/>
    <tableColumn id="3" xr3:uid="{78F20333-F86A-4AA7-83DA-A3561544029B}" name="Lamp code  (TRM Data)"/>
    <tableColumn id="4" xr3:uid="{BF44AE33-12EC-43EE-9F19-A70EE1DC9373}" name="Description  (TRM Data)"/>
    <tableColumn id="5" xr3:uid="{167EFC4B-C603-45AB-BC5C-E57702BA2682}" name="Layman term  (TRM Data)"/>
    <tableColumn id="6" xr3:uid="{DA5DD4BE-2B48-4995-B4AA-9CD4F3BDDCCE}" name="Ballast  (TRM Data)"/>
    <tableColumn id="7" xr3:uid="{0F53951B-1043-40F7-9726-CAE7A0B42F9F}" name="No. of Lamps  (TRM Data)"/>
    <tableColumn id="8" xr3:uid="{09EFD048-DB1A-4E75-A9A0-75A86889B1B0}" name="Lamp Watts  (TRM Data)"/>
    <tableColumn id="9" xr3:uid="{E1176D5F-EC24-4753-A922-7C06D77013A8}" name="Fixture Watts  (TRM Data)"/>
    <tableColumn id="10" xr3:uid="{28515699-6CCC-480E-AA6D-4056A7971BF2}" name="EUL  (TRM Data)"/>
    <tableColumn id="1" xr3:uid="{F0650DFA-5AAD-45EC-B4BF-7A86CD1FEDB0}" name="Index" dataDxfId="74"/>
    <tableColumn id="11" xr3:uid="{D456C4C0-3401-462E-A34E-B93C0F55E1FC}" name="Technology"/>
    <tableColumn id="25" xr3:uid="{012A2ACD-B8DA-462C-9903-A242C1C35B29}" name="Lamp Watts" dataDxfId="73">
      <calculatedColumnFormula>IF(Table_TRM_Fixtures[[#This Row],[Technology]]="LED", Table_TRM_Fixtures[[#This Row],[Fixture Watts  (TRM Data)]], Table_TRM_Fixtures[[#This Row],[Lamp Watts  (TRM Data)]])</calculatedColumnFormula>
    </tableColumn>
    <tableColumn id="24" xr3:uid="{45CC3632-5CED-4B3D-8248-10358183A1CD}" name="No. of Lamps" dataDxfId="72">
      <calculatedColumnFormula>Table_TRM_Fixtures[[#This Row],[No. of Lamps  (TRM Data)]]</calculatedColumnFormula>
    </tableColumn>
    <tableColumn id="16" xr3:uid="{2F00FF44-481F-4151-BC09-D951F49BD942}" name="Linear Fluorescent Length (Inches)" dataDxfId="71"/>
    <tableColumn id="33" xr3:uid="{9A9281B6-2641-4582-B958-C8EF085B5339}" name="Lamp Output"/>
    <tableColumn id="23" xr3:uid="{EB3F4E99-D60E-4298-AC06-4984ADB12978}" name="Ballast Type" dataDxfId="70"/>
    <tableColumn id="29" xr3:uid="{FD0079DF-36F3-4B41-B639-E255FC5F188E}" name="Ballast Code"/>
    <tableColumn id="36" xr3:uid="{2870100A-6C1D-4D75-9313-1A165144E188}" name="Combined Lighting/Ballast Types"/>
    <tableColumn id="20" xr3:uid="{4E203938-44A9-4515-9558-C343B251B561}" name="Description" dataDxfId="69">
      <calculatedColumnFormula>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calculatedColumnFormula>
    </tableColumn>
    <tableColumn id="17" xr3:uid="{4472EDA6-A5D6-40A3-9C2C-458FC2FB7A6E}" name="Fixture Code" dataDxfId="68">
      <calculatedColumnFormula>Table_TRM_Fixtures[[#This Row],[Fixture code  (TRM Data)]]</calculatedColumnFormula>
    </tableColumn>
    <tableColumn id="13" xr3:uid="{D7187FB5-52F0-4D9B-A186-904B1909C57D}" name="Eligible for Prescriptive Replacement?"/>
    <tableColumn id="26" xr3:uid="{880B7FE5-CA3A-40C1-A168-6EE2B4577859}" name="Eligibility Exclusion"/>
    <tableColumn id="12" xr3:uid="{58007DAD-ADB4-41A7-AA94-B644D3E2B0E3}" name="Pre-EISA Baseline" dataDxfId="67"/>
    <tableColumn id="34" xr3:uid="{5E9C6621-DF53-4FE5-A821-C15A1944BC7C}" name="Modified Baseline Fixture Watts" dataDxfId="66"/>
    <tableColumn id="30" xr3:uid="{DBE5982C-2EAB-4A6B-A9C0-376A536A36B9}" name="Detailed Prescriptive Baseline Fixture Lookup" dataDxfId="65">
      <calculatedColumnFormula>_xlfn.CONCAT(#REF!,":",Table_TRM_Fixtures[[#This Row],[Ballast Code]],":",Table_TRM_Fixtures[[#This Row],[No. of Lamps]], ":", Table_TRM_Fixtures[[#This Row],[Lamp Watts  (TRM Data)]])</calculatedColumnFormula>
    </tableColumn>
    <tableColumn id="37" xr3:uid="{787D6159-CF5D-4EF2-A7CB-94EAE90C33F4}" name="Generalized Baseline Fixture Lookup" dataDxfId="64">
      <calculatedColumnFormula>_xlfn.CONCAT(Table_TRM_Fixtures[[#This Row],[Combined Lighting/Ballast Types]],":",Table_TRM_Fixtures[[#This Row],[No. of Lamps]], ":", Table_TRM_Fixtures[[#This Row],[Lamp Watts  (TRM Data)]])</calculatedColumnFormula>
    </tableColumn>
    <tableColumn id="19" xr3:uid="{26747F3F-3E65-4AE6-8ECB-5181CA2961B9}" name="Fixture Wattage for Baseline Calculations" dataDxfId="63">
      <calculatedColumnFormula>IF(Table_TRM_Fixtures[[#This Row],[Pre-EISA Baseline]]="Nominal", Table_TRM_Fixtures[[#This Row],[Fixture Watts  (TRM Data)]], Table_TRM_Fixtures[[#This Row],[Modified Baseline Fixture Watts]])</calculatedColumnFormula>
    </tableColumn>
  </tableColumns>
  <tableStyleInfo name="TableStyleMedium5"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563531E-FBF8-4AB3-A38F-7060C6F74F42}" name="Table_Measure_Caps" displayName="Table_Measure_Caps" ref="A2:J6" totalsRowCount="1" headerRowDxfId="62">
  <autoFilter ref="A2:J5" xr:uid="{A563531E-FBF8-4AB3-A38F-7060C6F74F42}"/>
  <tableColumns count="10">
    <tableColumn id="1" xr3:uid="{2FC0691E-AA41-4B72-B587-A8266560EB57}" name="Worksheet" totalsRowLabel="Total"/>
    <tableColumn id="10" xr3:uid="{A9369F91-9D6F-4877-91DA-479A193A41D3}" name="Measure Type" dataDxfId="61">
      <calculatedColumnFormula>'Review the Summary'!B24</calculatedColumnFormula>
    </tableColumn>
    <tableColumn id="2" xr3:uid="{D83E28AC-8A76-4C16-B98B-2F373B5D0392}" name="Estimated Raw Incentive Total" totalsRowFunction="sum" dataDxfId="60" totalsRowDxfId="59"/>
    <tableColumn id="3" xr3:uid="{A6A92779-0E26-4488-9339-91277CD00D3C}" name="Energy Savings Total (kWh)" totalsRowFunction="sum" dataDxfId="58" totalsRowDxfId="57"/>
    <tableColumn id="4" xr3:uid="{A75B0FC7-F4C9-4E23-905D-A7F086D7E388}" name="Demand Reduction Total (kW)" totalsRowFunction="sum" dataDxfId="56" totalsRowDxfId="55"/>
    <tableColumn id="5" xr3:uid="{F9FA9204-4436-47C3-AA70-EC693EF4524F}" name="Cost Savings Total" totalsRowFunction="sum" dataDxfId="54" totalsRowDxfId="53"/>
    <tableColumn id="6" xr3:uid="{A131607F-447F-4B40-BE76-6650AAE820EE}" name="Gross Measure Cost Total" totalsRowFunction="sum" dataDxfId="52" totalsRowDxfId="51"/>
    <tableColumn id="7" xr3:uid="{0C6C6173-2706-4EAD-B4A7-49D90713FBE0}" name="Net Measure Cost Total" totalsRowFunction="sum" dataDxfId="50" totalsRowDxfId="49">
      <calculatedColumnFormula>Table_Measure_Caps[[#This Row],[Gross Measure Cost Total]]-Table_Measure_Caps[[#This Row],[Capped Incentive]]</calculatedColumnFormula>
    </tableColumn>
    <tableColumn id="8" xr3:uid="{3572CC4A-960F-4F3C-B657-B59E0880F64C}" name="Raw ItoC Ratio" totalsRowFunction="custom" dataDxfId="48" totalsRowDxfId="47" dataCellStyle="Percent" totalsRowCellStyle="Percent">
      <calculatedColumnFormula>Table_Measure_Caps[[#This Row],[Estimated Raw Incentive Total]]/Table_Measure_Caps[[#This Row],[Gross Measure Cost Total]]</calculatedColumnFormula>
      <totalsRowFormula>Table_Measure_Caps[[#Totals],[Estimated Raw Incentive Total]]/Table_Measure_Caps[[#Totals],[Gross Measure Cost Total]]</totalsRowFormula>
    </tableColumn>
    <tableColumn id="9" xr3:uid="{B184E87D-28C0-4282-AD79-16BC9E7ED8DB}" name="Capped Incentive" totalsRowFunction="sum" dataDxfId="46" totalsRowDxfId="45">
      <calculatedColumnFormula>Table_Measure_Caps[[#This Row],[Estimated Raw Incentive Total]]*MIN(Table_Measure_Caps[[#Totals],[Estimated Raw Incentive Total]], Table_Measure_Caps[[#Totals],[Gross Measure Cost Total]], Value_Project_CAP)/Table_Measure_Caps[[#Totals],[Estimated Raw Incentive Total]]</calculatedColumnFormula>
    </tableColumn>
  </tableColumns>
  <tableStyleInfo name="Lookup Tabl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38FEFB1C-75A0-4708-8542-C9EFD91E1D56}" name="Table_Bonus_Calc" displayName="Table_Bonus_Calc" ref="L2:O3" totalsRowShown="0">
  <autoFilter ref="L2:O3" xr:uid="{38FEFB1C-75A0-4708-8542-C9EFD91E1D56}"/>
  <tableColumns count="4">
    <tableColumn id="1" xr3:uid="{6D6B2771-B606-4F00-9DD9-22B5477D9AF6}" name="Bonus Rate" dataDxfId="44"/>
    <tableColumn id="2" xr3:uid="{C33A9D64-1008-475E-A872-2D8F666A9B33}" name="Capped Incentive Total" dataDxfId="43"/>
    <tableColumn id="3" xr3:uid="{B530129D-6CA1-490C-A4CC-5B847BFF5C7F}" name="Uncapped Bonus" dataDxfId="42"/>
    <tableColumn id="4" xr3:uid="{84BE2AB8-EAE8-4601-B451-E59BE06594F1}" name="Final Bonus" dataDxfId="41"/>
  </tableColumns>
  <tableStyleInfo name="Lookup Tabl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B59AF07-6C3E-4916-BF28-FE5F8675061D}" name="Table_Contacts" displayName="Table_Contacts" ref="A3:R8" totalsRowShown="0">
  <autoFilter ref="A3:R8" xr:uid="{9B59AF07-6C3E-4916-BF28-FE5F8675061D}"/>
  <tableColumns count="18">
    <tableColumn id="1" xr3:uid="{0AD828B3-B818-42BE-B582-D1A564AF04EC}" name="Entity" dataDxfId="40"/>
    <tableColumn id="2" xr3:uid="{B3E0AB1E-3696-46A2-AAF0-DF096D5BA61B}" name="Business Name"/>
    <tableColumn id="3" xr3:uid="{CCCDE659-D2D4-4D6C-A6A6-EEF747F692CB}" name="Contact Name"/>
    <tableColumn id="4" xr3:uid="{3790D546-CB25-4CB4-9C72-19426A1C8017}" name="Street"/>
    <tableColumn id="5" xr3:uid="{BF512088-76E8-4B2D-9273-DE6DEF8D4456}" name="City"/>
    <tableColumn id="6" xr3:uid="{D09BB5C1-08E9-4D11-9D9B-899BEF01F28A}" name="State"/>
    <tableColumn id="7" xr3:uid="{0155B42F-8311-447A-B9BD-D98CDD372347}" name="Zip"/>
    <tableColumn id="8" xr3:uid="{6609A3FB-EFC0-4142-ABA7-782EDD5C64D2}" name="Phone"/>
    <tableColumn id="9" xr3:uid="{74C926AD-BD78-425D-8A7F-9C69757885C3}" name="Email"/>
    <tableColumn id="10" xr3:uid="{480D5B77-BF79-49FA-BE6C-91D3D2D42717}" name="Classification"/>
    <tableColumn id="11" xr3:uid="{5A96515C-D517-4DC7-A490-898B012E235E}" name="PFI?"/>
    <tableColumn id="12" xr3:uid="{0576638A-AF03-45DF-9E48-8E01827CF164}" name="DBE?"/>
    <tableColumn id="13" xr3:uid="{D23DB36B-EDA9-4803-828A-455192F4F856}" name="Registered TA?"/>
    <tableColumn id="14" xr3:uid="{1B2A8FAA-F170-4AE1-8084-6BA2FE463294}" name="Project Role"/>
    <tableColumn id="15" xr3:uid="{AF3F8029-43C9-4724-B855-B507891B3611}" name="Attention To" dataDxfId="39">
      <calculatedColumnFormula>'Fill in the Application'!F29</calculatedColumnFormula>
    </tableColumn>
    <tableColumn id="16" xr3:uid="{7CA4F0D1-7754-471C-8DEB-CAEB6649B745}" name="Check Payable To" dataDxfId="38">
      <calculatedColumnFormula>'Fill in the Application'!F30</calculatedColumnFormula>
    </tableColumn>
    <tableColumn id="17" xr3:uid="{772C63A5-044F-47D7-89C5-9E60AFFC552A}" name="Federal Tax ID Number" dataDxfId="37">
      <calculatedColumnFormula>'Fill in the Application'!F31</calculatedColumnFormula>
    </tableColumn>
    <tableColumn id="18" xr3:uid="{F71E6A60-E971-4C2E-96C9-6C8A1944A1FF}" name="Tax Entity" dataDxfId="36">
      <calculatedColumnFormula>'Fill in the Application'!F32</calculatedColumnFormula>
    </tableColumn>
  </tableColumns>
  <tableStyleInfo name="Lookup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14C4C60-A37E-4AE9-ADD1-4B2CF5A54258}" name="Table_Custom_Input" displayName="Table_Custom_Input" ref="B4:AN104" totalsRowShown="0" headerRowDxfId="196" dataDxfId="194" headerRowBorderDxfId="195" tableBorderDxfId="193" headerRowCellStyle="Locked Cell Bold" dataCellStyle="Locked Cell Bold">
  <autoFilter ref="B4:AN104" xr:uid="{F14C4C60-A37E-4AE9-ADD1-4B2CF5A5425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autoFilter>
  <tableColumns count="39">
    <tableColumn id="1" xr3:uid="{E0EFB119-A642-449F-A3A9-CB1887140A3B}" name="Line ref. no." dataDxfId="192" dataCellStyle="Locked Cell"/>
    <tableColumn id="31" xr3:uid="{9ADE8167-8016-4FEB-ACEE-8519A40B1040}" name="Measure number" dataDxfId="191" dataCellStyle="Locked Cell">
      <calculatedColumnFormula>IFERROR(INDEX(Table_Custom_Measure_No[Custom Measure No], MATCH(Table_Custom_Input[[#This Row],[Existing lighting type]], Table_Custom_Measure_No[List_Light_Type], 0)), "")</calculatedColumnFormula>
    </tableColumn>
    <tableColumn id="10" xr3:uid="{DB42776A-8A7D-4C30-90E2-C737533BB3BB}" name="Location/measure notes" dataDxfId="190" dataCellStyle="Input General"/>
    <tableColumn id="3" xr3:uid="{E1B28E8C-D5F2-4C23-8DD5-FA90D0E0F659}" name="Building/space type" dataDxfId="189" dataCellStyle="Input General"/>
    <tableColumn id="4" xr3:uid="{7CDB0FAB-F4C2-42A2-B5EF-E4D0194513F5}" name="Space conditions" dataDxfId="188" dataCellStyle="Input General"/>
    <tableColumn id="5" xr3:uid="{C2993069-A325-4D11-9840-FDBD174E55E9}" name="Use custom or default operating hours?" dataDxfId="187" dataCellStyle="Input General"/>
    <tableColumn id="6" xr3:uid="{63F8DB0E-6F98-4139-AC38-3DBED7D40F4D}" name="Default annual operating hours" dataDxfId="186" dataCellStyle="Locked Cell">
      <calculatedColumnFormula>IFERROR(INDEX(Table_Bldg_Type[AOH], MATCH(Table_Custom_Input[[#This Row],[Building/space type]], Table_Bldg_Type[List_Bldg_Types], 0)), "")</calculatedColumnFormula>
    </tableColumn>
    <tableColumn id="7" xr3:uid="{02FA2591-5C55-4288-B7EF-FE81220ACD0A}" name="Custom annual operating hours" dataDxfId="185" dataCellStyle="Input General"/>
    <tableColumn id="27" xr3:uid="{D33C9AF4-B0B1-46AF-8F9E-CFC4A99D5A6C}" name="Replacing lamp or fixture?" dataDxfId="184" dataCellStyle="Input General"/>
    <tableColumn id="8" xr3:uid="{764545AC-1345-42C8-AFA6-37278082971E}" name="Number of existing units" dataDxfId="183" dataCellStyle="Input General"/>
    <tableColumn id="11" xr3:uid="{98E3B7B6-626F-4478-ADB9-350C34B937CA}" name="Existing controls" dataDxfId="182" dataCellStyle="Input General"/>
    <tableColumn id="2" xr3:uid="{6D5F59C2-1459-4301-9E8A-A001D4585B4E}" name="Existing lighting type" dataDxfId="181" dataCellStyle="Input General"/>
    <tableColumn id="32" xr3:uid="{0310B5F6-0CE4-43A0-9093-3624E324EA4F}" name="Existing lamps per fixture" dataDxfId="180" dataCellStyle="Input General"/>
    <tableColumn id="9" xr3:uid="{59E2FC9C-F658-47EE-8F78-D0BDDF515354}" name="Existing fixture code" dataDxfId="179" dataCellStyle="Input General"/>
    <tableColumn id="13" xr3:uid="{00C82BC5-CD3C-4285-96D1-CF46E597D300}" name="Number of proposed units" dataDxfId="178"/>
    <tableColumn id="17" xr3:uid="{F3555980-3683-4C09-87B6-C0407C2B1722}" name="Proposed controls" dataDxfId="177" dataCellStyle="Locked Cell"/>
    <tableColumn id="33" xr3:uid="{4D4C69B7-B43F-4C29-82C0-43722CD2C3EF}" name="Proposed lamps per fixture" dataDxfId="176" dataCellStyle="Input General"/>
    <tableColumn id="34" xr3:uid="{9D363B84-1A9E-44E4-A97E-C2D812953BC7}" name="Proposed lamp wattage" dataDxfId="175" dataCellStyle="Input General"/>
    <tableColumn id="29" xr3:uid="{AB514DBA-AB17-4482-9F25-8C938DB216EC}" name="Proposed fixture code" dataDxfId="174" dataCellStyle="Input General"/>
    <tableColumn id="15" xr3:uid="{69553FE6-F790-483D-898C-A2DC80B0A162}" name="ENERGY STAR or DLC qualified?" dataDxfId="173"/>
    <tableColumn id="16" xr3:uid="{8D0D9008-1C5C-4DAB-8733-22CBA6DE275D}" name="Qualifying model number" dataDxfId="172"/>
    <tableColumn id="18" xr3:uid="{4601385C-DB97-449C-A7D4-A5EE004A1DB1}" name="Material cost per unit" dataDxfId="171">
      <calculatedColumnFormula>150*P5</calculatedColumnFormula>
    </tableColumn>
    <tableColumn id="19" xr3:uid="{0E97AF02-0588-4EA9-85F6-510763FCC56B}" name="Total labor cost" dataDxfId="170"/>
    <tableColumn id="23" xr3:uid="{D3C788C1-6B66-45C5-9FFC-1B70A55A454D}" name="Estimated incentive" dataDxfId="169" dataCellStyle="Locked Cell">
      <calculatedColumnFormula>IFERROR(Table_Custom_Input[[#This Row],[Energy savings (kWh)]]*Value_Custom_IncentRate, "")</calculatedColumnFormula>
    </tableColumn>
    <tableColumn id="20" xr3:uid="{5DB70777-8B9B-4F83-99E9-C00D72DF09FF}" name="Energy savings (kWh)" dataDxfId="168" dataCellStyle="Locked Cell">
      <calculatedColumnFormula>IF(Table_Custom_Input[[#This Row],[Replacing lamp or fixture?]]="Fixture", Table_Custom_Input[[#This Row],[Fixture Replacement: Energy Savings]], IF(Table_Custom_Input[[#This Row],[Replacing lamp or fixture?]]="Lamp", Table_Custom_Input[[#This Row],[Lamp Replacement: Energy Savings]], ""))</calculatedColumnFormula>
    </tableColumn>
    <tableColumn id="21" xr3:uid="{65A12173-B4B9-4A58-960A-717AC4D32DE4}" name="Demand reduction (kW)" dataDxfId="167" dataCellStyle="Locked Cell">
      <calculatedColumnFormula>IF(Table_Custom_Input[[#This Row],[Replacing lamp or fixture?]]="Fixture", Table_Custom_Input[[#This Row],[Fixture Replacement: Demand Savings]], IF(Table_Custom_Input[[#This Row],[Replacing lamp or fixture?]]="Lamp", Table_Custom_Input[[#This Row],[Lamp Replacement: Demand Savings]], ""))</calculatedColumnFormula>
    </tableColumn>
    <tableColumn id="22" xr3:uid="{56F2A788-173F-48D4-960A-3C62B4EF2021}" name="Cost savings" dataDxfId="166" dataCellStyle="Locked Cell">
      <calculatedColumnFormula>IFERROR(Table_Custom_Input[[#This Row],[Energy savings (kWh)]]*Input_AvgkWhRate, "")</calculatedColumnFormula>
    </tableColumn>
    <tableColumn id="24" xr3:uid="{EA2316D4-69EB-4F6A-910D-BDE56162E1EB}" name="Gross measure Cost" dataDxfId="165" dataCellStyle="Locked Cell">
      <calculatedColumnFormula>IF(Table_Custom_Input[[#This Row],[Replacing lamp or fixture?]]&lt;&gt;"",Table_Custom_Input[[#This Row],[Material cost per unit]]*Table_Custom_Input[[#This Row],[Number of proposed units]]+Table_Custom_Input[[#This Row],[Total labor cost]],"")</calculatedColumnFormula>
    </tableColumn>
    <tableColumn id="25" xr3:uid="{2AE63801-7AD5-46CB-9215-6AD5381CA143}" name="Net measure cost" dataDxfId="164" dataCellStyle="Locked Cell">
      <calculatedColumnFormula>IF(Table_Custom_Input[[#This Row],[Estimated incentive]]="","",Table_Custom_Input[[#This Row],[Gross measure Cost]]-Table_Custom_Input[[#This Row],[Estimated incentive]])</calculatedColumnFormula>
    </tableColumn>
    <tableColumn id="26" xr3:uid="{B856D97F-A222-4CE8-AECF-A9EF0B27ABD1}" name="Simple payback (years)" dataDxfId="163" dataCellStyle="Locked Cell">
      <calculatedColumnFormula>IFERROR(Table_Custom_Input[[#This Row],[Net measure cost]]/Table_Custom_Input[[#This Row],[Cost savings]], "")</calculatedColumnFormula>
    </tableColumn>
    <tableColumn id="30" xr3:uid="{F3192F2C-886C-454D-B6AC-F8FD533E9449}" name="AOH used in Calculations" dataDxfId="162" dataCellStyle="Hide Cell">
      <calculatedColumnFormula>IF(Table_Custom_Input[[#This Row],[Use custom or default operating hours?]]="Default", Table_Custom_Input[[#This Row],[Default annual operating hours]], IF(Table_Custom_Input[[#This Row],[Use custom or default operating hours?]]="Custom", Table_Custom_Input[[#This Row],[Custom annual operating hours]], 0))</calculatedColumnFormula>
    </tableColumn>
    <tableColumn id="28" xr3:uid="{E9A01B23-BE69-47E2-8067-2EB5C6B8D0D8}" name="Fixture Replacement: Existing Fixture Wattage Used in Calculations" dataDxfId="161" dataCellStyle="Hide Cell">
      <calculatedColumnFormula>INDEX(Table_TRM_Fixtures[Fixture Wattage for Baseline Calculations], MATCH(Table_Custom_Input[[#This Row],[Existing fixture code]], Table_TRM_Fixtures[Fixture Code], 0))</calculatedColumnFormula>
    </tableColumn>
    <tableColumn id="35" xr3:uid="{EF7B8ED7-D3A2-486F-A967-4F6CC557028D}" name="Fixture Replacement: Proposed Fixture Wattage Used in Calculations" dataDxfId="160" dataCellStyle="Hide Cell">
      <calculatedColumnFormula>INDEX(Table_TRM_Fixtures[Fixture Watts  (TRM Data)], MATCH(Table_Custom_Input[[#This Row],[Proposed fixture code]], Table_TRM_Fixtures[Fixture Code], 0))</calculatedColumnFormula>
    </tableColumn>
    <tableColumn id="38" xr3:uid="{A74F92C2-0258-42C0-83FA-07419C61B29D}" name="Fixture Replacement: Energy Savings" dataDxfId="159" dataCellStyle="Hide Cell">
      <calculatedColumnFormula>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calculatedColumnFormula>
    </tableColumn>
    <tableColumn id="40" xr3:uid="{8563E969-4900-4D55-84F3-406DDBC56428}" name="Fixture Replacement: Demand Savings" dataDxfId="158" dataCellStyle="Hide Cell">
      <calculatedColumnFormula>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calculatedColumnFormula>
    </tableColumn>
    <tableColumn id="36" xr3:uid="{9BE58245-B28C-4E47-AB67-F322BD49C922}" name="Lamp Replacement: Existing Fixture Wattage Used in Calculations" dataDxfId="157" dataCellStyle="Hide Cell">
      <calculatedColumnFormula>INDEX(Table_TRM_Fixtures[Fixture Wattage for Baseline Calculations], MATCH(Table_Custom_Input[[#This Row],[Existing fixture code]], Table_TRM_Fixtures[Fixture Code], 0))/Table_Custom_Input[[#This Row],[Existing lamps per fixture]]</calculatedColumnFormula>
    </tableColumn>
    <tableColumn id="37" xr3:uid="{FB9AE935-F67E-44B6-B421-CD5F8D26D458}" name="Lamp Replacement: Proposed Fixture Wattage Used in Calculations" dataDxfId="156" dataCellStyle="Hide Cell">
      <calculatedColumnFormula>IF(Table_Custom_Input[[#This Row],[Proposed lamp wattage]]="","",Table_Custom_Input[[#This Row],[Proposed lamp wattage]])</calculatedColumnFormula>
    </tableColumn>
    <tableColumn id="39" xr3:uid="{0E9C4CA5-F69B-46DD-B345-44A0CF88B42E}" name="Lamp Replacement: Energy Savings" dataDxfId="155" dataCellStyle="Hide Cell">
      <calculatedColumnFormula>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calculatedColumnFormula>
    </tableColumn>
    <tableColumn id="41" xr3:uid="{E56890E0-0C9E-4A9D-B779-C57DBBA2E3D1}" name="Lamp Replacement: Demand Savings" dataDxfId="154" dataCellStyle="Hide Cell">
      <calculatedColumnFormula>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calculatedColumnFormula>
    </tableColumn>
  </tableColumns>
  <tableStyleInfo name="Lookup Tabl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8ECA0D8E-39DB-439E-8DE5-5370072D2993}" name="Table18" displayName="Table18" ref="A1:Q502" totalsRowShown="0" headerRowDxfId="35" dataDxfId="33" headerRowBorderDxfId="34" tableBorderDxfId="32" totalsRowBorderDxfId="31">
  <autoFilter ref="A1:Q502" xr:uid="{AC1521BA-AD84-493D-AF13-55C57F1C1791}"/>
  <tableColumns count="17">
    <tableColumn id="1" xr3:uid="{3DB06459-5EF0-4845-87C6-71093DF4D059}" name="Tab" dataDxfId="30"/>
    <tableColumn id="2" xr3:uid="{9EDF22A4-E4B2-48B6-AD3D-0BE485A40D26}" name="Project Number" dataDxfId="29">
      <calculatedColumnFormula>Input_ProjectNumber</calculatedColumnFormula>
    </tableColumn>
    <tableColumn id="3" xr3:uid="{F859D182-8016-4172-A4B6-3B0EEE37FAE5}" name="Line Ref No." dataDxfId="28"/>
    <tableColumn id="4" xr3:uid="{C54F4813-8C41-4CD8-A0D4-73CBF600E09F}" name="Measure Number" dataDxfId="27"/>
    <tableColumn id="5" xr3:uid="{19E1D120-0A8A-4B1A-94ED-FA426FDD8475}" name="Unit of Measure" dataDxfId="26"/>
    <tableColumn id="6" xr3:uid="{1F77E8C1-7320-44EA-8A57-57259BF07F35}" name="Units" dataDxfId="25"/>
    <tableColumn id="7" xr3:uid="{1F937121-6018-4D01-A8F7-949B9D82B1AC}" name="kWh Savings" dataDxfId="24"/>
    <tableColumn id="8" xr3:uid="{36567BEC-6C41-4BEF-841E-E148D3329C61}" name="kW Savings" dataDxfId="23"/>
    <tableColumn id="9" xr3:uid="{A460E20F-8F1A-440D-B049-49AE2A807C1B}" name="Incentive" dataDxfId="22">
      <calculatedColumnFormula>IFERROR(Q3*MIN(Table_Measure_Caps[[#Totals],[Estimated Raw Incentive Total]], Table_Measure_Caps[[#Totals],[Gross Measure Cost Total]], Value_Project_CAP)/Table_Measure_Caps[[#Totals],[Estimated Raw Incentive Total]], "")</calculatedColumnFormula>
    </tableColumn>
    <tableColumn id="10" xr3:uid="{381FB756-DD36-4756-9963-B143861FC6D2}" name="Equipment Cost" dataDxfId="21"/>
    <tableColumn id="11" xr3:uid="{2AEAB220-3903-4800-985E-9696295079E6}" name="Labor Cost" dataDxfId="20"/>
    <tableColumn id="12" xr3:uid="{89E70D8C-CDC9-47DA-A9C7-ACA16E553F6E}" name="Operating Hours" dataDxfId="19"/>
    <tableColumn id="13" xr3:uid="{8898761C-BBAF-4153-A33A-71FFEE3ED2CA}" name="Existing Unit Wattage" dataDxfId="18"/>
    <tableColumn id="14" xr3:uid="{291B118C-5D6B-4D6B-9E17-0B7EBEEADF2F}" name="Proposed Unit Wattage" dataDxfId="17"/>
    <tableColumn id="15" xr3:uid="{31A47813-DF33-4ED0-B687-26FDA4A4DFE2}" name="Calculator Version" dataDxfId="16"/>
    <tableColumn id="16" xr3:uid="{00B36A9C-1D39-4559-88E5-6B6F68BA784A}" name="Measure Description" dataDxfId="15"/>
    <tableColumn id="17" xr3:uid="{83885816-F880-422A-AF87-9CF4E6EBAAD1}" name="Uncapped Incentive" dataDxfId="14"/>
  </tableColumns>
  <tableStyleInfo name="Lookup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7D6384-D399-4BE2-8204-2C5C116C0E19}" name="Table_Controls_Input" displayName="Table_Controls_Input" ref="B4:W204" totalsRowShown="0" headerRowDxfId="153" headerRowBorderDxfId="152" tableBorderDxfId="151" totalsRowBorderDxfId="150" headerRowCellStyle="Table Top 1" dataCellStyle="Locked Cell">
  <autoFilter ref="B4:W204" xr:uid="{C86DCFFF-2D47-473A-9BC9-BAB0551BF86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87CB3CB4-7433-495B-ACCF-EA4D6E787F6A}" name="Line Ref. No." dataDxfId="149" dataCellStyle="Locked Cell"/>
    <tableColumn id="2" xr3:uid="{037C8D0B-3718-4880-9E96-D23695FA24C0}" name="Measure number" dataDxfId="148" dataCellStyle="Locked Cell">
      <calculatedColumnFormula>IFERROR(INDEX(Table_Prescript_Meas[Measure Number], MATCH(E5, Table_Prescript_Meas[Measure Description], 0)), "")</calculatedColumnFormula>
    </tableColumn>
    <tableColumn id="11" xr3:uid="{A5AD0AC2-92EF-42DB-B96D-268639096E7E}" name="Location/measure notes" dataDxfId="147" dataCellStyle="Input General"/>
    <tableColumn id="4" xr3:uid="{3A6C7D48-9C8E-4469-BE19-1D20709C4EEA}" name="Prescriptive control measure" dataDxfId="146" dataCellStyle="Input General"/>
    <tableColumn id="12" xr3:uid="{7C1A5183-8105-4BA2-AF96-B1E1CD77ED3E}" name="Quantity (Sensors/controller units)" dataDxfId="145" dataCellStyle="Input General"/>
    <tableColumn id="6" xr3:uid="{57E3C6FC-75DF-4F91-95ED-29109723E3EB}" name="Existing lighting controls" dataDxfId="144" dataCellStyle="Input General"/>
    <tableColumn id="8" xr3:uid="{E34A0752-2B5F-462A-928A-7F75B5633DB7}" name="Watts controlled" dataDxfId="143" dataCellStyle="Input General"/>
    <tableColumn id="14" xr3:uid="{AACC69F4-6890-4204-937D-36EC75225013}" name="Total equipment cost" dataDxfId="142" dataCellStyle="Input General"/>
    <tableColumn id="15" xr3:uid="{8CDB3A5A-01EC-4874-AB74-53CAD120C72C}" name="Total labor cost" dataDxfId="141" dataCellStyle="Input General"/>
    <tableColumn id="16" xr3:uid="{8407FCB0-AD56-49D0-BE27-293D6F6A17F3}" name="Per-unit incentive" dataDxfId="140" dataCellStyle="Locked Cell">
      <calculatedColumnFormula>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calculatedColumnFormula>
    </tableColumn>
    <tableColumn id="17" xr3:uid="{D6A3A901-6F97-4E0D-BB2A-54636D44E9B0}" name="Estimated incentive" dataDxfId="139" dataCellStyle="Locked Cell">
      <calculatedColumnFormula>IFERROR(Table_Controls_Input[[#This Row],[Per-unit incentive]]*Table_Controls_Input[[#This Row],[Quantity (Sensors/controller units)]],"")</calculatedColumnFormula>
    </tableColumn>
    <tableColumn id="18" xr3:uid="{A9E6A88B-96AF-4060-99B9-A30B9C7408F0}" name="Energy savings (kWh)" dataDxfId="138" dataCellStyle="Locked Cell">
      <calculatedColumnFormula>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calculatedColumnFormula>
    </tableColumn>
    <tableColumn id="20" xr3:uid="{FF0B6487-3E9B-4EBC-B8A0-DCBEDC804E4D}" name="Demand reduction (kW)" dataDxfId="137" dataCellStyle="Locked Cell">
      <calculatedColumnFormula>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calculatedColumnFormula>
    </tableColumn>
    <tableColumn id="19" xr3:uid="{4147DE18-432B-4537-ACD2-082A5821D611}" name="Cost savings" dataDxfId="136" dataCellStyle="Locked Cell">
      <calculatedColumnFormula>IFERROR(M5*Input_AvgkWhRate, "")</calculatedColumnFormula>
    </tableColumn>
    <tableColumn id="24" xr3:uid="{583951C0-4606-42D0-810B-D55385B9D03B}" name="Gross measure cost" dataDxfId="135" dataCellStyle="Locked Cell">
      <calculatedColumnFormula>IF(Table_Controls_Input[[#This Row],[Per-unit incentive]]="","",Table_Controls_Input[[#This Row],[Total equipment cost]]+Table_Controls_Input[[#This Row],[Total labor cost]])</calculatedColumnFormula>
    </tableColumn>
    <tableColumn id="21" xr3:uid="{AD331DEC-E23E-428A-93B1-BA789D8899E1}" name="Net measure cost" dataDxfId="134" dataCellStyle="Locked Cell">
      <calculatedColumnFormula>IFERROR(Table_Controls_Input[[#This Row],[Gross measure cost]]-Table_Controls_Input[[#This Row],[Estimated incentive]], "")</calculatedColumnFormula>
    </tableColumn>
    <tableColumn id="22" xr3:uid="{04B74A6C-BEA7-4EFF-83FB-9212991C52CF}" name="Simple payback (years)" dataDxfId="133" dataCellStyle="Locked Cell">
      <calculatedColumnFormula>IFERROR(Table_Controls_Input[[#This Row],[Net measure cost]]/Table_Controls_Input[[#This Row],[Cost savings]],"")</calculatedColumnFormula>
    </tableColumn>
    <tableColumn id="5" xr3:uid="{217606E1-EF3E-489A-8BC9-6320EE1E1C36}" name="Existing PAF" dataDxfId="132" dataCellStyle="Hide Cell">
      <calculatedColumnFormula>INDEX(Table_Control_PAF[PAF], MATCH(Table_Controls_Input[[#This Row],[Existing lighting controls]], Table_Control_PAF[List_Control_Types], 0))</calculatedColumnFormula>
    </tableColumn>
    <tableColumn id="3" xr3:uid="{0ECCD9E7-1F56-4FE4-9523-10C00B4B04F1}" name="Proposed PAF" dataDxfId="131" dataCellStyle="Hide Cell">
      <calculatedColumnFormula>INDEX(Table_Measure_PAF[Proposed PAF], MATCH(Table_Controls_Input[[#This Row],[Prescriptive control measure]], Table_Measure_PAF[List_Control_Measure], 0))</calculatedColumnFormula>
    </tableColumn>
    <tableColumn id="7" xr3:uid="{C4BDA1E4-8FDB-49D0-B226-6F1F18F2A7E4}" name="AOH Type" dataDxfId="130" dataCellStyle="Hide Cell">
      <calculatedColumnFormula>INDEX(Table_Prescript_Meas[AOH Type], MATCH(Table_Controls_Input[[#This Row],[Measure number]],Table_Prescript_Meas[Measure Number], 0))</calculatedColumnFormula>
    </tableColumn>
    <tableColumn id="9" xr3:uid="{E12F350E-A35A-4123-A6B6-EB93AA02D8B8}" name="AOH Pointer" dataDxfId="129" dataCellStyle="Hide Cell">
      <calculatedColumnFormula>INDEX(Table_Prescript_Meas[AOH Type], MATCH(Table_Controls_Input[[#This Row],[Measure number]], Table_Prescript_Meas[Measure Number],0))</calculatedColumnFormula>
    </tableColumn>
    <tableColumn id="10" xr3:uid="{ACB156AE-231A-45A8-92D1-095643CA7C41}" name="Calc AOH" dataDxfId="128" dataCellStyle="Hide Cell">
      <calculatedColumnFormula>IF(Table_Controls_Input[[#This Row],[AOH Type]]=Table_Bldg_Type[[#Headers],[List_Bldg_Types]], INDEX(Table_Bldg_Type[AOH], MATCH(Input_BldgType, Table_Bldg_Type[List_Bldg_Types], 0)), INDEX(Table_Bdg_Indep_AOH[AOH], MATCH(Table_Controls_Input[[#This Row],[AOH Type]], Table_Bdg_Indep_AOH[List_Special_AOHs], 0)))</calculatedColumnFormula>
    </tableColumn>
  </tableColumns>
  <tableStyleInfo name="Lookup Table"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64DA023-7ADA-45BB-9E19-8CB056185931}" name="Table_User_Fixtures" displayName="Table_User_Fixtures" ref="A6:I1336" totalsRowShown="0" headerRowDxfId="127" dataDxfId="126">
  <autoFilter ref="A6:I1336" xr:uid="{42F5316D-739E-434A-88AF-A98354B704F3}"/>
  <sortState xmlns:xlrd2="http://schemas.microsoft.com/office/spreadsheetml/2017/richdata2" ref="A7:I1336">
    <sortCondition ref="A6:A1336"/>
  </sortState>
  <tableColumns count="9">
    <tableColumn id="1" xr3:uid="{BE0BDEA5-373A-4716-A537-929780EBF899}" name="Index No." dataDxfId="125"/>
    <tableColumn id="11" xr3:uid="{37A769AE-9321-4564-9C1E-7E160D9B18EF}" name="Technology" dataDxfId="124"/>
    <tableColumn id="8" xr3:uid="{CCB4DE97-6682-4D25-AC14-8CD762E06252}" name="Lamp watts" dataDxfId="123"/>
    <tableColumn id="7" xr3:uid="{6AF2EFEB-B8C9-4137-9A10-D670359A8A21}" name="No. of lamps" dataDxfId="122"/>
    <tableColumn id="16" xr3:uid="{8A9B0E3A-1096-4906-A7BF-C87E98B9E071}" name="Linear fluorescent length (inches)" dataDxfId="121"/>
    <tableColumn id="33" xr3:uid="{487DA885-8E0B-44D8-9E0E-879BF10E79D5}" name="Lamp output" dataDxfId="120"/>
    <tableColumn id="6" xr3:uid="{14E3E3F7-7C7B-4AB5-9956-36B2C4329B2E}" name="Ballast type" dataDxfId="119"/>
    <tableColumn id="4" xr3:uid="{ADAB86EA-D4FE-48F9-B07A-990AABC2843C}" name="Description" dataDxfId="118"/>
    <tableColumn id="2" xr3:uid="{38A2EC0D-9C3E-4728-9CBD-2545BDC988A0}" name="Fixture code" dataDxfId="117"/>
  </tableColumns>
  <tableStyleInfo name="Lookup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3E3CD38-913D-4F45-A343-C44868F40E80}" name="Table16" displayName="Table16" ref="B16:D20" totalsRowCount="1" headerRowDxfId="116" dataDxfId="115" totalsRowDxfId="113" tableBorderDxfId="114" totalsRowBorderDxfId="112" headerRowCellStyle="Table Top 2">
  <autoFilter ref="B16:D19" xr:uid="{B3E3CD38-913D-4F45-A343-C44868F40E80}">
    <filterColumn colId="0" hiddenButton="1"/>
    <filterColumn colId="1" hiddenButton="1"/>
    <filterColumn colId="2" hiddenButton="1"/>
  </autoFilter>
  <tableColumns count="3">
    <tableColumn id="1" xr3:uid="{83B90E73-B8F8-4BE8-A365-A62775107D60}" name="Incentive type" totalsRowLabel="Total" dataDxfId="111" totalsRowDxfId="110" dataCellStyle="Locked Cell Bold"/>
    <tableColumn id="2" xr3:uid="{BB580220-364F-4342-A480-3A7F0A85971E}" name="Energy savings (kWh)" totalsRowFunction="sum" dataDxfId="109" totalsRowDxfId="108" dataCellStyle="Locked Cell White"/>
    <tableColumn id="3" xr3:uid="{08D5337C-CE22-4B9F-9C93-9E240610E3CF}" name="kW reduction" totalsRowFunction="sum" dataDxfId="107" totalsRowDxfId="106" dataCellStyle="Locked Cell White" totalsRowCellStyle="Locked Cell White">
      <calculatedColumnFormula>INDEX(Table_Measure_Caps[Demand Reduction Total (kW)], MATCH(Table16[[#This Row],[Incentive type]], Table_Measure_Caps[Measure Type], 0))</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7C5417B-4AA8-4901-BDA8-B9F8286E5C8F}" name="Table15" displayName="Table15" ref="B23:G28" totalsRowCount="1" headerRowDxfId="105" dataDxfId="104" totalsRowDxfId="102" tableBorderDxfId="103" totalsRowBorderDxfId="101" headerRowCellStyle="Table Top 2" dataCellStyle="Locked Cell White">
  <tableColumns count="6">
    <tableColumn id="1" xr3:uid="{D548A418-04DA-4B50-A62E-C275304AA5D5}" name="Incentive type" totalsRowLabel="Total" dataDxfId="100" totalsRowDxfId="99" dataCellStyle="Locked Cell Bold"/>
    <tableColumn id="2" xr3:uid="{C84C9810-0655-48B1-BBAC-7F4CE667FA2F}" name="Cost savings" totalsRowFunction="sum" dataDxfId="98" totalsRowDxfId="97" dataCellStyle="Currency">
      <calculatedColumnFormula>INDEX(Table_Measure_Caps[Cost Savings Total], MATCH(Table15[[#This Row],[Incentive type]],Table_Measure_Caps[Measure Type], 0))</calculatedColumnFormula>
    </tableColumn>
    <tableColumn id="3" xr3:uid="{624D4AEF-BAE5-47BC-9E6E-DDA3C0A9F2D9}" name="Gross project cost" totalsRowFunction="sum" dataDxfId="96" totalsRowDxfId="95" dataCellStyle="Currency">
      <calculatedColumnFormula>INDEX(Table_Measure_Caps[Gross Measure Cost Total], MATCH(Table15[[#This Row],[Incentive type]],Table_Measure_Caps[Measure Type], 0))</calculatedColumnFormula>
    </tableColumn>
    <tableColumn id="4" xr3:uid="{BAC78EBD-B290-44C2-80FD-EDD976754B88}" name="Estimated incentive" totalsRowFunction="sum" dataDxfId="94" totalsRowDxfId="93" dataCellStyle="Currency">
      <calculatedColumnFormula>'Input Custom Lighting Measures'!#REF!</calculatedColumnFormula>
    </tableColumn>
    <tableColumn id="7" xr3:uid="{313B6AB0-18D4-414B-8255-A4B0D4E313F6}" name="Net project cost" totalsRowFunction="sum" dataDxfId="92" totalsRowDxfId="91" dataCellStyle="Currency"/>
    <tableColumn id="8" xr3:uid="{0947E50A-946D-4F5D-8278-1B82EC35172D}" name="Simple payback (years)" totalsRowFunction="custom" dataDxfId="90" totalsRowDxfId="89" dataCellStyle="Locked Cell White">
      <calculatedColumnFormula>IFERROR(Table15[[#This Row],[Net project cost]]/Table15[[#This Row],[Cost savings]],"")</calculatedColumnFormula>
      <totalsRowFormula>Table15[[#Totals],[Net project cost]]/Table15[[#Totals],[Cost savings]]</totalsRow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E796AFA-733C-434F-BDDC-2899ECA53AB7}" name="Table_Prescript_Meas" displayName="Table_Prescript_Meas" ref="D3:N57" totalsRowShown="0">
  <autoFilter ref="D3:N57" xr:uid="{1E796AFA-733C-434F-BDDC-2899ECA53AB7}"/>
  <sortState xmlns:xlrd2="http://schemas.microsoft.com/office/spreadsheetml/2017/richdata2" ref="D4:L55">
    <sortCondition ref="D3:D55"/>
  </sortState>
  <tableColumns count="11">
    <tableColumn id="13" xr3:uid="{012E9E51-5028-4922-9691-1FBAD313D544}" name="Sort Order"/>
    <tableColumn id="5" xr3:uid="{F18435E4-A28A-404F-9592-218A633520A0}" name="Measure Number" dataDxfId="88"/>
    <tableColumn id="1" xr3:uid="{A3E2A2E2-AD9F-4EDF-8AD1-B97F6A2E727B}" name="Measure Description"/>
    <tableColumn id="2" xr3:uid="{62C320E2-6C47-4072-836B-0FA25E2EA64A}" name="Incentive - SC" dataDxfId="87"/>
    <tableColumn id="3" xr3:uid="{9829818C-AAD4-47CD-862A-5F923ABB1CAC}" name="Incentive - LC" dataDxfId="86"/>
    <tableColumn id="10" xr3:uid="{C8C6E27F-E414-402B-93BF-418D93F7AE06}" name="Unit"/>
    <tableColumn id="6" xr3:uid="{F73D6976-9010-4E24-9953-9AD1D19CEA69}" name="AOH Type" dataDxfId="85"/>
    <tableColumn id="9" xr3:uid="{90793108-0471-4863-B132-6B8F52616C0B}" name="Lighting Type Selection List" dataDxfId="84"/>
    <tableColumn id="11" xr3:uid="{441AC69C-2800-4B4B-B025-41E4012BDE4E}" name="Interior or Exterior"/>
    <tableColumn id="4" xr3:uid="{F96F39CE-2A71-41DB-B421-A61685E3C2B1}" name="Deemed kWh Savings"/>
    <tableColumn id="7" xr3:uid="{8E10327F-E142-423A-83BA-7DA4DC022CA2}" name="Deemed kW Reduction"/>
  </tableColumns>
  <tableStyleInfo name="Lookup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E631227-67E4-40D0-9EF7-2D1E84DED3A6}" name="Table_Bldg_Type" displayName="Table_Bldg_Type" ref="W3:Y35" totalsRowShown="0">
  <autoFilter ref="W3:Y35" xr:uid="{1E631227-67E4-40D0-9EF7-2D1E84DED3A6}"/>
  <tableColumns count="3">
    <tableColumn id="1" xr3:uid="{F440E693-F01B-4D39-93F4-CB4C362A2E97}" name="List_Bldg_Types"/>
    <tableColumn id="2" xr3:uid="{CCE71840-BD0B-4DA1-A54E-BD0479FE1D53}" name="AOH" dataDxfId="83"/>
    <tableColumn id="3" xr3:uid="{629120D9-AD9B-46D0-8708-B2AE7492C81F}" name="CFbldg" dataDxfId="82"/>
  </tableColumns>
  <tableStyleInfo name="Lookup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5561F64-1335-440C-AED5-74AFA17DE82C}" name="Table_Bldg_IEFD_IEFC" displayName="Table_Bldg_IEFD_IEFC" ref="AD3:AF10" totalsRowShown="0">
  <autoFilter ref="AD3:AF10" xr:uid="{E5561F64-1335-440C-AED5-74AFA17DE82C}"/>
  <tableColumns count="3">
    <tableColumn id="1" xr3:uid="{2B234A2F-4DF0-4EE3-934C-87CA8B920DB2}" name="List_HVAC"/>
    <tableColumn id="2" xr3:uid="{DA5B5736-7537-4EF5-A930-71C0A573E8BC}" name="IEFD" dataDxfId="81"/>
    <tableColumn id="3" xr3:uid="{EBEF93C5-24E0-41C9-A178-615801530BC5}" name="IEFE" dataDxfId="80"/>
  </tableColumns>
  <tableStyleInfo name="Lookup Table" showFirstColumn="0" showLastColumn="0" showRowStripes="1" showColumnStripes="0"/>
</table>
</file>

<file path=xl/theme/theme1.xml><?xml version="1.0" encoding="utf-8"?>
<a:theme xmlns:a="http://schemas.openxmlformats.org/drawingml/2006/main" name="Office Theme">
  <a:themeElements>
    <a:clrScheme name="Energy Smart Colors">
      <a:dk1>
        <a:sysClr val="windowText" lastClr="000000"/>
      </a:dk1>
      <a:lt1>
        <a:sysClr val="window" lastClr="FFFFFF"/>
      </a:lt1>
      <a:dk2>
        <a:srgbClr val="002D56"/>
      </a:dk2>
      <a:lt2>
        <a:srgbClr val="C0C0C0"/>
      </a:lt2>
      <a:accent1>
        <a:srgbClr val="002D56"/>
      </a:accent1>
      <a:accent2>
        <a:srgbClr val="8DC63F"/>
      </a:accent2>
      <a:accent3>
        <a:srgbClr val="006E51"/>
      </a:accent3>
      <a:accent4>
        <a:srgbClr val="007897"/>
      </a:accent4>
      <a:accent5>
        <a:srgbClr val="B41E83"/>
      </a:accent5>
      <a:accent6>
        <a:srgbClr val="DDDDDD"/>
      </a:accent6>
      <a:hlink>
        <a:srgbClr val="007897"/>
      </a:hlink>
      <a:folHlink>
        <a:srgbClr val="007897"/>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N4" dT="2023-05-23T19:33:34.96" personId="{E8812C5B-8B55-413E-91E8-D27DE0C48A0B}" id="{1B99AF4E-D860-4F2A-9D13-95DDD54E0C36}">
    <text>@Kurtz, Spencer, please check and double check this column.  If switch/no control, then should default to building CF.  If controls, then should default to controls CF.</text>
    <mentions>
      <mention mentionpersonId="{338A1EFB-A46D-4598-B4D1-9FC87236A14B}" mentionId="{E67EF5B4-A794-47B9-9FE1-A7E990C0F70F}" startIndex="0" length="15"/>
    </mentions>
  </threadedComment>
  <threadedComment ref="AO4" dT="2023-05-18T19:59:35.38" personId="{53B4C323-E50F-466A-9D2B-07B77C4A4BC3}" id="{0BE13517-D378-4E65-B641-8E2D7A6C9173}">
    <text>@Sheaffer, Andrew Re-worked the algorithms (specifically the Index factors for PAF and IEFe) in order to calculate the savings correctly</text>
    <mentions>
      <mention mentionpersonId="{85B7E230-E8AA-408A-AA82-8BC1888B6C16}" mentionId="{E61096CE-D1A5-42DF-B57D-07AD57FC6FC7}" startIndex="0" length="17"/>
    </mentions>
  </threadedComment>
  <threadedComment ref="AO4" dT="2023-05-23T19:31:57.72" personId="{E8812C5B-8B55-413E-91E8-D27DE0C48A0B}" id="{333AAC1E-4C50-45F6-988B-B55C0A41ECEA}" parentId="{0BE13517-D378-4E65-B641-8E2D7A6C9173}">
    <text>Took out iferror() because if this formula returns an error - we need to hold the error as it indicates to the Calculated Savings columns to default to Generalized Savings.  Also condensed this down quite a bit by adding IEFE, IEFE, PAF, CF columns to the right.</text>
  </threadedComment>
  <threadedComment ref="AO4" dT="2023-05-23T19:38:14.88" personId="{E8812C5B-8B55-413E-91E8-D27DE0C48A0B}" id="{B05101AD-39EC-46CC-A664-4036E50B0B48}" parentId="{0BE13517-D378-4E65-B641-8E2D7A6C9173}">
    <text>@Kurtz, Spencer please recheck</text>
    <mentions>
      <mention mentionpersonId="{338A1EFB-A46D-4598-B4D1-9FC87236A14B}" mentionId="{96585B9F-BB01-4172-B380-2AAC06C1B850}" startIndex="0" length="15"/>
    </mentions>
  </threadedComment>
  <threadedComment ref="AP4" dT="2023-05-18T20:00:07.71" personId="{53B4C323-E50F-466A-9D2B-07B77C4A4BC3}" id="{B51EB312-5753-4A65-98A7-4B5FFBF85128}">
    <text>@Sheaffer, Andrew Re-worked the algorithms (specifically the Index factors for CF and IEFd) in order to calculate the savings correctly</text>
    <mentions>
      <mention mentionpersonId="{85B7E230-E8AA-408A-AA82-8BC1888B6C16}" mentionId="{988FD9E0-EF47-4D40-A190-A482D3D01CDB}" startIndex="0" length="17"/>
    </mentions>
  </threadedComment>
  <threadedComment ref="AP4" dT="2023-05-23T19:32:18.66" personId="{E8812C5B-8B55-413E-91E8-D27DE0C48A0B}" id="{7F73FA3F-29E2-425D-A7C4-EEAD7D3B2161}" parentId="{B51EB312-5753-4A65-98A7-4B5FFBF85128}">
    <text>Took out iferror() because if this formula returns an error - we need to hold the error as it indicates to the Calculated Savings columns to default to Generalized Savings.  Also condensed this down quite a bit by adding IEFE, IEFE, PAF, CF columns to the right.</text>
  </threadedComment>
  <threadedComment ref="AP4" dT="2023-05-23T19:38:28.47" personId="{E8812C5B-8B55-413E-91E8-D27DE0C48A0B}" id="{E8D4AF8B-2827-423D-9EA7-F86A8CBED1BC}" parentId="{B51EB312-5753-4A65-98A7-4B5FFBF85128}">
    <text>@Kurtz, Spencer please recheck</text>
    <mentions>
      <mention mentionpersonId="{338A1EFB-A46D-4598-B4D1-9FC87236A14B}" mentionId="{DBF4D319-3ABE-46C6-8BB2-5350D85EBE44}" startIndex="0" length="15"/>
    </mentions>
  </threadedComment>
  <threadedComment ref="AT4" dT="2023-05-19T03:59:20.58" personId="{53B4C323-E50F-466A-9D2B-07B77C4A4BC3}" id="{5D836A14-6E0D-457E-883B-62E57BC065A8}">
    <text>@Sheaffer, Andrew Re-worked the algorithms (specifically the Index factors for PAF and IEFe) in order to calculate the savings correctly</text>
    <mentions>
      <mention mentionpersonId="{85B7E230-E8AA-408A-AA82-8BC1888B6C16}" mentionId="{22ABF270-38C1-48AB-9B07-277CD4DEAA00}" startIndex="0" length="17"/>
    </mentions>
  </threadedComment>
  <threadedComment ref="AT4" dT="2023-05-23T19:42:53.00" personId="{E8812C5B-8B55-413E-91E8-D27DE0C48A0B}" id="{D1CF59F6-6491-4173-8896-6A619A659B81}" parentId="{5D836A14-6E0D-457E-883B-62E57BC065A8}">
    <text>@Kurtz, Spencer please recheck</text>
    <mentions>
      <mention mentionpersonId="{338A1EFB-A46D-4598-B4D1-9FC87236A14B}" mentionId="{C54A95A8-002C-4AB1-A236-164D865E80E1}" startIndex="0" length="15"/>
    </mentions>
  </threadedComment>
  <threadedComment ref="AU4" dT="2023-05-19T03:59:41.36" personId="{53B4C323-E50F-466A-9D2B-07B77C4A4BC3}" id="{2106BCE4-06A0-41A6-896B-F5B0133494A9}">
    <text>@Sheaffer, Andrew Re-worked the algorithms (specifically the Index factors for CF and IEFd) in order to calculate the savings correctly</text>
    <mentions>
      <mention mentionpersonId="{85B7E230-E8AA-408A-AA82-8BC1888B6C16}" mentionId="{779B99DE-5F83-4C56-9C50-E66BB5B17D16}" startIndex="0" length="17"/>
    </mentions>
  </threadedComment>
  <threadedComment ref="AU4" dT="2023-05-23T19:43:08.61" personId="{E8812C5B-8B55-413E-91E8-D27DE0C48A0B}" id="{2A9BDA73-81DA-4EBF-8FF5-91833D0D0736}" parentId="{2106BCE4-06A0-41A6-896B-F5B0133494A9}">
    <text>@Kurtz, Spencer Please recheck</text>
    <mentions>
      <mention mentionpersonId="{338A1EFB-A46D-4598-B4D1-9FC87236A14B}" mentionId="{A9EEE405-974D-4FDE-8855-777B618B3D75}" startIndex="0" length="15"/>
    </mentions>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table" Target="../tables/table13.xml"/><Relationship Id="rId3" Type="http://schemas.openxmlformats.org/officeDocument/2006/relationships/table" Target="../tables/table8.xml"/><Relationship Id="rId7" Type="http://schemas.openxmlformats.org/officeDocument/2006/relationships/table" Target="../tables/table12.xml"/><Relationship Id="rId2" Type="http://schemas.openxmlformats.org/officeDocument/2006/relationships/table" Target="../tables/table7.xml"/><Relationship Id="rId1" Type="http://schemas.openxmlformats.org/officeDocument/2006/relationships/printerSettings" Target="../printerSettings/printerSettings9.bin"/><Relationship Id="rId6" Type="http://schemas.openxmlformats.org/officeDocument/2006/relationships/table" Target="../tables/table11.xml"/><Relationship Id="rId5" Type="http://schemas.openxmlformats.org/officeDocument/2006/relationships/table" Target="../tables/table10.xml"/><Relationship Id="rId10" Type="http://schemas.openxmlformats.org/officeDocument/2006/relationships/table" Target="../tables/table15.xml"/><Relationship Id="rId4" Type="http://schemas.openxmlformats.org/officeDocument/2006/relationships/table" Target="../tables/table9.xml"/><Relationship Id="rId9" Type="http://schemas.openxmlformats.org/officeDocument/2006/relationships/table" Target="../tables/table14.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table" Target="../tables/table17.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energysmartnola.info/businesses/terms/"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microsoft.com/office/2019/04/relationships/namedSheetView" Target="../namedSheetViews/namedSheetView1.xml"/><Relationship Id="rId2" Type="http://schemas.openxmlformats.org/officeDocument/2006/relationships/drawing" Target="../drawings/drawing4.xml"/><Relationship Id="rId1" Type="http://schemas.openxmlformats.org/officeDocument/2006/relationships/printerSettings" Target="../printerSettings/printerSettings3.bin"/><Relationship Id="rId6" Type="http://schemas.microsoft.com/office/2017/10/relationships/threadedComment" Target="../threadedComments/threadedComment1.xml"/><Relationship Id="rId5" Type="http://schemas.openxmlformats.org/officeDocument/2006/relationships/comments" Target="../comments2.xml"/><Relationship Id="rId4" Type="http://schemas.openxmlformats.org/officeDocument/2006/relationships/table" Target="../tables/table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table" Target="../tables/table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5.bin"/><Relationship Id="rId5" Type="http://schemas.openxmlformats.org/officeDocument/2006/relationships/comments" Target="../comments4.xml"/><Relationship Id="rId4" Type="http://schemas.openxmlformats.org/officeDocument/2006/relationships/table" Target="../tables/table3.xml"/></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7.bin"/><Relationship Id="rId6" Type="http://schemas.openxmlformats.org/officeDocument/2006/relationships/comments" Target="../comments5.xml"/><Relationship Id="rId5" Type="http://schemas.openxmlformats.org/officeDocument/2006/relationships/table" Target="../tables/table6.xml"/><Relationship Id="rId4" Type="http://schemas.openxmlformats.org/officeDocument/2006/relationships/table" Target="../tables/table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5B3A6-2D4B-4ADE-9471-DE1977CE6780}">
  <sheetPr>
    <tabColor theme="2"/>
  </sheetPr>
  <dimension ref="B1:E40"/>
  <sheetViews>
    <sheetView showGridLines="0" showRowColHeaders="0" tabSelected="1" topLeftCell="A19" workbookViewId="0">
      <selection activeCell="C31" sqref="C31"/>
    </sheetView>
  </sheetViews>
  <sheetFormatPr defaultRowHeight="12.75" x14ac:dyDescent="0.2"/>
  <cols>
    <col min="1" max="1" width="1.7109375" customWidth="1"/>
    <col min="2" max="2" width="14.140625" customWidth="1"/>
    <col min="3" max="3" width="39" customWidth="1"/>
    <col min="4" max="4" width="14.140625" customWidth="1"/>
    <col min="5" max="5" width="39" customWidth="1"/>
  </cols>
  <sheetData>
    <row r="1" spans="2:5" ht="57.75" customHeight="1" x14ac:dyDescent="0.2"/>
    <row r="2" spans="2:5" ht="53.25" customHeight="1" x14ac:dyDescent="0.2">
      <c r="B2" s="231" t="s">
        <v>0</v>
      </c>
      <c r="C2" s="232"/>
      <c r="D2" s="232"/>
      <c r="E2" s="232"/>
    </row>
    <row r="3" spans="2:5" ht="78.75" customHeight="1" x14ac:dyDescent="0.2">
      <c r="B3" s="244" t="s">
        <v>6308</v>
      </c>
      <c r="C3" s="244"/>
      <c r="D3" s="244"/>
      <c r="E3" s="244"/>
    </row>
    <row r="4" spans="2:5" ht="21" customHeight="1" x14ac:dyDescent="0.2">
      <c r="B4" s="242" t="s">
        <v>1</v>
      </c>
      <c r="C4" s="243"/>
      <c r="D4" s="243"/>
      <c r="E4" s="243"/>
    </row>
    <row r="5" spans="2:5" ht="30" customHeight="1" x14ac:dyDescent="0.2">
      <c r="B5" s="233" t="s">
        <v>2</v>
      </c>
      <c r="C5" s="234"/>
      <c r="D5" s="234"/>
      <c r="E5" s="235"/>
    </row>
    <row r="6" spans="2:5" ht="30" customHeight="1" x14ac:dyDescent="0.2">
      <c r="B6" s="236"/>
      <c r="C6" s="237"/>
      <c r="D6" s="237"/>
      <c r="E6" s="238"/>
    </row>
    <row r="7" spans="2:5" ht="30" customHeight="1" x14ac:dyDescent="0.2">
      <c r="B7" s="236"/>
      <c r="C7" s="237"/>
      <c r="D7" s="237"/>
      <c r="E7" s="238"/>
    </row>
    <row r="8" spans="2:5" ht="37.5" customHeight="1" x14ac:dyDescent="0.2">
      <c r="B8" s="239"/>
      <c r="C8" s="240"/>
      <c r="D8" s="240"/>
      <c r="E8" s="241"/>
    </row>
    <row r="9" spans="2:5" ht="12.75" customHeight="1" x14ac:dyDescent="0.2">
      <c r="B9" s="60"/>
      <c r="C9" s="60"/>
    </row>
    <row r="10" spans="2:5" ht="15.75" x14ac:dyDescent="0.2">
      <c r="B10" s="242" t="s">
        <v>3</v>
      </c>
      <c r="C10" s="243"/>
      <c r="D10" s="243"/>
      <c r="E10" s="243"/>
    </row>
    <row r="11" spans="2:5" ht="33" customHeight="1" x14ac:dyDescent="0.2">
      <c r="B11" s="221" t="s">
        <v>4</v>
      </c>
      <c r="C11" s="251" t="s">
        <v>5</v>
      </c>
      <c r="D11" s="252"/>
      <c r="E11" s="253"/>
    </row>
    <row r="12" spans="2:5" ht="30" customHeight="1" x14ac:dyDescent="0.2">
      <c r="B12" s="157" t="s">
        <v>6</v>
      </c>
      <c r="C12" s="254" t="s">
        <v>7</v>
      </c>
      <c r="D12" s="255"/>
      <c r="E12" s="256"/>
    </row>
    <row r="13" spans="2:5" ht="12.75" customHeight="1" x14ac:dyDescent="0.2"/>
    <row r="14" spans="2:5" ht="15.75" x14ac:dyDescent="0.25">
      <c r="B14" s="257" t="s">
        <v>8</v>
      </c>
      <c r="C14" s="258"/>
      <c r="D14" s="258"/>
      <c r="E14" s="259"/>
    </row>
    <row r="15" spans="2:5" ht="25.5" customHeight="1" x14ac:dyDescent="0.2">
      <c r="B15" s="155" t="s">
        <v>9</v>
      </c>
      <c r="C15" s="228" t="s">
        <v>10</v>
      </c>
      <c r="D15" s="228"/>
      <c r="E15" s="228"/>
    </row>
    <row r="16" spans="2:5" ht="32.25" customHeight="1" x14ac:dyDescent="0.2">
      <c r="B16" s="158" t="s">
        <v>11</v>
      </c>
      <c r="C16" s="228" t="s">
        <v>12</v>
      </c>
      <c r="D16" s="228"/>
      <c r="E16" s="228"/>
    </row>
    <row r="17" spans="2:5" s="4" customFormat="1" ht="30.75" customHeight="1" x14ac:dyDescent="0.2">
      <c r="B17" s="158" t="s">
        <v>13</v>
      </c>
      <c r="C17" s="251" t="s">
        <v>14</v>
      </c>
      <c r="D17" s="252"/>
      <c r="E17" s="253"/>
    </row>
    <row r="18" spans="2:5" ht="33" customHeight="1" x14ac:dyDescent="0.2">
      <c r="B18" s="156" t="s">
        <v>15</v>
      </c>
      <c r="C18" s="228" t="s">
        <v>16</v>
      </c>
      <c r="D18" s="228"/>
      <c r="E18" s="228"/>
    </row>
    <row r="19" spans="2:5" ht="28.5" customHeight="1" x14ac:dyDescent="0.2">
      <c r="B19" s="156" t="s">
        <v>17</v>
      </c>
      <c r="C19" s="228" t="s">
        <v>18</v>
      </c>
      <c r="D19" s="228"/>
      <c r="E19" s="228"/>
    </row>
    <row r="20" spans="2:5" s="4" customFormat="1" ht="31.5" customHeight="1" x14ac:dyDescent="0.2">
      <c r="B20" s="156" t="s">
        <v>19</v>
      </c>
      <c r="C20" s="228" t="s">
        <v>20</v>
      </c>
      <c r="D20" s="228"/>
      <c r="E20" s="228"/>
    </row>
    <row r="21" spans="2:5" ht="45" customHeight="1" x14ac:dyDescent="0.2">
      <c r="B21" s="155" t="s">
        <v>21</v>
      </c>
      <c r="C21" s="228" t="s">
        <v>22</v>
      </c>
      <c r="D21" s="228"/>
      <c r="E21" s="228"/>
    </row>
    <row r="22" spans="2:5" ht="36" customHeight="1" x14ac:dyDescent="0.2">
      <c r="B22" s="155" t="s">
        <v>23</v>
      </c>
      <c r="C22" s="228" t="s">
        <v>24</v>
      </c>
      <c r="D22" s="228"/>
      <c r="E22" s="228"/>
    </row>
    <row r="23" spans="2:5" ht="12.75" customHeight="1" x14ac:dyDescent="0.2">
      <c r="B23" s="136"/>
      <c r="C23" s="135"/>
      <c r="D23" s="148"/>
      <c r="E23" s="135"/>
    </row>
    <row r="24" spans="2:5" ht="21.75" customHeight="1" x14ac:dyDescent="0.2">
      <c r="B24" s="242" t="s">
        <v>25</v>
      </c>
      <c r="C24" s="242"/>
      <c r="D24" s="242"/>
      <c r="E24" s="242"/>
    </row>
    <row r="25" spans="2:5" ht="47.45" customHeight="1" x14ac:dyDescent="0.2">
      <c r="B25" s="245" t="s">
        <v>26</v>
      </c>
      <c r="C25" s="246"/>
      <c r="D25" s="246"/>
      <c r="E25" s="247"/>
    </row>
    <row r="26" spans="2:5" ht="69.599999999999994" customHeight="1" x14ac:dyDescent="0.2">
      <c r="B26" s="248"/>
      <c r="C26" s="249"/>
      <c r="D26" s="249"/>
      <c r="E26" s="250"/>
    </row>
    <row r="27" spans="2:5" ht="24.95" customHeight="1" x14ac:dyDescent="0.2">
      <c r="B27" s="149" t="s">
        <v>27</v>
      </c>
    </row>
    <row r="28" spans="2:5" x14ac:dyDescent="0.2">
      <c r="B28" s="149" t="str">
        <f>Value_Application_Version</f>
        <v>Version 4.1 - 2026</v>
      </c>
    </row>
    <row r="29" spans="2:5" ht="23.25" customHeight="1" x14ac:dyDescent="0.2"/>
    <row r="30" spans="2:5" ht="51" customHeight="1" x14ac:dyDescent="0.2">
      <c r="B30" s="229" t="s">
        <v>6310</v>
      </c>
      <c r="C30" s="230"/>
      <c r="D30" s="230"/>
      <c r="E30" s="230"/>
    </row>
    <row r="33" spans="2:5" s="4" customFormat="1" ht="108.75" customHeight="1" x14ac:dyDescent="0.2">
      <c r="B33"/>
      <c r="C33"/>
      <c r="D33"/>
      <c r="E33"/>
    </row>
    <row r="34" spans="2:5" ht="42.75" customHeight="1" x14ac:dyDescent="0.2"/>
    <row r="35" spans="2:5" ht="31.5" customHeight="1" x14ac:dyDescent="0.2"/>
    <row r="36" spans="2:5" ht="42" customHeight="1" x14ac:dyDescent="0.2"/>
    <row r="37" spans="2:5" ht="30" customHeight="1" x14ac:dyDescent="0.2"/>
    <row r="38" spans="2:5" ht="132.75" customHeight="1" x14ac:dyDescent="0.2"/>
    <row r="39" spans="2:5" ht="31.5" customHeight="1" x14ac:dyDescent="0.2"/>
    <row r="40" spans="2:5" ht="42" customHeight="1" x14ac:dyDescent="0.2"/>
  </sheetData>
  <sheetProtection algorithmName="SHA-512" hashValue="Ogc8lMATU8/5JS1rXmj3jt1KtvKXBjs5SKsauxSkEAakziz/O6A6qS24dYe6BlGvNMlbaVyHg4Tv2/VOZ0X/Jw==" saltValue="s2prwIPqw1E0N+ej26reqA==" spinCount="100000" sheet="1" objects="1" scenarios="1"/>
  <mergeCells count="19">
    <mergeCell ref="C11:E11"/>
    <mergeCell ref="C12:E12"/>
    <mergeCell ref="C17:E17"/>
    <mergeCell ref="C21:E21"/>
    <mergeCell ref="C22:E22"/>
    <mergeCell ref="B14:E14"/>
    <mergeCell ref="C15:E15"/>
    <mergeCell ref="B2:E2"/>
    <mergeCell ref="B5:E8"/>
    <mergeCell ref="B4:E4"/>
    <mergeCell ref="B10:E10"/>
    <mergeCell ref="B3:E3"/>
    <mergeCell ref="C16:E16"/>
    <mergeCell ref="C18:E18"/>
    <mergeCell ref="C19:E19"/>
    <mergeCell ref="C20:E20"/>
    <mergeCell ref="B30:E30"/>
    <mergeCell ref="B25:E26"/>
    <mergeCell ref="B24:E24"/>
  </mergeCells>
  <pageMargins left="0.25" right="0.25" top="0.75" bottom="0.75" header="0.3" footer="0.3"/>
  <pageSetup orientation="portrait" horizontalDpi="4294967293" vertic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9C664-E8F0-4FE6-8393-91616EE9FA2E}">
  <sheetPr codeName="Sheet11">
    <tabColor rgb="FFFF0000"/>
  </sheetPr>
  <dimension ref="A1:BU164"/>
  <sheetViews>
    <sheetView workbookViewId="0">
      <selection activeCell="B10" sqref="B10"/>
    </sheetView>
  </sheetViews>
  <sheetFormatPr defaultRowHeight="12.75" x14ac:dyDescent="0.2"/>
  <cols>
    <col min="1" max="1" width="26.28515625" bestFit="1" customWidth="1"/>
    <col min="2" max="2" width="15.42578125" bestFit="1" customWidth="1"/>
    <col min="3" max="3" width="2.85546875" customWidth="1"/>
    <col min="5" max="5" width="10.7109375" customWidth="1"/>
    <col min="6" max="6" width="64" customWidth="1"/>
    <col min="7" max="8" width="13.7109375" bestFit="1" customWidth="1"/>
    <col min="9" max="10" width="24.85546875" customWidth="1"/>
    <col min="11" max="11" width="24.7109375" bestFit="1" customWidth="1"/>
    <col min="12" max="14" width="9.28515625" customWidth="1"/>
    <col min="15" max="15" width="2" customWidth="1"/>
    <col min="16" max="16" width="27.140625" customWidth="1"/>
    <col min="17" max="17" width="34.7109375" bestFit="1" customWidth="1"/>
    <col min="18" max="18" width="12.7109375" customWidth="1"/>
    <col min="19" max="19" width="2" customWidth="1"/>
    <col min="20" max="20" width="18" customWidth="1"/>
    <col min="21" max="21" width="23" customWidth="1"/>
    <col min="22" max="22" width="2.42578125" customWidth="1"/>
    <col min="23" max="23" width="75.28515625" customWidth="1"/>
    <col min="24" max="24" width="6.7109375" customWidth="1"/>
    <col min="25" max="25" width="5" customWidth="1"/>
    <col min="26" max="26" width="3.42578125" customWidth="1"/>
    <col min="27" max="27" width="16.42578125" customWidth="1"/>
    <col min="28" max="29" width="9.140625" customWidth="1"/>
    <col min="30" max="30" width="38.5703125" customWidth="1"/>
    <col min="31" max="31" width="6.140625" customWidth="1"/>
    <col min="32" max="32" width="6" customWidth="1"/>
    <col min="33" max="33" width="9.140625" customWidth="1"/>
    <col min="34" max="34" width="64.42578125" customWidth="1"/>
    <col min="35" max="36" width="7.85546875" customWidth="1"/>
    <col min="37" max="37" width="9.140625" customWidth="1"/>
    <col min="38" max="38" width="56.140625" customWidth="1"/>
    <col min="39" max="39" width="14" customWidth="1"/>
    <col min="40" max="40" width="9.140625" customWidth="1"/>
    <col min="41" max="41" width="59" bestFit="1" customWidth="1"/>
    <col min="42" max="42" width="27.140625" customWidth="1"/>
    <col min="43" max="43" width="9.140625" customWidth="1"/>
    <col min="44" max="45" width="25.7109375" customWidth="1"/>
    <col min="46" max="46" width="9.7109375" customWidth="1"/>
    <col min="47" max="47" width="7.7109375" customWidth="1"/>
    <col min="48" max="48" width="46.28515625" customWidth="1"/>
    <col min="49" max="49" width="15.42578125" customWidth="1"/>
    <col min="50" max="50" width="15.140625" customWidth="1"/>
    <col min="51" max="51" width="13.28515625" customWidth="1"/>
    <col min="52" max="52" width="16.5703125" customWidth="1"/>
    <col min="53" max="53" width="30.140625" customWidth="1"/>
    <col min="54" max="55" width="15" customWidth="1"/>
    <col min="56" max="56" width="21" bestFit="1" customWidth="1"/>
    <col min="57" max="57" width="22" bestFit="1" customWidth="1"/>
    <col min="58" max="58" width="22.140625" bestFit="1" customWidth="1"/>
    <col min="59" max="59" width="23.7109375" bestFit="1" customWidth="1"/>
    <col min="60" max="60" width="23.28515625" bestFit="1" customWidth="1"/>
    <col min="61" max="61" width="16.28515625" bestFit="1" customWidth="1"/>
    <col min="62" max="62" width="30" bestFit="1" customWidth="1"/>
    <col min="63" max="63" width="21.140625" bestFit="1" customWidth="1"/>
    <col min="64" max="64" width="21.5703125" bestFit="1" customWidth="1"/>
    <col min="65" max="65" width="14.85546875" customWidth="1"/>
    <col min="67" max="67" width="11" bestFit="1" customWidth="1"/>
    <col min="70" max="70" width="23.85546875" bestFit="1" customWidth="1"/>
    <col min="71" max="71" width="47.7109375" bestFit="1" customWidth="1"/>
    <col min="72" max="72" width="57.7109375" bestFit="1" customWidth="1"/>
    <col min="73" max="73" width="56.140625" bestFit="1" customWidth="1"/>
  </cols>
  <sheetData>
    <row r="1" spans="1:73" ht="13.5" thickBot="1" x14ac:dyDescent="0.25">
      <c r="W1" t="s">
        <v>2801</v>
      </c>
      <c r="AD1" t="s">
        <v>2802</v>
      </c>
      <c r="AH1" t="s">
        <v>2803</v>
      </c>
    </row>
    <row r="2" spans="1:73" ht="40.5" customHeight="1" thickTop="1" thickBot="1" x14ac:dyDescent="0.3">
      <c r="A2" s="52" t="s">
        <v>2804</v>
      </c>
      <c r="D2" s="295" t="s">
        <v>2805</v>
      </c>
      <c r="E2" s="296"/>
      <c r="F2" s="297"/>
      <c r="P2" s="54" t="s">
        <v>2806</v>
      </c>
      <c r="T2" s="54" t="s">
        <v>2807</v>
      </c>
      <c r="W2" s="54" t="s">
        <v>2808</v>
      </c>
      <c r="AA2" s="54" t="s">
        <v>2809</v>
      </c>
      <c r="AD2" s="54" t="s">
        <v>2810</v>
      </c>
      <c r="AH2" s="54" t="s">
        <v>2811</v>
      </c>
      <c r="AL2" s="54" t="s">
        <v>2812</v>
      </c>
      <c r="AO2" s="54" t="s">
        <v>2813</v>
      </c>
    </row>
    <row r="3" spans="1:73" s="12" customFormat="1" ht="29.25" thickTop="1" thickBot="1" x14ac:dyDescent="0.4">
      <c r="A3" s="54" t="s">
        <v>2814</v>
      </c>
      <c r="B3" s="72">
        <v>200000</v>
      </c>
      <c r="D3" s="12" t="s">
        <v>2815</v>
      </c>
      <c r="E3" t="s">
        <v>2816</v>
      </c>
      <c r="F3" t="s">
        <v>2817</v>
      </c>
      <c r="G3" t="s">
        <v>2818</v>
      </c>
      <c r="H3" t="s">
        <v>2819</v>
      </c>
      <c r="I3" t="s">
        <v>2820</v>
      </c>
      <c r="J3" t="s">
        <v>172</v>
      </c>
      <c r="K3" t="s">
        <v>2821</v>
      </c>
      <c r="L3" t="s">
        <v>2822</v>
      </c>
      <c r="M3" t="s">
        <v>2823</v>
      </c>
      <c r="N3" t="s">
        <v>2824</v>
      </c>
      <c r="P3" s="54" t="s">
        <v>2825</v>
      </c>
      <c r="Q3" t="s">
        <v>183</v>
      </c>
      <c r="R3" t="s">
        <v>2826</v>
      </c>
      <c r="T3" s="12" t="s">
        <v>2827</v>
      </c>
      <c r="U3" s="12" t="s">
        <v>2828</v>
      </c>
      <c r="W3" s="54" t="s">
        <v>2829</v>
      </c>
      <c r="X3" t="s">
        <v>2830</v>
      </c>
      <c r="Y3" t="s">
        <v>2831</v>
      </c>
      <c r="AA3" s="54" t="s">
        <v>2832</v>
      </c>
      <c r="AB3" s="12" t="s">
        <v>2830</v>
      </c>
      <c r="AD3" s="54" t="s">
        <v>2833</v>
      </c>
      <c r="AE3" t="s">
        <v>2834</v>
      </c>
      <c r="AF3" t="s">
        <v>2835</v>
      </c>
      <c r="AH3" s="54" t="s">
        <v>2836</v>
      </c>
      <c r="AI3" t="s">
        <v>127</v>
      </c>
      <c r="AJ3" t="s">
        <v>2837</v>
      </c>
      <c r="AK3"/>
      <c r="AL3" s="54" t="s">
        <v>2838</v>
      </c>
      <c r="AM3" t="s">
        <v>171</v>
      </c>
      <c r="AN3"/>
      <c r="AO3" s="54" t="s">
        <v>2839</v>
      </c>
      <c r="AP3" t="s">
        <v>2840</v>
      </c>
      <c r="AQ3"/>
      <c r="AR3" s="55" t="s">
        <v>2841</v>
      </c>
      <c r="AS3" s="55" t="s">
        <v>2842</v>
      </c>
      <c r="AT3" s="55" t="s">
        <v>2843</v>
      </c>
      <c r="AU3" s="55" t="s">
        <v>2844</v>
      </c>
      <c r="AV3" s="55" t="s">
        <v>2845</v>
      </c>
      <c r="AW3" s="55" t="s">
        <v>2846</v>
      </c>
      <c r="AX3" s="55" t="s">
        <v>2847</v>
      </c>
      <c r="AY3" s="55" t="s">
        <v>2848</v>
      </c>
      <c r="AZ3" s="55" t="s">
        <v>2849</v>
      </c>
      <c r="BA3" s="55" t="s">
        <v>2850</v>
      </c>
      <c r="BB3" s="55" t="s">
        <v>2851</v>
      </c>
      <c r="BC3"/>
      <c r="BD3" s="112" t="s">
        <v>2852</v>
      </c>
      <c r="BE3" s="112" t="s">
        <v>2853</v>
      </c>
      <c r="BF3" s="112" t="s">
        <v>2854</v>
      </c>
      <c r="BG3" s="112" t="s">
        <v>2855</v>
      </c>
      <c r="BH3" s="55" t="s">
        <v>2856</v>
      </c>
      <c r="BI3" s="55" t="s">
        <v>2857</v>
      </c>
      <c r="BJ3" s="112" t="s">
        <v>2858</v>
      </c>
      <c r="BK3" s="55" t="s">
        <v>2859</v>
      </c>
      <c r="BL3" s="55" t="s">
        <v>2860</v>
      </c>
      <c r="BM3" s="54" t="s">
        <v>2861</v>
      </c>
      <c r="BN3" s="54" t="s">
        <v>2862</v>
      </c>
      <c r="BO3" s="54" t="s">
        <v>2863</v>
      </c>
      <c r="BP3"/>
      <c r="BQ3" s="55" t="s">
        <v>2864</v>
      </c>
      <c r="BR3" s="55" t="s">
        <v>2865</v>
      </c>
      <c r="BS3" s="55" t="s">
        <v>2866</v>
      </c>
      <c r="BT3" s="55" t="s">
        <v>2867</v>
      </c>
      <c r="BU3" s="54" t="s">
        <v>2838</v>
      </c>
    </row>
    <row r="4" spans="1:73" ht="16.5" thickTop="1" thickBot="1" x14ac:dyDescent="0.3">
      <c r="A4" s="54" t="s">
        <v>2868</v>
      </c>
      <c r="B4" s="72">
        <v>200000</v>
      </c>
      <c r="D4">
        <v>1</v>
      </c>
      <c r="E4">
        <v>124323</v>
      </c>
      <c r="F4" t="s">
        <v>2869</v>
      </c>
      <c r="G4" s="38">
        <v>13</v>
      </c>
      <c r="H4" s="137">
        <v>8</v>
      </c>
      <c r="I4" t="s">
        <v>2870</v>
      </c>
      <c r="J4" t="str">
        <f>Table_Bldg_Type[[#Headers],[List_Bldg_Types]]</f>
        <v>List_Bldg_Types</v>
      </c>
      <c r="K4" t="s">
        <v>2857</v>
      </c>
      <c r="L4" t="s">
        <v>2871</v>
      </c>
      <c r="P4" t="s">
        <v>2872</v>
      </c>
      <c r="Q4" t="s">
        <v>2873</v>
      </c>
      <c r="R4">
        <v>101114</v>
      </c>
      <c r="T4" t="s">
        <v>2871</v>
      </c>
      <c r="U4" t="str">
        <f>BS3</f>
        <v>List_Int_Prescript_Measure</v>
      </c>
      <c r="W4" t="s">
        <v>2874</v>
      </c>
      <c r="X4" s="57">
        <v>2676</v>
      </c>
      <c r="Y4" s="43">
        <v>0.81</v>
      </c>
      <c r="AA4" s="56" t="s">
        <v>2875</v>
      </c>
      <c r="AB4">
        <v>8760</v>
      </c>
      <c r="AD4" t="s">
        <v>2876</v>
      </c>
      <c r="AE4" s="43">
        <v>1.2</v>
      </c>
      <c r="AF4" s="43">
        <v>1.0900000000000001</v>
      </c>
      <c r="AH4" s="56" t="s">
        <v>2877</v>
      </c>
      <c r="AI4">
        <v>1</v>
      </c>
      <c r="AJ4">
        <v>1</v>
      </c>
      <c r="AL4" t="s">
        <v>2878</v>
      </c>
      <c r="AM4">
        <v>0.7</v>
      </c>
      <c r="AO4" t="s">
        <v>2879</v>
      </c>
      <c r="AP4" s="134">
        <f>0.12*1.25</f>
        <v>0.15</v>
      </c>
      <c r="AR4" t="s">
        <v>2880</v>
      </c>
      <c r="AS4" t="s">
        <v>2881</v>
      </c>
      <c r="AT4" t="s">
        <v>2882</v>
      </c>
      <c r="AU4" t="s">
        <v>2882</v>
      </c>
      <c r="AV4" t="s">
        <v>2883</v>
      </c>
      <c r="AW4" t="s">
        <v>2884</v>
      </c>
      <c r="AX4" t="s">
        <v>2885</v>
      </c>
      <c r="AY4" t="s">
        <v>2886</v>
      </c>
      <c r="AZ4" t="s">
        <v>2887</v>
      </c>
      <c r="BA4" t="s">
        <v>2765</v>
      </c>
      <c r="BB4" t="s">
        <v>2888</v>
      </c>
      <c r="BD4" s="5" t="s">
        <v>2889</v>
      </c>
      <c r="BE4" s="5" t="s">
        <v>2890</v>
      </c>
      <c r="BF4" s="5" t="s">
        <v>2891</v>
      </c>
      <c r="BG4" s="5" t="s">
        <v>2892</v>
      </c>
      <c r="BH4" s="56" t="s">
        <v>2893</v>
      </c>
      <c r="BI4" s="113" t="s">
        <v>2894</v>
      </c>
      <c r="BJ4" s="115" t="s">
        <v>2612</v>
      </c>
      <c r="BK4" s="114" t="s">
        <v>2895</v>
      </c>
      <c r="BL4" s="56" t="s">
        <v>2895</v>
      </c>
      <c r="BM4" s="56">
        <v>1</v>
      </c>
      <c r="BN4" s="56" t="s">
        <v>2871</v>
      </c>
      <c r="BO4" s="56" t="s">
        <v>2896</v>
      </c>
      <c r="BQ4" s="56" t="s">
        <v>2897</v>
      </c>
      <c r="BR4" s="56" t="s">
        <v>2898</v>
      </c>
      <c r="BS4" s="56" t="str">
        <f>F4</f>
        <v>LED Downlight Lamp/Kit</v>
      </c>
      <c r="BT4" s="56" t="str">
        <f t="shared" ref="BT4:BT24" si="0">F23</f>
        <v>Exterior: LED Lamp/Fixture (HID (&lt;175W) Baseline)</v>
      </c>
      <c r="BU4" s="56" t="s">
        <v>2878</v>
      </c>
    </row>
    <row r="5" spans="1:73" ht="16.5" thickTop="1" thickBot="1" x14ac:dyDescent="0.3">
      <c r="A5" s="54" t="s">
        <v>2899</v>
      </c>
      <c r="B5" s="72">
        <v>5000</v>
      </c>
      <c r="D5">
        <v>2</v>
      </c>
      <c r="E5">
        <v>128274</v>
      </c>
      <c r="F5" t="s">
        <v>2900</v>
      </c>
      <c r="G5" s="38">
        <v>4</v>
      </c>
      <c r="H5" s="137">
        <v>3.5</v>
      </c>
      <c r="I5" t="s">
        <v>2895</v>
      </c>
      <c r="J5" t="str">
        <f>Table_Bldg_Type[[#Headers],[List_Bldg_Types]]</f>
        <v>List_Bldg_Types</v>
      </c>
      <c r="K5" t="s">
        <v>2853</v>
      </c>
      <c r="L5" t="s">
        <v>2871</v>
      </c>
      <c r="P5" t="s">
        <v>2901</v>
      </c>
      <c r="Q5" t="s">
        <v>2902</v>
      </c>
      <c r="R5">
        <v>101014</v>
      </c>
      <c r="T5" t="s">
        <v>2903</v>
      </c>
      <c r="U5" t="str">
        <f>BT3</f>
        <v>List_Ext_Prescript_Measure</v>
      </c>
      <c r="W5" t="s">
        <v>2904</v>
      </c>
      <c r="X5" s="57">
        <v>5233</v>
      </c>
      <c r="Y5" s="43">
        <v>0.9</v>
      </c>
      <c r="AA5" s="56" t="s">
        <v>2905</v>
      </c>
      <c r="AB5" s="57">
        <f>X24</f>
        <v>7884</v>
      </c>
      <c r="AD5" t="s">
        <v>2906</v>
      </c>
      <c r="AE5" s="43">
        <v>1.2</v>
      </c>
      <c r="AF5" s="43">
        <v>0.87</v>
      </c>
      <c r="AH5" s="56" t="s">
        <v>2907</v>
      </c>
      <c r="AI5">
        <v>0.7</v>
      </c>
      <c r="AJ5">
        <v>0.26</v>
      </c>
      <c r="AL5" t="s">
        <v>2908</v>
      </c>
      <c r="AM5">
        <v>0.7</v>
      </c>
      <c r="AO5" t="s">
        <v>2909</v>
      </c>
      <c r="AP5" s="134">
        <f>0.1*1.25</f>
        <v>0.125</v>
      </c>
      <c r="AR5" t="s">
        <v>2910</v>
      </c>
      <c r="AS5" t="s">
        <v>2911</v>
      </c>
      <c r="AT5" t="s">
        <v>2883</v>
      </c>
      <c r="AU5" t="s">
        <v>2883</v>
      </c>
      <c r="AV5" t="s">
        <v>2912</v>
      </c>
      <c r="AW5" t="s">
        <v>2913</v>
      </c>
      <c r="AX5" t="s">
        <v>2914</v>
      </c>
      <c r="AY5" t="s">
        <v>2915</v>
      </c>
      <c r="AZ5" t="s">
        <v>2916</v>
      </c>
      <c r="BA5" t="s">
        <v>2917</v>
      </c>
      <c r="BB5" t="s">
        <v>2918</v>
      </c>
      <c r="BD5" s="5" t="s">
        <v>2919</v>
      </c>
      <c r="BE5" s="5" t="s">
        <v>2920</v>
      </c>
      <c r="BF5" s="5" t="s">
        <v>2921</v>
      </c>
      <c r="BG5" s="5" t="s">
        <v>2922</v>
      </c>
      <c r="BH5" s="56" t="s">
        <v>2923</v>
      </c>
      <c r="BI5" s="113"/>
      <c r="BJ5" s="115" t="s">
        <v>2924</v>
      </c>
      <c r="BK5" s="114" t="s">
        <v>2925</v>
      </c>
      <c r="BM5" s="56">
        <v>2</v>
      </c>
      <c r="BN5" s="56" t="s">
        <v>2903</v>
      </c>
      <c r="BO5" s="56" t="s">
        <v>2926</v>
      </c>
      <c r="BQ5" s="56" t="s">
        <v>2927</v>
      </c>
      <c r="BR5" s="56" t="s">
        <v>2928</v>
      </c>
      <c r="BS5" s="56" t="str">
        <f t="shared" ref="BS5:BS9" si="1">F5</f>
        <v>2' Linear LED (T8/T12 2ft Linear Fluorescent Baseline)</v>
      </c>
      <c r="BT5" s="56" t="str">
        <f t="shared" si="0"/>
        <v>Exterior: LED Lamp/Fixture (HID (175 to 250W) Baseline)</v>
      </c>
      <c r="BU5" s="56" t="s">
        <v>2908</v>
      </c>
    </row>
    <row r="6" spans="1:73" ht="16.5" thickTop="1" thickBot="1" x14ac:dyDescent="0.3">
      <c r="A6" s="54" t="s">
        <v>2929</v>
      </c>
      <c r="B6" s="132">
        <f>0.12*1.25</f>
        <v>0.15</v>
      </c>
      <c r="D6">
        <v>3</v>
      </c>
      <c r="E6">
        <v>128280</v>
      </c>
      <c r="F6" t="s">
        <v>2930</v>
      </c>
      <c r="G6" s="38">
        <v>3.5</v>
      </c>
      <c r="H6" s="137">
        <v>2.5</v>
      </c>
      <c r="I6" t="s">
        <v>2895</v>
      </c>
      <c r="J6" t="str">
        <f>Table_Bldg_Type[[#Headers],[List_Bldg_Types]]</f>
        <v>List_Bldg_Types</v>
      </c>
      <c r="K6" t="s">
        <v>2852</v>
      </c>
      <c r="L6" t="s">
        <v>2871</v>
      </c>
      <c r="P6" t="s">
        <v>1380</v>
      </c>
      <c r="Q6" t="s">
        <v>2931</v>
      </c>
      <c r="R6">
        <v>101003</v>
      </c>
      <c r="W6" t="s">
        <v>2932</v>
      </c>
      <c r="X6" s="57">
        <v>3577</v>
      </c>
      <c r="Y6" s="43">
        <v>0.69</v>
      </c>
      <c r="AA6" s="56" t="s">
        <v>2903</v>
      </c>
      <c r="AB6">
        <f>INDEX(Table_Bldg_Type[AOH], MATCH(Table_Bdg_Indep_AOH[[#This Row],[List_Special_AOHs]], Table_Bldg_Type[List_Bldg_Types], 0))</f>
        <v>4319</v>
      </c>
      <c r="AD6" t="s">
        <v>2933</v>
      </c>
      <c r="AE6" s="43">
        <v>1.2</v>
      </c>
      <c r="AF6" s="43">
        <v>1.02</v>
      </c>
      <c r="AH6" s="56" t="s">
        <v>2934</v>
      </c>
      <c r="AI6">
        <v>0.8</v>
      </c>
      <c r="AJ6">
        <v>0.26</v>
      </c>
      <c r="AL6" t="s">
        <v>2935</v>
      </c>
      <c r="AM6">
        <v>0.7</v>
      </c>
      <c r="AR6" t="s">
        <v>2936</v>
      </c>
      <c r="AS6" t="s">
        <v>2937</v>
      </c>
      <c r="AT6" t="s">
        <v>2912</v>
      </c>
      <c r="AV6" t="s">
        <v>2938</v>
      </c>
      <c r="AX6" t="s">
        <v>2939</v>
      </c>
      <c r="AZ6" t="s">
        <v>2940</v>
      </c>
      <c r="BA6" t="s">
        <v>2941</v>
      </c>
      <c r="BB6" t="s">
        <v>2942</v>
      </c>
      <c r="BE6" s="5" t="s">
        <v>2943</v>
      </c>
      <c r="BF6" s="5" t="s">
        <v>2944</v>
      </c>
      <c r="BG6" s="5" t="s">
        <v>2945</v>
      </c>
      <c r="BH6" s="56" t="s">
        <v>2946</v>
      </c>
      <c r="BJ6" s="115" t="s">
        <v>2947</v>
      </c>
      <c r="BM6" s="56">
        <v>3</v>
      </c>
      <c r="BS6" s="56" t="str">
        <f t="shared" si="1"/>
        <v>2' Linear LED (T5 2ft Linear Fluorescent Baseline)</v>
      </c>
      <c r="BT6" s="56" t="str">
        <f t="shared" si="0"/>
        <v>Exterior: LED Lamp/Fixture (HID (251 to 400W) Baseline)</v>
      </c>
      <c r="BU6" s="56" t="s">
        <v>2935</v>
      </c>
    </row>
    <row r="7" spans="1:73" ht="16.5" thickTop="1" thickBot="1" x14ac:dyDescent="0.3">
      <c r="A7" s="101" t="s">
        <v>2948</v>
      </c>
      <c r="B7" s="132">
        <f>0.1*1.25</f>
        <v>0.125</v>
      </c>
      <c r="D7">
        <v>4</v>
      </c>
      <c r="E7">
        <v>128282</v>
      </c>
      <c r="F7" t="s">
        <v>2949</v>
      </c>
      <c r="G7" s="38">
        <v>6.5</v>
      </c>
      <c r="H7" s="137">
        <v>5.5</v>
      </c>
      <c r="I7" t="s">
        <v>2895</v>
      </c>
      <c r="J7" t="str">
        <f>Table_Bldg_Type[[#Headers],[List_Bldg_Types]]</f>
        <v>List_Bldg_Types</v>
      </c>
      <c r="K7" t="s">
        <v>2852</v>
      </c>
      <c r="L7" t="s">
        <v>2871</v>
      </c>
      <c r="P7" t="s">
        <v>1505</v>
      </c>
      <c r="Q7" t="s">
        <v>2950</v>
      </c>
      <c r="R7">
        <v>101002</v>
      </c>
      <c r="W7" t="s">
        <v>2951</v>
      </c>
      <c r="X7" s="57">
        <v>2333</v>
      </c>
      <c r="Y7" s="43">
        <v>0.47</v>
      </c>
      <c r="AA7" s="99" t="s">
        <v>2952</v>
      </c>
      <c r="AB7" s="57">
        <f>AVERAGE(X4:X7,X9:X23,X25:X35)</f>
        <v>4153.666666666667</v>
      </c>
      <c r="AD7" t="s">
        <v>2953</v>
      </c>
      <c r="AE7" s="43">
        <v>1.2</v>
      </c>
      <c r="AF7" s="43">
        <v>0.98</v>
      </c>
      <c r="AH7" s="56" t="s">
        <v>2954</v>
      </c>
      <c r="AI7">
        <v>0.9</v>
      </c>
      <c r="AJ7">
        <v>0.26</v>
      </c>
      <c r="AL7" t="s">
        <v>2955</v>
      </c>
      <c r="AM7">
        <v>0.7</v>
      </c>
      <c r="AR7" t="s">
        <v>2956</v>
      </c>
      <c r="AS7" t="s">
        <v>2956</v>
      </c>
      <c r="AV7" t="s">
        <v>2957</v>
      </c>
      <c r="AX7" t="s">
        <v>2958</v>
      </c>
      <c r="AZ7" t="s">
        <v>2959</v>
      </c>
      <c r="BA7" t="s">
        <v>2960</v>
      </c>
      <c r="BB7" t="s">
        <v>2961</v>
      </c>
      <c r="BE7" s="5" t="s">
        <v>2962</v>
      </c>
      <c r="BF7" s="5" t="s">
        <v>2963</v>
      </c>
      <c r="BG7" s="5" t="s">
        <v>2964</v>
      </c>
      <c r="BH7" s="56" t="s">
        <v>2965</v>
      </c>
      <c r="BJ7" s="5" t="s">
        <v>2713</v>
      </c>
      <c r="BM7" s="56">
        <v>4</v>
      </c>
      <c r="BS7" s="56" t="str">
        <f t="shared" si="1"/>
        <v>2' Linear LED (T5 (HO) 2ft Linear Fluorescent Baseline)</v>
      </c>
      <c r="BT7" s="56" t="str">
        <f t="shared" si="0"/>
        <v>Exterior: LED Lamp/Fixture (HID (401 to 1000W) Baseline)</v>
      </c>
      <c r="BU7" s="56" t="s">
        <v>2955</v>
      </c>
    </row>
    <row r="8" spans="1:73" ht="16.5" thickTop="1" thickBot="1" x14ac:dyDescent="0.3">
      <c r="A8" s="54" t="s">
        <v>2966</v>
      </c>
      <c r="B8" s="83">
        <v>1</v>
      </c>
      <c r="D8">
        <v>5</v>
      </c>
      <c r="E8">
        <v>128375</v>
      </c>
      <c r="F8" t="s">
        <v>2967</v>
      </c>
      <c r="G8" s="38">
        <v>9.5</v>
      </c>
      <c r="H8" s="137">
        <v>8</v>
      </c>
      <c r="I8" t="s">
        <v>2895</v>
      </c>
      <c r="J8" t="str">
        <f>Table_Bldg_Type[[#Headers],[List_Bldg_Types]]</f>
        <v>List_Bldg_Types</v>
      </c>
      <c r="K8" t="s">
        <v>2853</v>
      </c>
      <c r="L8" t="s">
        <v>2871</v>
      </c>
      <c r="P8" t="s">
        <v>2196</v>
      </c>
      <c r="Q8" t="s">
        <v>2968</v>
      </c>
      <c r="R8">
        <v>101001</v>
      </c>
      <c r="W8" t="s">
        <v>2903</v>
      </c>
      <c r="X8" s="57">
        <v>4319</v>
      </c>
      <c r="Y8" s="43">
        <v>0</v>
      </c>
      <c r="AA8" s="99" t="s">
        <v>2969</v>
      </c>
      <c r="AB8">
        <v>6205</v>
      </c>
      <c r="AD8" t="s">
        <v>2970</v>
      </c>
      <c r="AE8" s="43">
        <v>1.25</v>
      </c>
      <c r="AF8" s="43">
        <v>1.25</v>
      </c>
      <c r="AH8" s="56" t="s">
        <v>2971</v>
      </c>
      <c r="AI8">
        <v>1</v>
      </c>
      <c r="AJ8">
        <v>0.26</v>
      </c>
      <c r="AL8" t="s">
        <v>2972</v>
      </c>
      <c r="AM8">
        <v>0.6</v>
      </c>
      <c r="AR8" t="s">
        <v>2973</v>
      </c>
      <c r="AS8" t="s">
        <v>2974</v>
      </c>
      <c r="AV8" t="s">
        <v>2975</v>
      </c>
      <c r="AZ8" t="s">
        <v>2976</v>
      </c>
      <c r="BB8" t="s">
        <v>2977</v>
      </c>
      <c r="BE8" s="5" t="s">
        <v>2978</v>
      </c>
      <c r="BG8" s="5" t="s">
        <v>2979</v>
      </c>
      <c r="BM8" s="56">
        <v>5</v>
      </c>
      <c r="BS8" s="56" t="str">
        <f t="shared" si="1"/>
        <v>4' Linear LED (T8/T12 4ft Linear Fluorescent Baseline)</v>
      </c>
      <c r="BT8" s="56" t="str">
        <f t="shared" si="0"/>
        <v>Exterior: LED Lamp/Fixture (HID (&gt;1000W) Baseline)</v>
      </c>
      <c r="BU8" s="56" t="s">
        <v>2972</v>
      </c>
    </row>
    <row r="9" spans="1:73" ht="16.5" thickTop="1" thickBot="1" x14ac:dyDescent="0.3">
      <c r="A9" s="54" t="s">
        <v>2980</v>
      </c>
      <c r="B9" s="99" t="s">
        <v>6309</v>
      </c>
      <c r="D9">
        <v>6</v>
      </c>
      <c r="E9">
        <v>128377</v>
      </c>
      <c r="F9" t="s">
        <v>2981</v>
      </c>
      <c r="G9" s="38">
        <v>10</v>
      </c>
      <c r="H9" s="137">
        <v>10</v>
      </c>
      <c r="I9" t="s">
        <v>2895</v>
      </c>
      <c r="J9" t="str">
        <f>Table_Bldg_Type[[#Headers],[List_Bldg_Types]]</f>
        <v>List_Bldg_Types</v>
      </c>
      <c r="K9" t="s">
        <v>2854</v>
      </c>
      <c r="L9" t="s">
        <v>2871</v>
      </c>
      <c r="P9" t="s">
        <v>2982</v>
      </c>
      <c r="Q9" t="s">
        <v>2983</v>
      </c>
      <c r="R9">
        <v>101132</v>
      </c>
      <c r="W9" t="s">
        <v>2984</v>
      </c>
      <c r="X9" s="57">
        <v>6900</v>
      </c>
      <c r="Y9" s="43">
        <v>0.95</v>
      </c>
      <c r="AD9" t="s">
        <v>2985</v>
      </c>
      <c r="AE9" s="43">
        <v>1.3</v>
      </c>
      <c r="AF9" s="43">
        <v>1.3</v>
      </c>
      <c r="AH9" s="56" t="s">
        <v>2986</v>
      </c>
      <c r="AI9">
        <v>0.7</v>
      </c>
      <c r="AJ9">
        <v>0.26</v>
      </c>
      <c r="AL9" t="s">
        <v>2987</v>
      </c>
      <c r="AM9">
        <v>0.6</v>
      </c>
      <c r="AR9" t="s">
        <v>2988</v>
      </c>
      <c r="AS9" t="s">
        <v>2989</v>
      </c>
      <c r="AV9" t="s">
        <v>2990</v>
      </c>
      <c r="AZ9" t="s">
        <v>2958</v>
      </c>
      <c r="BB9" t="s">
        <v>2991</v>
      </c>
      <c r="BE9" s="5" t="s">
        <v>2992</v>
      </c>
      <c r="BG9" s="5" t="s">
        <v>2993</v>
      </c>
      <c r="BM9" s="56">
        <v>6</v>
      </c>
      <c r="BS9" s="56" t="str">
        <f t="shared" si="1"/>
        <v>4' Linear LED (T8/T12 (HO) 4ft Linear Fluorescent Baseline)</v>
      </c>
      <c r="BT9" s="56" t="str">
        <f t="shared" si="0"/>
        <v>Park/Athletic Field LED replacing &lt;175 W HID (lamp wattage)</v>
      </c>
      <c r="BU9" s="56" t="s">
        <v>2987</v>
      </c>
    </row>
    <row r="10" spans="1:73" ht="14.25" thickTop="1" thickBot="1" x14ac:dyDescent="0.25">
      <c r="A10" s="54" t="s">
        <v>2994</v>
      </c>
      <c r="B10" s="100"/>
      <c r="D10">
        <v>7</v>
      </c>
      <c r="E10">
        <v>128381</v>
      </c>
      <c r="F10" t="s">
        <v>2995</v>
      </c>
      <c r="G10" s="38">
        <v>7.5</v>
      </c>
      <c r="H10" s="38">
        <v>6</v>
      </c>
      <c r="I10" t="s">
        <v>2895</v>
      </c>
      <c r="J10" t="s">
        <v>2829</v>
      </c>
      <c r="K10" t="s">
        <v>2852</v>
      </c>
      <c r="L10" t="s">
        <v>2871</v>
      </c>
      <c r="P10" t="s">
        <v>2996</v>
      </c>
      <c r="Q10" t="s">
        <v>2997</v>
      </c>
      <c r="R10">
        <v>101106</v>
      </c>
      <c r="W10" t="s">
        <v>2998</v>
      </c>
      <c r="X10" s="57">
        <v>4706</v>
      </c>
      <c r="Y10" s="43">
        <v>0.95</v>
      </c>
      <c r="AD10" t="s">
        <v>2999</v>
      </c>
      <c r="AE10" s="43">
        <v>1</v>
      </c>
      <c r="AF10" s="43">
        <v>1</v>
      </c>
      <c r="AH10" s="56" t="s">
        <v>3000</v>
      </c>
      <c r="AI10">
        <v>0.6</v>
      </c>
      <c r="AJ10">
        <v>0.26</v>
      </c>
      <c r="AL10" t="s">
        <v>3001</v>
      </c>
      <c r="AM10">
        <v>0.7</v>
      </c>
      <c r="AR10" t="s">
        <v>2958</v>
      </c>
      <c r="AV10" t="s">
        <v>3002</v>
      </c>
      <c r="AZ10" t="s">
        <v>3003</v>
      </c>
      <c r="BB10" t="s">
        <v>3004</v>
      </c>
      <c r="BM10" s="56">
        <v>8</v>
      </c>
      <c r="BS10" s="147" t="str">
        <f>Table_Prescript_Meas[[#This Row],[Measure Description]]</f>
        <v>4' Linear LED (T5 4ft Linear Fluorescent Baseline)</v>
      </c>
      <c r="BT10" s="56" t="str">
        <f t="shared" si="0"/>
        <v>Park/Athletic Field LED replacing 175 W to 250 W HID (lamp wattage)</v>
      </c>
      <c r="BU10" s="56" t="s">
        <v>3001</v>
      </c>
    </row>
    <row r="11" spans="1:73" ht="15.75" thickTop="1" x14ac:dyDescent="0.25">
      <c r="D11">
        <v>8</v>
      </c>
      <c r="E11">
        <v>128383</v>
      </c>
      <c r="F11" t="s">
        <v>3005</v>
      </c>
      <c r="G11" s="38">
        <v>13</v>
      </c>
      <c r="H11" s="137">
        <v>11</v>
      </c>
      <c r="I11" t="s">
        <v>2895</v>
      </c>
      <c r="J11" t="str">
        <f>Table_Bldg_Type[[#Headers],[List_Bldg_Types]]</f>
        <v>List_Bldg_Types</v>
      </c>
      <c r="K11" t="s">
        <v>2852</v>
      </c>
      <c r="L11" t="s">
        <v>2871</v>
      </c>
      <c r="P11" t="s">
        <v>2635</v>
      </c>
      <c r="Q11" t="s">
        <v>3006</v>
      </c>
      <c r="R11">
        <v>101108</v>
      </c>
      <c r="W11" t="s">
        <v>3007</v>
      </c>
      <c r="X11" s="57">
        <v>6473</v>
      </c>
      <c r="Y11" s="43">
        <v>0.81</v>
      </c>
      <c r="AH11" s="56" t="s">
        <v>3008</v>
      </c>
      <c r="AI11">
        <v>0.65</v>
      </c>
      <c r="AJ11">
        <v>0.26</v>
      </c>
      <c r="AL11" t="s">
        <v>3009</v>
      </c>
      <c r="AM11">
        <v>0.7</v>
      </c>
      <c r="AV11" t="s">
        <v>3010</v>
      </c>
      <c r="BB11" t="s">
        <v>3011</v>
      </c>
      <c r="BM11" s="56">
        <v>10</v>
      </c>
      <c r="BS11" s="56" t="str">
        <f t="shared" ref="BS11:BS22" si="2">F11</f>
        <v>4' Linear LED (T5 (HO) 4ft Linear Fluorescent Baseline)</v>
      </c>
      <c r="BT11" s="56" t="str">
        <f t="shared" si="0"/>
        <v>Park/Athletic Field LED replacing 251 W to 400 W HID (lamp wattage)</v>
      </c>
      <c r="BU11" s="56" t="s">
        <v>3009</v>
      </c>
    </row>
    <row r="12" spans="1:73" ht="15" x14ac:dyDescent="0.25">
      <c r="A12" s="101" t="s">
        <v>3012</v>
      </c>
      <c r="B12" s="132">
        <f>IF(Input_ProgramType=References!$AO$4, Value_SC_IncentRate, Value_LC_IncentRate)</f>
        <v>0.125</v>
      </c>
      <c r="D12">
        <v>9</v>
      </c>
      <c r="E12">
        <v>128776</v>
      </c>
      <c r="F12" t="s">
        <v>3013</v>
      </c>
      <c r="G12" s="38">
        <v>17</v>
      </c>
      <c r="H12" s="137">
        <v>14</v>
      </c>
      <c r="I12" t="s">
        <v>2895</v>
      </c>
      <c r="J12" t="str">
        <f>Table_Bldg_Type[[#Headers],[List_Bldg_Types]]</f>
        <v>List_Bldg_Types</v>
      </c>
      <c r="K12" t="s">
        <v>2853</v>
      </c>
      <c r="L12" t="s">
        <v>2871</v>
      </c>
      <c r="P12" t="s">
        <v>3014</v>
      </c>
      <c r="Q12" t="s">
        <v>3015</v>
      </c>
      <c r="R12">
        <v>101135</v>
      </c>
      <c r="W12" t="s">
        <v>3016</v>
      </c>
      <c r="X12" s="57">
        <v>4731</v>
      </c>
      <c r="Y12" s="43">
        <v>0.81</v>
      </c>
      <c r="AH12" s="56" t="s">
        <v>3017</v>
      </c>
      <c r="AI12">
        <v>0.65</v>
      </c>
      <c r="AJ12">
        <v>0.26</v>
      </c>
      <c r="AL12" t="s">
        <v>3018</v>
      </c>
      <c r="AM12">
        <v>0.7</v>
      </c>
      <c r="AV12" t="s">
        <v>3019</v>
      </c>
      <c r="BB12" t="s">
        <v>3020</v>
      </c>
      <c r="BM12" s="56">
        <v>12</v>
      </c>
      <c r="BS12" s="56" t="str">
        <f t="shared" si="2"/>
        <v>8' Linear LED (T8/T12 8ft Linear Fluorescent Baseline)</v>
      </c>
      <c r="BT12" s="56" t="str">
        <f t="shared" si="0"/>
        <v>Park/Athletic Field LED replacing 401 W to 1000 W HID (lamp wattage)</v>
      </c>
      <c r="BU12" s="56" t="s">
        <v>3018</v>
      </c>
    </row>
    <row r="13" spans="1:73" ht="15" x14ac:dyDescent="0.25">
      <c r="D13">
        <v>10</v>
      </c>
      <c r="E13">
        <v>128778</v>
      </c>
      <c r="F13" t="s">
        <v>3021</v>
      </c>
      <c r="G13" s="38">
        <v>20</v>
      </c>
      <c r="H13" s="137">
        <v>20</v>
      </c>
      <c r="I13" t="s">
        <v>2895</v>
      </c>
      <c r="J13" t="str">
        <f>Table_Bldg_Type[[#Headers],[List_Bldg_Types]]</f>
        <v>List_Bldg_Types</v>
      </c>
      <c r="K13" t="s">
        <v>2854</v>
      </c>
      <c r="L13" t="s">
        <v>2871</v>
      </c>
      <c r="P13" t="s">
        <v>3022</v>
      </c>
      <c r="Q13" t="s">
        <v>3023</v>
      </c>
      <c r="R13">
        <v>101113</v>
      </c>
      <c r="W13" t="s">
        <v>3024</v>
      </c>
      <c r="X13" s="57">
        <v>4019</v>
      </c>
      <c r="Y13" s="43">
        <v>0.78</v>
      </c>
      <c r="AL13" t="s">
        <v>3025</v>
      </c>
      <c r="AM13">
        <v>0.7</v>
      </c>
      <c r="AV13" t="s">
        <v>3026</v>
      </c>
      <c r="BB13" t="s">
        <v>2958</v>
      </c>
      <c r="BS13" s="56" t="str">
        <f t="shared" si="2"/>
        <v>8' Linear LED (T8/T12 (HO) 8ft Linear Fluorescent Baseline)</v>
      </c>
      <c r="BT13" s="56" t="str">
        <f t="shared" si="0"/>
        <v>Park/Athletic Field LED replacing &gt;1000 W HID (lamp wattage)</v>
      </c>
      <c r="BU13" s="56" t="s">
        <v>3025</v>
      </c>
    </row>
    <row r="14" spans="1:73" ht="15" x14ac:dyDescent="0.25">
      <c r="D14">
        <v>11</v>
      </c>
      <c r="E14">
        <v>128579</v>
      </c>
      <c r="F14" t="s">
        <v>3027</v>
      </c>
      <c r="G14" s="38">
        <v>10</v>
      </c>
      <c r="H14" s="137">
        <v>8.5</v>
      </c>
      <c r="I14" t="s">
        <v>2895</v>
      </c>
      <c r="J14" t="str">
        <f>Table_Bldg_Type[[#Headers],[List_Bldg_Types]]</f>
        <v>List_Bldg_Types</v>
      </c>
      <c r="K14" t="s">
        <v>2855</v>
      </c>
      <c r="L14" t="s">
        <v>2871</v>
      </c>
      <c r="P14" t="s">
        <v>2713</v>
      </c>
      <c r="Q14" t="s">
        <v>3028</v>
      </c>
      <c r="R14">
        <v>101110</v>
      </c>
      <c r="W14" t="s">
        <v>3029</v>
      </c>
      <c r="X14" s="57">
        <v>4271</v>
      </c>
      <c r="Y14" s="43">
        <v>0.78</v>
      </c>
      <c r="AV14" t="s">
        <v>3030</v>
      </c>
      <c r="BS14" s="56" t="str">
        <f t="shared" si="2"/>
        <v>U-Tube LED (T8/T12 U-Tube Fluorescent Baseline)</v>
      </c>
      <c r="BT14" s="56" t="str">
        <f t="shared" si="0"/>
        <v>Exterior: LED Downlight Lamp/Kit</v>
      </c>
    </row>
    <row r="15" spans="1:73" ht="15" x14ac:dyDescent="0.25">
      <c r="D15">
        <v>12</v>
      </c>
      <c r="E15">
        <v>128684</v>
      </c>
      <c r="F15" t="s">
        <v>3031</v>
      </c>
      <c r="G15" s="38">
        <v>52</v>
      </c>
      <c r="H15" s="137">
        <v>44</v>
      </c>
      <c r="I15" t="s">
        <v>2870</v>
      </c>
      <c r="J15" t="str">
        <f>Table_Bldg_Type[[#Headers],[List_Bldg_Types]]</f>
        <v>List_Bldg_Types</v>
      </c>
      <c r="K15" t="str">
        <f>$BJ$3</f>
        <v>List_HID_Type</v>
      </c>
      <c r="L15" t="s">
        <v>2871</v>
      </c>
      <c r="P15" t="s">
        <v>2612</v>
      </c>
      <c r="Q15" t="s">
        <v>3032</v>
      </c>
      <c r="R15">
        <v>101136</v>
      </c>
      <c r="W15" t="s">
        <v>3033</v>
      </c>
      <c r="X15" s="57">
        <v>3386</v>
      </c>
      <c r="Y15" s="43">
        <v>0.77</v>
      </c>
      <c r="BS15" s="56" t="str">
        <f t="shared" si="2"/>
        <v>LED Lamp/Fixture (HID (&lt;175W) Baseline)</v>
      </c>
      <c r="BT15" s="56" t="str">
        <f t="shared" si="0"/>
        <v>Exterior: 2' Linear LED (T8/T12 2ft Linear Fluorescent Baseline)</v>
      </c>
    </row>
    <row r="16" spans="1:73" ht="15" x14ac:dyDescent="0.25">
      <c r="D16">
        <v>13</v>
      </c>
      <c r="E16">
        <v>128685</v>
      </c>
      <c r="F16" t="s">
        <v>3034</v>
      </c>
      <c r="G16" s="38">
        <v>52</v>
      </c>
      <c r="H16" s="137">
        <v>44</v>
      </c>
      <c r="I16" t="s">
        <v>2870</v>
      </c>
      <c r="J16" t="str">
        <f>Table_Bldg_Type[[#Headers],[List_Bldg_Types]]</f>
        <v>List_Bldg_Types</v>
      </c>
      <c r="K16" t="str">
        <f>$BJ$3</f>
        <v>List_HID_Type</v>
      </c>
      <c r="L16" t="s">
        <v>2871</v>
      </c>
      <c r="P16" t="s">
        <v>3035</v>
      </c>
      <c r="Q16" t="s">
        <v>3036</v>
      </c>
      <c r="R16">
        <v>101037</v>
      </c>
      <c r="W16" t="s">
        <v>3037</v>
      </c>
      <c r="X16" s="57">
        <v>4245</v>
      </c>
      <c r="Y16" s="43">
        <v>0.9</v>
      </c>
      <c r="BS16" s="56" t="str">
        <f t="shared" si="2"/>
        <v>LED Lamp/Fixture (HID (175 to 250W) Baseline)</v>
      </c>
      <c r="BT16" s="56" t="str">
        <f t="shared" si="0"/>
        <v>Exterior: 2' Linear LED (T5 2ft Linear Fluorescent Baseline)</v>
      </c>
    </row>
    <row r="17" spans="4:72" ht="15" x14ac:dyDescent="0.25">
      <c r="D17">
        <v>14</v>
      </c>
      <c r="E17">
        <v>128620</v>
      </c>
      <c r="F17" t="s">
        <v>3038</v>
      </c>
      <c r="G17" s="38">
        <v>130</v>
      </c>
      <c r="H17" s="137">
        <v>110</v>
      </c>
      <c r="I17" t="s">
        <v>2870</v>
      </c>
      <c r="J17" t="str">
        <f>Table_Bldg_Type[[#Headers],[List_Bldg_Types]]</f>
        <v>List_Bldg_Types</v>
      </c>
      <c r="K17" t="str">
        <f>$BJ$3</f>
        <v>List_HID_Type</v>
      </c>
      <c r="L17" t="s">
        <v>2871</v>
      </c>
      <c r="P17" t="s">
        <v>185</v>
      </c>
      <c r="Q17" t="s">
        <v>3039</v>
      </c>
      <c r="R17">
        <v>101114</v>
      </c>
      <c r="W17" t="s">
        <v>3040</v>
      </c>
      <c r="X17" s="57">
        <v>4127</v>
      </c>
      <c r="Y17" s="43">
        <v>0.82</v>
      </c>
      <c r="BS17" s="56" t="str">
        <f t="shared" si="2"/>
        <v>LED Lamp/Fixture (HID (251 to 400W) Baseline)</v>
      </c>
      <c r="BT17" s="56" t="str">
        <f t="shared" si="0"/>
        <v>Exterior: 2' Linear LED (T5 (HO) 2ft Linear Fluorescent Baseline)</v>
      </c>
    </row>
    <row r="18" spans="4:72" ht="15" x14ac:dyDescent="0.25">
      <c r="D18">
        <v>15</v>
      </c>
      <c r="E18">
        <v>128624</v>
      </c>
      <c r="F18" t="s">
        <v>3041</v>
      </c>
      <c r="G18" s="38">
        <v>325</v>
      </c>
      <c r="H18" s="137">
        <v>275</v>
      </c>
      <c r="I18" t="s">
        <v>2870</v>
      </c>
      <c r="J18" t="str">
        <f>Table_Bldg_Type[[#Headers],[List_Bldg_Types]]</f>
        <v>List_Bldg_Types</v>
      </c>
      <c r="K18" t="str">
        <f>$BJ$3</f>
        <v>List_HID_Type</v>
      </c>
      <c r="L18" t="s">
        <v>2871</v>
      </c>
      <c r="P18" t="s">
        <v>3042</v>
      </c>
      <c r="Q18" t="s">
        <v>3043</v>
      </c>
      <c r="R18">
        <v>101112</v>
      </c>
      <c r="W18" t="s">
        <v>3044</v>
      </c>
      <c r="X18" s="57">
        <v>3370</v>
      </c>
      <c r="Y18" s="43">
        <v>0.25</v>
      </c>
      <c r="BS18" s="56" t="str">
        <f t="shared" si="2"/>
        <v>LED Lamp/Fixture (HID (401 to 1000W) Baseline)</v>
      </c>
      <c r="BT18" s="56" t="str">
        <f t="shared" si="0"/>
        <v>Exterior: 4' Linear LED (T8/T12 4ft Linear Fluorescent Baseline)</v>
      </c>
    </row>
    <row r="19" spans="4:72" ht="15" x14ac:dyDescent="0.25">
      <c r="D19">
        <v>16</v>
      </c>
      <c r="E19">
        <v>128631</v>
      </c>
      <c r="F19" t="s">
        <v>3045</v>
      </c>
      <c r="G19" s="38">
        <v>385</v>
      </c>
      <c r="H19" s="137">
        <v>325</v>
      </c>
      <c r="I19" t="s">
        <v>2870</v>
      </c>
      <c r="J19" t="str">
        <f>Table_Bldg_Type[[#Headers],[List_Bldg_Types]]</f>
        <v>List_Bldg_Types</v>
      </c>
      <c r="K19" t="str">
        <f>$BJ$3</f>
        <v>List_HID_Type</v>
      </c>
      <c r="L19" t="s">
        <v>2871</v>
      </c>
      <c r="P19" t="s">
        <v>2958</v>
      </c>
      <c r="R19" t="s">
        <v>3046</v>
      </c>
      <c r="W19" t="s">
        <v>3047</v>
      </c>
      <c r="X19" s="57">
        <v>5740</v>
      </c>
      <c r="Y19" s="43">
        <v>0.73</v>
      </c>
      <c r="BS19" s="56" t="str">
        <f t="shared" si="2"/>
        <v>LED Lamp/Fixture (HID (&gt;1000W) Baseline)</v>
      </c>
      <c r="BT19" s="56" t="str">
        <f t="shared" si="0"/>
        <v>Exterior: 4' Linear LED (T8/T12 (HO) 4ft Linear Fluorescent Baseline)</v>
      </c>
    </row>
    <row r="20" spans="4:72" ht="15" x14ac:dyDescent="0.25">
      <c r="D20">
        <v>17</v>
      </c>
      <c r="E20">
        <v>123817</v>
      </c>
      <c r="F20" t="s">
        <v>3048</v>
      </c>
      <c r="G20" s="38">
        <v>22</v>
      </c>
      <c r="H20" s="137">
        <v>18</v>
      </c>
      <c r="I20" t="s">
        <v>2870</v>
      </c>
      <c r="J20" t="s">
        <v>2875</v>
      </c>
      <c r="K20" t="s">
        <v>2856</v>
      </c>
      <c r="L20" t="s">
        <v>2871</v>
      </c>
      <c r="W20" t="s">
        <v>3049</v>
      </c>
      <c r="X20" s="57">
        <v>5703</v>
      </c>
      <c r="Y20" s="43">
        <v>0.87</v>
      </c>
      <c r="BS20" s="56" t="str">
        <f t="shared" si="2"/>
        <v xml:space="preserve">LED Exit Sign </v>
      </c>
      <c r="BT20" s="147" t="str">
        <f t="shared" si="0"/>
        <v>Exterior: 4' Linear LED (T5 4ft Linear Fluorescent Baseline)</v>
      </c>
    </row>
    <row r="21" spans="4:72" x14ac:dyDescent="0.2">
      <c r="D21">
        <v>18</v>
      </c>
      <c r="E21">
        <v>124997</v>
      </c>
      <c r="F21" t="s">
        <v>3050</v>
      </c>
      <c r="G21" s="38">
        <v>44</v>
      </c>
      <c r="H21" s="38">
        <v>44</v>
      </c>
      <c r="I21" t="s">
        <v>3051</v>
      </c>
      <c r="J21" t="s">
        <v>2969</v>
      </c>
      <c r="K21" t="s">
        <v>2856</v>
      </c>
      <c r="L21" t="s">
        <v>2871</v>
      </c>
      <c r="M21">
        <v>217.2</v>
      </c>
      <c r="N21">
        <v>3.5000000000000003E-2</v>
      </c>
      <c r="W21" t="s">
        <v>3052</v>
      </c>
      <c r="X21" s="57">
        <v>4207</v>
      </c>
      <c r="Y21" s="43">
        <v>0.77</v>
      </c>
      <c r="BS21" s="56" t="str">
        <f t="shared" si="2"/>
        <v>LED Refrigerated Case Lighting (without Controls)</v>
      </c>
      <c r="BT21" s="56" t="str">
        <f t="shared" si="0"/>
        <v>Exterior: 4' Linear LED (T5 (HO) 4ft Linear Fluorescent Baseline)</v>
      </c>
    </row>
    <row r="22" spans="4:72" x14ac:dyDescent="0.2">
      <c r="D22">
        <v>19</v>
      </c>
      <c r="E22">
        <v>125097</v>
      </c>
      <c r="F22" t="s">
        <v>3053</v>
      </c>
      <c r="G22" s="38">
        <v>57</v>
      </c>
      <c r="H22" s="38">
        <v>57</v>
      </c>
      <c r="I22" t="s">
        <v>3051</v>
      </c>
      <c r="J22" t="s">
        <v>2969</v>
      </c>
      <c r="K22" t="s">
        <v>2856</v>
      </c>
      <c r="L22" t="s">
        <v>2871</v>
      </c>
      <c r="M22">
        <v>310.60000000000002</v>
      </c>
      <c r="N22" s="146">
        <v>0.05</v>
      </c>
      <c r="W22" t="s">
        <v>3054</v>
      </c>
      <c r="X22" s="57">
        <v>5159</v>
      </c>
      <c r="Y22" s="43">
        <v>0.77</v>
      </c>
      <c r="BS22" s="56" t="str">
        <f t="shared" si="2"/>
        <v>LED Refrigerated Case Lighting (with Controls)</v>
      </c>
      <c r="BT22" s="56" t="str">
        <f t="shared" si="0"/>
        <v>Exterior: 8' Linear LED (T8/T12 8ft Linear Fluorescent Baseline)</v>
      </c>
    </row>
    <row r="23" spans="4:72" ht="15" x14ac:dyDescent="0.25">
      <c r="D23">
        <v>20</v>
      </c>
      <c r="E23">
        <v>128661</v>
      </c>
      <c r="F23" t="s">
        <v>3055</v>
      </c>
      <c r="G23" s="144">
        <v>52</v>
      </c>
      <c r="H23" s="145">
        <v>44</v>
      </c>
      <c r="I23" t="s">
        <v>2870</v>
      </c>
      <c r="J23" t="s">
        <v>2903</v>
      </c>
      <c r="K23" t="str">
        <f t="shared" ref="K23:K32" si="3">$BJ$3</f>
        <v>List_HID_Type</v>
      </c>
      <c r="L23" t="s">
        <v>2903</v>
      </c>
      <c r="W23" t="s">
        <v>3056</v>
      </c>
      <c r="X23" s="57">
        <v>4728</v>
      </c>
      <c r="Y23" s="43">
        <v>0.77</v>
      </c>
      <c r="BS23" s="56"/>
      <c r="BT23" s="56" t="str">
        <f t="shared" si="0"/>
        <v>Exterior: 8' Linear LED (T8/T12 (HO) 8ft Linear Fluorescent Baseline)</v>
      </c>
    </row>
    <row r="24" spans="4:72" ht="15" x14ac:dyDescent="0.25">
      <c r="D24">
        <v>21</v>
      </c>
      <c r="E24">
        <v>128662</v>
      </c>
      <c r="F24" t="s">
        <v>3057</v>
      </c>
      <c r="G24" s="144">
        <v>78</v>
      </c>
      <c r="H24" s="145">
        <v>66</v>
      </c>
      <c r="I24" t="s">
        <v>2870</v>
      </c>
      <c r="J24" t="s">
        <v>2903</v>
      </c>
      <c r="K24" t="str">
        <f t="shared" si="3"/>
        <v>List_HID_Type</v>
      </c>
      <c r="L24" t="s">
        <v>2903</v>
      </c>
      <c r="W24" t="s">
        <v>3058</v>
      </c>
      <c r="X24" s="57">
        <v>7884</v>
      </c>
      <c r="Y24" s="43">
        <v>1</v>
      </c>
      <c r="BT24" s="56" t="str">
        <f t="shared" si="0"/>
        <v>Exterior: U-Tube LED (T8/T12 U-Tube Fluorescent Baseline)</v>
      </c>
    </row>
    <row r="25" spans="4:72" ht="15" x14ac:dyDescent="0.25">
      <c r="D25">
        <v>22</v>
      </c>
      <c r="E25">
        <v>128663</v>
      </c>
      <c r="F25" t="s">
        <v>3059</v>
      </c>
      <c r="G25" s="144">
        <v>145</v>
      </c>
      <c r="H25" s="145">
        <v>120</v>
      </c>
      <c r="I25" t="s">
        <v>2870</v>
      </c>
      <c r="J25" t="s">
        <v>2903</v>
      </c>
      <c r="K25" t="str">
        <f t="shared" si="3"/>
        <v>List_HID_Type</v>
      </c>
      <c r="L25" t="s">
        <v>2903</v>
      </c>
      <c r="W25" t="s">
        <v>3060</v>
      </c>
      <c r="X25" s="57">
        <v>2638</v>
      </c>
      <c r="Y25" s="43">
        <v>0.56000000000000005</v>
      </c>
      <c r="BT25" s="56"/>
    </row>
    <row r="26" spans="4:72" ht="15" x14ac:dyDescent="0.25">
      <c r="D26">
        <v>23</v>
      </c>
      <c r="E26">
        <v>128664</v>
      </c>
      <c r="F26" t="s">
        <v>3061</v>
      </c>
      <c r="G26" s="144">
        <v>365</v>
      </c>
      <c r="H26" s="145">
        <v>310</v>
      </c>
      <c r="I26" t="s">
        <v>2870</v>
      </c>
      <c r="J26" t="s">
        <v>2903</v>
      </c>
      <c r="K26" t="str">
        <f t="shared" si="3"/>
        <v>List_HID_Type</v>
      </c>
      <c r="L26" t="s">
        <v>2903</v>
      </c>
      <c r="W26" t="s">
        <v>3062</v>
      </c>
      <c r="X26" s="57">
        <v>3472</v>
      </c>
      <c r="Y26" s="43">
        <v>0.75</v>
      </c>
      <c r="BT26" s="56"/>
    </row>
    <row r="27" spans="4:72" ht="15" x14ac:dyDescent="0.25">
      <c r="D27">
        <v>24</v>
      </c>
      <c r="E27">
        <v>128665</v>
      </c>
      <c r="F27" t="s">
        <v>3063</v>
      </c>
      <c r="G27" s="144">
        <v>415</v>
      </c>
      <c r="H27" s="145">
        <v>350</v>
      </c>
      <c r="I27" t="s">
        <v>2870</v>
      </c>
      <c r="J27" t="s">
        <v>2903</v>
      </c>
      <c r="K27" t="str">
        <f t="shared" si="3"/>
        <v>List_HID_Type</v>
      </c>
      <c r="L27" t="s">
        <v>2903</v>
      </c>
      <c r="W27" t="s">
        <v>3064</v>
      </c>
      <c r="X27" s="57">
        <v>3174</v>
      </c>
      <c r="Y27" s="43">
        <v>0.53</v>
      </c>
    </row>
    <row r="28" spans="4:72" ht="15" x14ac:dyDescent="0.25">
      <c r="D28">
        <v>25</v>
      </c>
      <c r="E28">
        <v>125261</v>
      </c>
      <c r="F28" t="s">
        <v>3065</v>
      </c>
      <c r="G28" s="144">
        <v>6.5</v>
      </c>
      <c r="H28" s="145">
        <v>6.5</v>
      </c>
      <c r="I28" t="s">
        <v>2870</v>
      </c>
      <c r="J28" t="s">
        <v>2903</v>
      </c>
      <c r="K28" t="str">
        <f t="shared" si="3"/>
        <v>List_HID_Type</v>
      </c>
      <c r="L28" t="s">
        <v>2903</v>
      </c>
      <c r="W28" t="s">
        <v>3066</v>
      </c>
      <c r="X28" s="57">
        <v>3516</v>
      </c>
      <c r="Y28" s="43">
        <v>0.9</v>
      </c>
    </row>
    <row r="29" spans="4:72" ht="15" x14ac:dyDescent="0.25">
      <c r="D29">
        <v>26</v>
      </c>
      <c r="E29">
        <v>125262</v>
      </c>
      <c r="F29" t="s">
        <v>3067</v>
      </c>
      <c r="G29" s="144">
        <v>9</v>
      </c>
      <c r="H29" s="145">
        <v>9</v>
      </c>
      <c r="I29" t="s">
        <v>2870</v>
      </c>
      <c r="J29" t="s">
        <v>2903</v>
      </c>
      <c r="K29" t="str">
        <f t="shared" si="3"/>
        <v>List_HID_Type</v>
      </c>
      <c r="L29" t="s">
        <v>2903</v>
      </c>
      <c r="W29" t="s">
        <v>3068</v>
      </c>
      <c r="X29" s="57">
        <v>4813</v>
      </c>
      <c r="Y29" s="43">
        <v>0.93</v>
      </c>
    </row>
    <row r="30" spans="4:72" ht="15" x14ac:dyDescent="0.25">
      <c r="D30">
        <v>27</v>
      </c>
      <c r="E30">
        <v>125263</v>
      </c>
      <c r="F30" t="s">
        <v>3069</v>
      </c>
      <c r="G30" s="144">
        <v>15</v>
      </c>
      <c r="H30" s="145">
        <v>15</v>
      </c>
      <c r="I30" t="s">
        <v>2870</v>
      </c>
      <c r="J30" t="s">
        <v>2903</v>
      </c>
      <c r="K30" t="str">
        <f t="shared" si="3"/>
        <v>List_HID_Type</v>
      </c>
      <c r="L30" t="s">
        <v>2903</v>
      </c>
      <c r="W30" t="s">
        <v>3070</v>
      </c>
      <c r="X30" s="57">
        <v>3515</v>
      </c>
      <c r="Y30" s="43">
        <v>0.9</v>
      </c>
    </row>
    <row r="31" spans="4:72" ht="15" x14ac:dyDescent="0.25">
      <c r="D31">
        <v>28</v>
      </c>
      <c r="E31">
        <v>125264</v>
      </c>
      <c r="F31" t="s">
        <v>3071</v>
      </c>
      <c r="G31" s="144">
        <v>38</v>
      </c>
      <c r="H31" s="145">
        <v>38</v>
      </c>
      <c r="I31" t="s">
        <v>2870</v>
      </c>
      <c r="J31" t="s">
        <v>2903</v>
      </c>
      <c r="K31" t="str">
        <f t="shared" si="3"/>
        <v>List_HID_Type</v>
      </c>
      <c r="L31" t="s">
        <v>2903</v>
      </c>
      <c r="W31" t="s">
        <v>3072</v>
      </c>
      <c r="X31" s="57">
        <v>4312</v>
      </c>
      <c r="Y31" s="43">
        <v>0.9</v>
      </c>
    </row>
    <row r="32" spans="4:72" ht="15" x14ac:dyDescent="0.25">
      <c r="D32">
        <v>29</v>
      </c>
      <c r="E32">
        <v>125265</v>
      </c>
      <c r="F32" t="s">
        <v>3073</v>
      </c>
      <c r="G32" s="144">
        <v>56</v>
      </c>
      <c r="H32" s="145">
        <v>56</v>
      </c>
      <c r="I32" t="s">
        <v>2870</v>
      </c>
      <c r="J32" t="s">
        <v>2903</v>
      </c>
      <c r="K32" t="str">
        <f t="shared" si="3"/>
        <v>List_HID_Type</v>
      </c>
      <c r="L32" t="s">
        <v>2903</v>
      </c>
      <c r="W32" t="s">
        <v>3074</v>
      </c>
      <c r="X32" s="57">
        <v>3965</v>
      </c>
      <c r="Y32" s="43">
        <v>0.9</v>
      </c>
    </row>
    <row r="33" spans="4:25" ht="15" x14ac:dyDescent="0.25">
      <c r="D33">
        <v>30</v>
      </c>
      <c r="E33">
        <v>124324</v>
      </c>
      <c r="F33" t="s">
        <v>3075</v>
      </c>
      <c r="G33" s="144">
        <v>13</v>
      </c>
      <c r="H33" s="145">
        <v>8</v>
      </c>
      <c r="I33" t="s">
        <v>2870</v>
      </c>
      <c r="J33" t="s">
        <v>2903</v>
      </c>
      <c r="K33" t="s">
        <v>2857</v>
      </c>
      <c r="L33" t="s">
        <v>2903</v>
      </c>
      <c r="W33" t="s">
        <v>3076</v>
      </c>
      <c r="X33" s="57">
        <v>3406</v>
      </c>
      <c r="Y33" s="43">
        <v>0.9</v>
      </c>
    </row>
    <row r="34" spans="4:25" ht="15" x14ac:dyDescent="0.25">
      <c r="D34">
        <v>31</v>
      </c>
      <c r="E34">
        <v>128286</v>
      </c>
      <c r="F34" t="s">
        <v>3077</v>
      </c>
      <c r="G34" s="144">
        <v>4</v>
      </c>
      <c r="H34" s="145">
        <v>3.5</v>
      </c>
      <c r="I34" t="s">
        <v>2895</v>
      </c>
      <c r="J34" t="s">
        <v>2903</v>
      </c>
      <c r="K34" t="s">
        <v>2853</v>
      </c>
      <c r="L34" t="s">
        <v>2903</v>
      </c>
      <c r="W34" t="s">
        <v>3078</v>
      </c>
      <c r="X34" s="57">
        <v>2417</v>
      </c>
      <c r="Y34" s="43">
        <v>0.77</v>
      </c>
    </row>
    <row r="35" spans="4:25" ht="15" x14ac:dyDescent="0.25">
      <c r="D35">
        <v>32</v>
      </c>
      <c r="E35">
        <v>128292</v>
      </c>
      <c r="F35" t="s">
        <v>3079</v>
      </c>
      <c r="G35" s="144">
        <v>3.5</v>
      </c>
      <c r="H35" s="145">
        <v>3</v>
      </c>
      <c r="I35" s="38" t="s">
        <v>2895</v>
      </c>
      <c r="J35" t="s">
        <v>2903</v>
      </c>
      <c r="K35" t="s">
        <v>2852</v>
      </c>
      <c r="L35" t="s">
        <v>2903</v>
      </c>
      <c r="W35" t="s">
        <v>3080</v>
      </c>
      <c r="X35" s="57">
        <v>3798</v>
      </c>
      <c r="Y35" s="43">
        <v>0.84</v>
      </c>
    </row>
    <row r="36" spans="4:25" ht="15" x14ac:dyDescent="0.25">
      <c r="D36">
        <v>33</v>
      </c>
      <c r="E36">
        <v>128294</v>
      </c>
      <c r="F36" t="s">
        <v>3081</v>
      </c>
      <c r="G36" s="144">
        <v>6.5</v>
      </c>
      <c r="H36" s="145">
        <v>5.5</v>
      </c>
      <c r="I36" s="38" t="s">
        <v>2895</v>
      </c>
      <c r="J36" t="s">
        <v>2903</v>
      </c>
      <c r="K36" t="s">
        <v>2852</v>
      </c>
      <c r="L36" t="s">
        <v>2903</v>
      </c>
    </row>
    <row r="37" spans="4:25" ht="15" x14ac:dyDescent="0.25">
      <c r="D37">
        <v>34</v>
      </c>
      <c r="E37">
        <v>128387</v>
      </c>
      <c r="F37" t="s">
        <v>3082</v>
      </c>
      <c r="G37" s="144">
        <v>8</v>
      </c>
      <c r="H37" s="145">
        <v>6.5</v>
      </c>
      <c r="I37" t="s">
        <v>2895</v>
      </c>
      <c r="J37" t="s">
        <v>2903</v>
      </c>
      <c r="K37" t="s">
        <v>2853</v>
      </c>
      <c r="L37" t="s">
        <v>2903</v>
      </c>
      <c r="W37" s="5" t="str">
        <f>IF(Input_BldgType="","N/A",Input_BldgType)</f>
        <v>N/A</v>
      </c>
    </row>
    <row r="38" spans="4:25" ht="15" x14ac:dyDescent="0.25">
      <c r="D38">
        <v>35</v>
      </c>
      <c r="E38">
        <v>128389</v>
      </c>
      <c r="F38" t="s">
        <v>3083</v>
      </c>
      <c r="G38" s="144">
        <v>16</v>
      </c>
      <c r="H38" s="145">
        <v>14</v>
      </c>
      <c r="I38" t="s">
        <v>2895</v>
      </c>
      <c r="J38" t="s">
        <v>2903</v>
      </c>
      <c r="K38" t="s">
        <v>2854</v>
      </c>
      <c r="L38" t="s">
        <v>2903</v>
      </c>
      <c r="W38" s="5" t="str">
        <f>W8</f>
        <v>Exterior</v>
      </c>
    </row>
    <row r="39" spans="4:25" x14ac:dyDescent="0.2">
      <c r="D39">
        <v>36</v>
      </c>
      <c r="E39">
        <v>128393</v>
      </c>
      <c r="F39" t="s">
        <v>3084</v>
      </c>
      <c r="G39" s="144">
        <v>7.5</v>
      </c>
      <c r="H39" s="144">
        <v>6</v>
      </c>
      <c r="I39" t="s">
        <v>2895</v>
      </c>
      <c r="J39" t="s">
        <v>2903</v>
      </c>
      <c r="K39" t="s">
        <v>2852</v>
      </c>
      <c r="L39" t="s">
        <v>2903</v>
      </c>
      <c r="W39" s="5" t="str">
        <f>W24</f>
        <v>Parking Structure</v>
      </c>
    </row>
    <row r="40" spans="4:25" ht="15" x14ac:dyDescent="0.25">
      <c r="D40">
        <v>37</v>
      </c>
      <c r="E40">
        <v>128395</v>
      </c>
      <c r="F40" t="s">
        <v>3085</v>
      </c>
      <c r="G40" s="144">
        <v>13</v>
      </c>
      <c r="H40" s="145">
        <v>11</v>
      </c>
      <c r="I40" t="s">
        <v>2895</v>
      </c>
      <c r="J40" t="s">
        <v>2903</v>
      </c>
      <c r="K40" t="s">
        <v>2852</v>
      </c>
      <c r="L40" t="s">
        <v>2903</v>
      </c>
    </row>
    <row r="41" spans="4:25" ht="15" x14ac:dyDescent="0.25">
      <c r="D41">
        <v>38</v>
      </c>
      <c r="E41">
        <v>128788</v>
      </c>
      <c r="F41" t="s">
        <v>3086</v>
      </c>
      <c r="G41" s="144">
        <v>17</v>
      </c>
      <c r="H41" s="145">
        <v>14</v>
      </c>
      <c r="I41" t="s">
        <v>2895</v>
      </c>
      <c r="J41" t="s">
        <v>2903</v>
      </c>
      <c r="K41" t="s">
        <v>2853</v>
      </c>
      <c r="L41" t="s">
        <v>2903</v>
      </c>
    </row>
    <row r="42" spans="4:25" ht="15" x14ac:dyDescent="0.25">
      <c r="D42">
        <v>39</v>
      </c>
      <c r="E42">
        <v>128790</v>
      </c>
      <c r="F42" t="s">
        <v>3087</v>
      </c>
      <c r="G42" s="144">
        <v>31</v>
      </c>
      <c r="H42" s="145">
        <v>27</v>
      </c>
      <c r="I42" t="s">
        <v>2895</v>
      </c>
      <c r="J42" t="s">
        <v>2903</v>
      </c>
      <c r="K42" t="s">
        <v>2854</v>
      </c>
      <c r="L42" t="s">
        <v>2903</v>
      </c>
    </row>
    <row r="43" spans="4:25" ht="15" x14ac:dyDescent="0.25">
      <c r="D43">
        <v>40</v>
      </c>
      <c r="E43">
        <v>128591</v>
      </c>
      <c r="F43" t="s">
        <v>3088</v>
      </c>
      <c r="G43" s="144">
        <v>11</v>
      </c>
      <c r="H43" s="145">
        <v>9</v>
      </c>
      <c r="I43" t="s">
        <v>2895</v>
      </c>
      <c r="J43" t="s">
        <v>2903</v>
      </c>
      <c r="K43" t="s">
        <v>2855</v>
      </c>
      <c r="L43" t="s">
        <v>2903</v>
      </c>
    </row>
    <row r="44" spans="4:25" ht="15" x14ac:dyDescent="0.25">
      <c r="D44">
        <v>41</v>
      </c>
      <c r="E44">
        <v>124315</v>
      </c>
      <c r="F44" t="s">
        <v>2878</v>
      </c>
      <c r="G44" s="144">
        <v>32</v>
      </c>
      <c r="H44" s="145">
        <v>26</v>
      </c>
      <c r="I44" t="s">
        <v>2820</v>
      </c>
      <c r="J44" t="str">
        <f>Table_Bldg_Type[[#Headers],[List_Bldg_Types]]</f>
        <v>List_Bldg_Types</v>
      </c>
      <c r="K44" t="s">
        <v>3089</v>
      </c>
      <c r="L44" t="s">
        <v>3089</v>
      </c>
    </row>
    <row r="45" spans="4:25" ht="15" x14ac:dyDescent="0.25">
      <c r="D45">
        <v>42</v>
      </c>
      <c r="E45">
        <v>124415</v>
      </c>
      <c r="F45" t="s">
        <v>2908</v>
      </c>
      <c r="G45" s="144">
        <v>95</v>
      </c>
      <c r="H45" s="145">
        <v>79</v>
      </c>
      <c r="I45" t="s">
        <v>2820</v>
      </c>
      <c r="J45" t="str">
        <f>Table_Bldg_Type[[#Headers],[List_Bldg_Types]]</f>
        <v>List_Bldg_Types</v>
      </c>
      <c r="K45" t="s">
        <v>3089</v>
      </c>
      <c r="L45" t="s">
        <v>3089</v>
      </c>
    </row>
    <row r="46" spans="4:25" ht="15" x14ac:dyDescent="0.25">
      <c r="D46">
        <v>43</v>
      </c>
      <c r="E46">
        <v>124515</v>
      </c>
      <c r="F46" t="s">
        <v>2935</v>
      </c>
      <c r="G46" s="144">
        <v>48</v>
      </c>
      <c r="H46" s="145">
        <v>40</v>
      </c>
      <c r="I46" t="s">
        <v>2820</v>
      </c>
      <c r="J46" t="str">
        <f>Table_Bldg_Type[[#Headers],[List_Bldg_Types]]</f>
        <v>List_Bldg_Types</v>
      </c>
      <c r="K46" t="s">
        <v>3089</v>
      </c>
      <c r="L46" t="s">
        <v>3089</v>
      </c>
    </row>
    <row r="47" spans="4:25" ht="15" x14ac:dyDescent="0.25">
      <c r="D47">
        <v>44</v>
      </c>
      <c r="E47">
        <v>124615</v>
      </c>
      <c r="F47" t="s">
        <v>2955</v>
      </c>
      <c r="G47" s="144">
        <v>145</v>
      </c>
      <c r="H47" s="145">
        <v>120</v>
      </c>
      <c r="I47" t="s">
        <v>2820</v>
      </c>
      <c r="J47" t="str">
        <f>Table_Bldg_Type[[#Headers],[List_Bldg_Types]]</f>
        <v>List_Bldg_Types</v>
      </c>
      <c r="K47" t="s">
        <v>3089</v>
      </c>
      <c r="L47" t="s">
        <v>3089</v>
      </c>
    </row>
    <row r="48" spans="4:25" ht="15" x14ac:dyDescent="0.25">
      <c r="D48">
        <v>45</v>
      </c>
      <c r="E48">
        <v>124715</v>
      </c>
      <c r="F48" t="s">
        <v>2972</v>
      </c>
      <c r="G48" s="144">
        <v>56</v>
      </c>
      <c r="H48" s="145">
        <v>46</v>
      </c>
      <c r="I48" t="s">
        <v>2820</v>
      </c>
      <c r="J48" t="str">
        <f>Table_Bldg_Type[[#Headers],[List_Bldg_Types]]</f>
        <v>List_Bldg_Types</v>
      </c>
      <c r="K48" t="s">
        <v>3089</v>
      </c>
      <c r="L48" t="s">
        <v>3089</v>
      </c>
    </row>
    <row r="49" spans="4:12" ht="15" x14ac:dyDescent="0.25">
      <c r="D49">
        <v>46</v>
      </c>
      <c r="E49">
        <v>124815</v>
      </c>
      <c r="F49" t="s">
        <v>2987</v>
      </c>
      <c r="G49" s="144">
        <v>165</v>
      </c>
      <c r="H49" s="145">
        <v>140</v>
      </c>
      <c r="I49" t="s">
        <v>2820</v>
      </c>
      <c r="J49" t="str">
        <f>Table_Bldg_Type[[#Headers],[List_Bldg_Types]]</f>
        <v>List_Bldg_Types</v>
      </c>
      <c r="K49" t="s">
        <v>3089</v>
      </c>
      <c r="L49" t="s">
        <v>3089</v>
      </c>
    </row>
    <row r="50" spans="4:12" ht="15" x14ac:dyDescent="0.25">
      <c r="D50">
        <v>47</v>
      </c>
      <c r="E50">
        <v>125198</v>
      </c>
      <c r="F50" t="s">
        <v>3001</v>
      </c>
      <c r="G50" s="144">
        <v>21</v>
      </c>
      <c r="H50" s="145">
        <v>18</v>
      </c>
      <c r="I50" t="s">
        <v>2820</v>
      </c>
      <c r="J50" t="s">
        <v>2905</v>
      </c>
      <c r="K50" t="s">
        <v>3089</v>
      </c>
      <c r="L50" t="s">
        <v>3089</v>
      </c>
    </row>
    <row r="51" spans="4:12" ht="15" x14ac:dyDescent="0.25">
      <c r="D51">
        <v>48</v>
      </c>
      <c r="E51">
        <v>125298</v>
      </c>
      <c r="F51" t="s">
        <v>3009</v>
      </c>
      <c r="G51" s="144">
        <v>63</v>
      </c>
      <c r="H51" s="145">
        <v>53</v>
      </c>
      <c r="I51" t="s">
        <v>2820</v>
      </c>
      <c r="J51" t="s">
        <v>2905</v>
      </c>
      <c r="K51" t="s">
        <v>3089</v>
      </c>
      <c r="L51" t="s">
        <v>3089</v>
      </c>
    </row>
    <row r="52" spans="4:12" ht="15" x14ac:dyDescent="0.25">
      <c r="D52">
        <v>49</v>
      </c>
      <c r="E52">
        <v>125398</v>
      </c>
      <c r="F52" t="s">
        <v>3018</v>
      </c>
      <c r="G52" s="144">
        <v>105</v>
      </c>
      <c r="H52" s="145">
        <v>88</v>
      </c>
      <c r="I52" t="s">
        <v>2820</v>
      </c>
      <c r="J52" t="s">
        <v>2905</v>
      </c>
      <c r="K52" t="s">
        <v>3089</v>
      </c>
      <c r="L52" t="s">
        <v>3089</v>
      </c>
    </row>
    <row r="53" spans="4:12" ht="15" x14ac:dyDescent="0.25">
      <c r="D53">
        <v>50</v>
      </c>
      <c r="E53">
        <v>125498</v>
      </c>
      <c r="F53" t="s">
        <v>3025</v>
      </c>
      <c r="G53" s="144">
        <v>150</v>
      </c>
      <c r="H53" s="145">
        <v>125</v>
      </c>
      <c r="I53" t="s">
        <v>2820</v>
      </c>
      <c r="J53" t="s">
        <v>2905</v>
      </c>
      <c r="K53" t="s">
        <v>3089</v>
      </c>
      <c r="L53" t="s">
        <v>3089</v>
      </c>
    </row>
    <row r="54" spans="4:12" x14ac:dyDescent="0.2">
      <c r="G54" s="144"/>
      <c r="H54" s="144"/>
    </row>
    <row r="55" spans="4:12" x14ac:dyDescent="0.2">
      <c r="G55" s="144"/>
      <c r="H55" s="144"/>
    </row>
    <row r="56" spans="4:12" x14ac:dyDescent="0.2">
      <c r="G56" s="38"/>
      <c r="H56" s="38"/>
    </row>
    <row r="57" spans="4:12" x14ac:dyDescent="0.2">
      <c r="G57" s="38"/>
      <c r="H57" s="38"/>
    </row>
    <row r="58" spans="4:12" x14ac:dyDescent="0.2">
      <c r="G58" s="38"/>
      <c r="H58" s="38"/>
    </row>
    <row r="59" spans="4:12" x14ac:dyDescent="0.2">
      <c r="G59" s="38"/>
      <c r="H59" s="38"/>
    </row>
    <row r="60" spans="4:12" x14ac:dyDescent="0.2">
      <c r="G60" s="38"/>
      <c r="H60" s="38"/>
    </row>
    <row r="61" spans="4:12" x14ac:dyDescent="0.2">
      <c r="G61" s="38"/>
      <c r="H61" s="38"/>
    </row>
    <row r="62" spans="4:12" x14ac:dyDescent="0.2">
      <c r="G62" s="38"/>
      <c r="H62" s="38"/>
    </row>
    <row r="63" spans="4:12" x14ac:dyDescent="0.2">
      <c r="G63" s="38"/>
      <c r="H63" s="38"/>
    </row>
    <row r="64" spans="4:12" x14ac:dyDescent="0.2">
      <c r="G64" s="38"/>
      <c r="H64" s="38"/>
    </row>
    <row r="65" spans="7:8" x14ac:dyDescent="0.2">
      <c r="G65" s="38"/>
      <c r="H65" s="38"/>
    </row>
    <row r="66" spans="7:8" x14ac:dyDescent="0.2">
      <c r="G66" s="38"/>
      <c r="H66" s="38"/>
    </row>
    <row r="67" spans="7:8" x14ac:dyDescent="0.2">
      <c r="G67" s="38"/>
      <c r="H67" s="38"/>
    </row>
    <row r="68" spans="7:8" x14ac:dyDescent="0.2">
      <c r="G68" s="38"/>
      <c r="H68" s="38"/>
    </row>
    <row r="69" spans="7:8" x14ac:dyDescent="0.2">
      <c r="G69" s="38"/>
      <c r="H69" s="38"/>
    </row>
    <row r="70" spans="7:8" x14ac:dyDescent="0.2">
      <c r="G70" s="38"/>
      <c r="H70" s="38"/>
    </row>
    <row r="71" spans="7:8" x14ac:dyDescent="0.2">
      <c r="G71" s="38"/>
      <c r="H71" s="38"/>
    </row>
    <row r="72" spans="7:8" x14ac:dyDescent="0.2">
      <c r="G72" s="38"/>
      <c r="H72" s="38"/>
    </row>
    <row r="73" spans="7:8" x14ac:dyDescent="0.2">
      <c r="G73" s="38"/>
      <c r="H73" s="38"/>
    </row>
    <row r="74" spans="7:8" x14ac:dyDescent="0.2">
      <c r="G74" s="38"/>
      <c r="H74" s="38"/>
    </row>
    <row r="75" spans="7:8" x14ac:dyDescent="0.2">
      <c r="G75" s="38"/>
      <c r="H75" s="38"/>
    </row>
    <row r="76" spans="7:8" x14ac:dyDescent="0.2">
      <c r="G76" s="38"/>
      <c r="H76" s="38"/>
    </row>
    <row r="77" spans="7:8" x14ac:dyDescent="0.2">
      <c r="G77" s="38"/>
      <c r="H77" s="38"/>
    </row>
    <row r="78" spans="7:8" x14ac:dyDescent="0.2">
      <c r="G78" s="38"/>
      <c r="H78" s="38"/>
    </row>
    <row r="79" spans="7:8" x14ac:dyDescent="0.2">
      <c r="G79" s="38"/>
      <c r="H79" s="38"/>
    </row>
    <row r="80" spans="7:8" x14ac:dyDescent="0.2">
      <c r="G80" s="38"/>
      <c r="H80" s="38"/>
    </row>
    <row r="81" spans="7:8" x14ac:dyDescent="0.2">
      <c r="G81" s="38"/>
      <c r="H81" s="38"/>
    </row>
    <row r="82" spans="7:8" x14ac:dyDescent="0.2">
      <c r="G82" s="38"/>
      <c r="H82" s="38"/>
    </row>
    <row r="83" spans="7:8" x14ac:dyDescent="0.2">
      <c r="G83" s="38"/>
      <c r="H83" s="38"/>
    </row>
    <row r="84" spans="7:8" x14ac:dyDescent="0.2">
      <c r="G84" s="38"/>
      <c r="H84" s="38"/>
    </row>
    <row r="85" spans="7:8" x14ac:dyDescent="0.2">
      <c r="G85" s="38"/>
      <c r="H85" s="38"/>
    </row>
    <row r="86" spans="7:8" x14ac:dyDescent="0.2">
      <c r="G86" s="38"/>
      <c r="H86" s="38"/>
    </row>
    <row r="87" spans="7:8" x14ac:dyDescent="0.2">
      <c r="G87" s="38"/>
      <c r="H87" s="38"/>
    </row>
    <row r="88" spans="7:8" x14ac:dyDescent="0.2">
      <c r="G88" s="38"/>
      <c r="H88" s="38"/>
    </row>
    <row r="89" spans="7:8" x14ac:dyDescent="0.2">
      <c r="G89" s="38"/>
      <c r="H89" s="38"/>
    </row>
    <row r="90" spans="7:8" x14ac:dyDescent="0.2">
      <c r="G90" s="38"/>
      <c r="H90" s="38"/>
    </row>
    <row r="91" spans="7:8" x14ac:dyDescent="0.2">
      <c r="G91" s="38"/>
      <c r="H91" s="38"/>
    </row>
    <row r="92" spans="7:8" x14ac:dyDescent="0.2">
      <c r="G92" s="38"/>
      <c r="H92" s="38"/>
    </row>
    <row r="93" spans="7:8" x14ac:dyDescent="0.2">
      <c r="G93" s="38"/>
      <c r="H93" s="38"/>
    </row>
    <row r="94" spans="7:8" x14ac:dyDescent="0.2">
      <c r="G94" s="38"/>
      <c r="H94" s="38"/>
    </row>
    <row r="95" spans="7:8" x14ac:dyDescent="0.2">
      <c r="G95" s="38"/>
      <c r="H95" s="38"/>
    </row>
    <row r="96" spans="7:8" x14ac:dyDescent="0.2">
      <c r="G96" s="38"/>
      <c r="H96" s="38"/>
    </row>
    <row r="97" spans="7:8" x14ac:dyDescent="0.2">
      <c r="G97" s="38"/>
      <c r="H97" s="38"/>
    </row>
    <row r="98" spans="7:8" x14ac:dyDescent="0.2">
      <c r="G98" s="38"/>
      <c r="H98" s="38"/>
    </row>
    <row r="99" spans="7:8" x14ac:dyDescent="0.2">
      <c r="G99" s="38"/>
      <c r="H99" s="38"/>
    </row>
    <row r="100" spans="7:8" x14ac:dyDescent="0.2">
      <c r="G100" s="38"/>
      <c r="H100" s="38"/>
    </row>
    <row r="101" spans="7:8" x14ac:dyDescent="0.2">
      <c r="G101" s="38"/>
      <c r="H101" s="38"/>
    </row>
    <row r="102" spans="7:8" x14ac:dyDescent="0.2">
      <c r="G102" s="38"/>
      <c r="H102" s="38"/>
    </row>
    <row r="103" spans="7:8" x14ac:dyDescent="0.2">
      <c r="G103" s="38"/>
      <c r="H103" s="38"/>
    </row>
    <row r="104" spans="7:8" x14ac:dyDescent="0.2">
      <c r="G104" s="38"/>
      <c r="H104" s="38"/>
    </row>
    <row r="105" spans="7:8" x14ac:dyDescent="0.2">
      <c r="G105" s="38"/>
      <c r="H105" s="38"/>
    </row>
    <row r="106" spans="7:8" x14ac:dyDescent="0.2">
      <c r="G106" s="38"/>
      <c r="H106" s="38"/>
    </row>
    <row r="107" spans="7:8" x14ac:dyDescent="0.2">
      <c r="G107" s="38"/>
      <c r="H107" s="38"/>
    </row>
    <row r="108" spans="7:8" x14ac:dyDescent="0.2">
      <c r="G108" s="38"/>
      <c r="H108" s="38"/>
    </row>
    <row r="109" spans="7:8" x14ac:dyDescent="0.2">
      <c r="G109" s="38"/>
      <c r="H109" s="38"/>
    </row>
    <row r="110" spans="7:8" x14ac:dyDescent="0.2">
      <c r="G110" s="38"/>
      <c r="H110" s="38"/>
    </row>
    <row r="111" spans="7:8" x14ac:dyDescent="0.2">
      <c r="G111" s="38"/>
      <c r="H111" s="38"/>
    </row>
    <row r="112" spans="7:8" x14ac:dyDescent="0.2">
      <c r="G112" s="38"/>
      <c r="H112" s="38"/>
    </row>
    <row r="113" spans="7:8" x14ac:dyDescent="0.2">
      <c r="G113" s="38"/>
      <c r="H113" s="38"/>
    </row>
    <row r="114" spans="7:8" x14ac:dyDescent="0.2">
      <c r="G114" s="38"/>
      <c r="H114" s="38"/>
    </row>
    <row r="115" spans="7:8" x14ac:dyDescent="0.2">
      <c r="G115" s="38"/>
      <c r="H115" s="38"/>
    </row>
    <row r="116" spans="7:8" x14ac:dyDescent="0.2">
      <c r="G116" s="38"/>
      <c r="H116" s="38"/>
    </row>
    <row r="117" spans="7:8" x14ac:dyDescent="0.2">
      <c r="G117" s="38"/>
      <c r="H117" s="38"/>
    </row>
    <row r="118" spans="7:8" x14ac:dyDescent="0.2">
      <c r="G118" s="38"/>
      <c r="H118" s="38"/>
    </row>
    <row r="119" spans="7:8" x14ac:dyDescent="0.2">
      <c r="G119" s="38"/>
      <c r="H119" s="38"/>
    </row>
    <row r="120" spans="7:8" x14ac:dyDescent="0.2">
      <c r="G120" s="38"/>
      <c r="H120" s="38"/>
    </row>
    <row r="121" spans="7:8" x14ac:dyDescent="0.2">
      <c r="G121" s="38"/>
      <c r="H121" s="38"/>
    </row>
    <row r="122" spans="7:8" x14ac:dyDescent="0.2">
      <c r="G122" s="38"/>
      <c r="H122" s="38"/>
    </row>
    <row r="123" spans="7:8" x14ac:dyDescent="0.2">
      <c r="G123" s="38"/>
      <c r="H123" s="38"/>
    </row>
    <row r="124" spans="7:8" x14ac:dyDescent="0.2">
      <c r="G124" s="38"/>
      <c r="H124" s="38"/>
    </row>
    <row r="125" spans="7:8" x14ac:dyDescent="0.2">
      <c r="G125" s="38"/>
      <c r="H125" s="38"/>
    </row>
    <row r="126" spans="7:8" x14ac:dyDescent="0.2">
      <c r="G126" s="38"/>
      <c r="H126" s="38"/>
    </row>
    <row r="127" spans="7:8" x14ac:dyDescent="0.2">
      <c r="G127" s="38"/>
      <c r="H127" s="38"/>
    </row>
    <row r="128" spans="7:8" x14ac:dyDescent="0.2">
      <c r="G128" s="38"/>
      <c r="H128" s="38"/>
    </row>
    <row r="129" spans="7:8" x14ac:dyDescent="0.2">
      <c r="G129" s="38"/>
      <c r="H129" s="38"/>
    </row>
    <row r="130" spans="7:8" x14ac:dyDescent="0.2">
      <c r="G130" s="38"/>
      <c r="H130" s="38"/>
    </row>
    <row r="131" spans="7:8" x14ac:dyDescent="0.2">
      <c r="G131" s="38"/>
      <c r="H131" s="38"/>
    </row>
    <row r="132" spans="7:8" x14ac:dyDescent="0.2">
      <c r="G132" s="38"/>
      <c r="H132" s="38"/>
    </row>
    <row r="133" spans="7:8" x14ac:dyDescent="0.2">
      <c r="G133" s="38"/>
      <c r="H133" s="38"/>
    </row>
    <row r="134" spans="7:8" x14ac:dyDescent="0.2">
      <c r="G134" s="38"/>
      <c r="H134" s="38"/>
    </row>
    <row r="135" spans="7:8" x14ac:dyDescent="0.2">
      <c r="G135" s="38"/>
      <c r="H135" s="38"/>
    </row>
    <row r="136" spans="7:8" x14ac:dyDescent="0.2">
      <c r="G136" s="38"/>
      <c r="H136" s="38"/>
    </row>
    <row r="137" spans="7:8" x14ac:dyDescent="0.2">
      <c r="G137" s="38"/>
      <c r="H137" s="38"/>
    </row>
    <row r="138" spans="7:8" x14ac:dyDescent="0.2">
      <c r="G138" s="38"/>
      <c r="H138" s="38"/>
    </row>
    <row r="139" spans="7:8" x14ac:dyDescent="0.2">
      <c r="G139" s="38"/>
      <c r="H139" s="38"/>
    </row>
    <row r="140" spans="7:8" x14ac:dyDescent="0.2">
      <c r="G140" s="38"/>
      <c r="H140" s="38"/>
    </row>
    <row r="141" spans="7:8" x14ac:dyDescent="0.2">
      <c r="G141" s="38"/>
      <c r="H141" s="38"/>
    </row>
    <row r="142" spans="7:8" x14ac:dyDescent="0.2">
      <c r="G142" s="38"/>
      <c r="H142" s="38"/>
    </row>
    <row r="143" spans="7:8" x14ac:dyDescent="0.2">
      <c r="G143" s="38"/>
      <c r="H143" s="38"/>
    </row>
    <row r="144" spans="7:8" x14ac:dyDescent="0.2">
      <c r="G144" s="38"/>
      <c r="H144" s="38"/>
    </row>
    <row r="145" spans="7:8" x14ac:dyDescent="0.2">
      <c r="G145" s="38"/>
      <c r="H145" s="38"/>
    </row>
    <row r="146" spans="7:8" x14ac:dyDescent="0.2">
      <c r="G146" s="38"/>
      <c r="H146" s="38"/>
    </row>
    <row r="147" spans="7:8" x14ac:dyDescent="0.2">
      <c r="G147" s="38"/>
      <c r="H147" s="38"/>
    </row>
    <row r="148" spans="7:8" x14ac:dyDescent="0.2">
      <c r="G148" s="38"/>
      <c r="H148" s="38"/>
    </row>
    <row r="149" spans="7:8" x14ac:dyDescent="0.2">
      <c r="G149" s="38"/>
      <c r="H149" s="38"/>
    </row>
    <row r="150" spans="7:8" x14ac:dyDescent="0.2">
      <c r="G150" s="38"/>
      <c r="H150" s="38"/>
    </row>
    <row r="151" spans="7:8" x14ac:dyDescent="0.2">
      <c r="G151" s="38"/>
      <c r="H151" s="38"/>
    </row>
    <row r="152" spans="7:8" x14ac:dyDescent="0.2">
      <c r="G152" s="38"/>
      <c r="H152" s="38"/>
    </row>
    <row r="153" spans="7:8" x14ac:dyDescent="0.2">
      <c r="G153" s="38"/>
      <c r="H153" s="38"/>
    </row>
    <row r="154" spans="7:8" x14ac:dyDescent="0.2">
      <c r="G154" s="38"/>
      <c r="H154" s="38"/>
    </row>
    <row r="155" spans="7:8" x14ac:dyDescent="0.2">
      <c r="G155" s="38"/>
      <c r="H155" s="38"/>
    </row>
    <row r="156" spans="7:8" x14ac:dyDescent="0.2">
      <c r="G156" s="38"/>
      <c r="H156" s="38"/>
    </row>
    <row r="157" spans="7:8" x14ac:dyDescent="0.2">
      <c r="G157" s="38"/>
      <c r="H157" s="38"/>
    </row>
    <row r="158" spans="7:8" x14ac:dyDescent="0.2">
      <c r="G158" s="38"/>
      <c r="H158" s="38"/>
    </row>
    <row r="159" spans="7:8" x14ac:dyDescent="0.2">
      <c r="G159" s="38"/>
      <c r="H159" s="38"/>
    </row>
    <row r="160" spans="7:8" x14ac:dyDescent="0.2">
      <c r="G160" s="38"/>
      <c r="H160" s="38"/>
    </row>
    <row r="161" spans="7:8" x14ac:dyDescent="0.2">
      <c r="G161" s="38"/>
      <c r="H161" s="38"/>
    </row>
    <row r="162" spans="7:8" x14ac:dyDescent="0.2">
      <c r="G162" s="38"/>
      <c r="H162" s="38"/>
    </row>
    <row r="163" spans="7:8" x14ac:dyDescent="0.2">
      <c r="G163" s="38"/>
      <c r="H163" s="38"/>
    </row>
    <row r="164" spans="7:8" x14ac:dyDescent="0.2">
      <c r="G164" s="38"/>
      <c r="H164" s="38"/>
    </row>
  </sheetData>
  <mergeCells count="1">
    <mergeCell ref="D2:F2"/>
  </mergeCells>
  <phoneticPr fontId="10" type="noConversion"/>
  <pageMargins left="0.7" right="0.7" top="0.75" bottom="0.75" header="0.3" footer="0.3"/>
  <pageSetup orientation="portrait" horizontalDpi="0" verticalDpi="0" r:id="rId1"/>
  <tableParts count="9">
    <tablePart r:id="rId2"/>
    <tablePart r:id="rId3"/>
    <tablePart r:id="rId4"/>
    <tablePart r:id="rId5"/>
    <tablePart r:id="rId6"/>
    <tablePart r:id="rId7"/>
    <tablePart r:id="rId8"/>
    <tablePart r:id="rId9"/>
    <tablePart r:id="rId10"/>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FEDDE-BE4F-4591-8997-AEB117E3001A}">
  <sheetPr>
    <tabColor rgb="FFFF0000"/>
  </sheetPr>
  <dimension ref="A1:AA1575"/>
  <sheetViews>
    <sheetView workbookViewId="0">
      <selection sqref="A1:I1"/>
    </sheetView>
  </sheetViews>
  <sheetFormatPr defaultRowHeight="12.75" x14ac:dyDescent="0.2"/>
  <cols>
    <col min="1" max="1" width="15.140625" customWidth="1"/>
    <col min="2" max="2" width="14.140625" customWidth="1"/>
    <col min="3" max="3" width="83.5703125" customWidth="1"/>
    <col min="4" max="4" width="88.28515625" customWidth="1"/>
    <col min="5" max="5" width="15" customWidth="1"/>
    <col min="6" max="6" width="11.85546875" bestFit="1" customWidth="1"/>
    <col min="8" max="8" width="8.7109375" customWidth="1"/>
    <col min="9" max="9" width="9.140625" customWidth="1"/>
    <col min="10" max="10" width="9" style="110" customWidth="1"/>
    <col min="11" max="11" width="18.85546875" customWidth="1"/>
    <col min="12" max="12" width="8" customWidth="1"/>
    <col min="13" max="13" width="8.28515625" customWidth="1"/>
    <col min="14" max="14" width="10.85546875" customWidth="1"/>
    <col min="15" max="15" width="9" customWidth="1"/>
    <col min="16" max="16" width="11.85546875" bestFit="1" customWidth="1"/>
    <col min="17" max="17" width="18.42578125" customWidth="1"/>
    <col min="18" max="18" width="38" customWidth="1"/>
    <col min="19" max="19" width="33.42578125" customWidth="1"/>
    <col min="20" max="20" width="14.140625" customWidth="1"/>
    <col min="21" max="21" width="16.140625" customWidth="1"/>
    <col min="22" max="22" width="9.140625" customWidth="1"/>
    <col min="23" max="24" width="21.5703125" style="111" customWidth="1"/>
    <col min="25" max="25" width="30.28515625" customWidth="1"/>
    <col min="26" max="26" width="35.140625" customWidth="1"/>
    <col min="27" max="27" width="11.85546875" style="111" customWidth="1"/>
  </cols>
  <sheetData>
    <row r="1" spans="1:27" ht="32.25" customHeight="1" x14ac:dyDescent="0.25">
      <c r="A1" s="298" t="s">
        <v>3090</v>
      </c>
      <c r="B1" s="298"/>
      <c r="C1" s="298"/>
      <c r="D1" s="298"/>
      <c r="E1" s="298"/>
      <c r="F1" s="298"/>
      <c r="G1" s="298"/>
      <c r="H1" s="298"/>
      <c r="I1" s="299"/>
      <c r="J1" s="300" t="s">
        <v>3091</v>
      </c>
      <c r="K1" s="300"/>
      <c r="L1" s="300"/>
      <c r="M1" s="300"/>
      <c r="N1" s="300"/>
      <c r="O1" s="300"/>
      <c r="P1" s="300"/>
      <c r="Q1" s="300"/>
      <c r="R1" s="300"/>
      <c r="S1" s="300"/>
      <c r="T1" s="300"/>
      <c r="U1" s="300"/>
      <c r="V1" s="300"/>
      <c r="W1" s="300"/>
      <c r="X1" s="300"/>
      <c r="Y1" s="300"/>
      <c r="Z1" s="300"/>
      <c r="AA1" s="300"/>
    </row>
    <row r="2" spans="1:27" s="12" customFormat="1" ht="51" x14ac:dyDescent="0.2">
      <c r="A2" s="76" t="s">
        <v>3092</v>
      </c>
      <c r="B2" s="76" t="s">
        <v>3093</v>
      </c>
      <c r="C2" s="76" t="s">
        <v>3094</v>
      </c>
      <c r="D2" s="76" t="s">
        <v>3095</v>
      </c>
      <c r="E2" s="76" t="s">
        <v>3096</v>
      </c>
      <c r="F2" s="76" t="s">
        <v>3097</v>
      </c>
      <c r="G2" s="76" t="s">
        <v>3098</v>
      </c>
      <c r="H2" s="76" t="s">
        <v>3099</v>
      </c>
      <c r="I2" s="108" t="s">
        <v>3100</v>
      </c>
      <c r="J2" s="109" t="s">
        <v>3101</v>
      </c>
      <c r="K2" s="12" t="s">
        <v>177</v>
      </c>
      <c r="L2" s="12" t="s">
        <v>3102</v>
      </c>
      <c r="M2" s="12" t="s">
        <v>3103</v>
      </c>
      <c r="N2" s="12" t="s">
        <v>3104</v>
      </c>
      <c r="O2" s="12" t="s">
        <v>3105</v>
      </c>
      <c r="P2" s="12" t="s">
        <v>3106</v>
      </c>
      <c r="Q2" s="12" t="s">
        <v>3107</v>
      </c>
      <c r="R2" s="12" t="s">
        <v>3108</v>
      </c>
      <c r="S2" s="12" t="s">
        <v>183</v>
      </c>
      <c r="T2" s="12" t="s">
        <v>3109</v>
      </c>
      <c r="U2" s="50" t="s">
        <v>3110</v>
      </c>
      <c r="V2" s="50" t="s">
        <v>3111</v>
      </c>
      <c r="W2" s="50" t="s">
        <v>3112</v>
      </c>
      <c r="X2" s="50" t="s">
        <v>3113</v>
      </c>
      <c r="Y2" s="50" t="s">
        <v>3114</v>
      </c>
      <c r="Z2" s="50" t="s">
        <v>3115</v>
      </c>
      <c r="AA2" s="50" t="s">
        <v>3116</v>
      </c>
    </row>
    <row r="3" spans="1:27" x14ac:dyDescent="0.2">
      <c r="A3" t="s">
        <v>189</v>
      </c>
      <c r="B3" t="s">
        <v>3117</v>
      </c>
      <c r="C3" t="s">
        <v>3118</v>
      </c>
      <c r="D3" t="s">
        <v>3119</v>
      </c>
      <c r="E3" t="s">
        <v>187</v>
      </c>
      <c r="F3" t="s">
        <v>186</v>
      </c>
      <c r="G3" t="s">
        <v>186</v>
      </c>
      <c r="H3">
        <v>1</v>
      </c>
      <c r="I3">
        <v>1</v>
      </c>
      <c r="J3" s="110">
        <v>1</v>
      </c>
      <c r="K3" t="s">
        <v>185</v>
      </c>
      <c r="L3">
        <f>IF(Table_TRM_Fixtures[[#This Row],[Technology]]="LED", Table_TRM_Fixtures[[#This Row],[Fixture Watts  (TRM Data)]], Table_TRM_Fixtures[[#This Row],[Lamp Watts  (TRM Data)]])</f>
        <v>1</v>
      </c>
      <c r="M3" t="str">
        <f>Table_TRM_Fixtures[[#This Row],[No. of Lamps  (TRM Data)]]</f>
        <v>N/A</v>
      </c>
      <c r="N3" t="s">
        <v>186</v>
      </c>
      <c r="O3" t="s">
        <v>186</v>
      </c>
      <c r="P3" t="s">
        <v>187</v>
      </c>
      <c r="S3" t="s">
        <v>188</v>
      </c>
      <c r="T3" t="str">
        <f>Table_TRM_Fixtures[[#This Row],[Fixture code  (TRM Data)]]</f>
        <v>LED001-SCRW</v>
      </c>
      <c r="U3" t="s">
        <v>2883</v>
      </c>
      <c r="V3" t="s">
        <v>185</v>
      </c>
      <c r="W3" t="s">
        <v>3120</v>
      </c>
      <c r="X3" t="s">
        <v>186</v>
      </c>
      <c r="AA3">
        <f>IF(Table_TRM_Fixtures[[#This Row],[Pre-EISA Baseline]]="Nominal", Table_TRM_Fixtures[[#This Row],[Fixture Watts  (TRM Data)]], Table_TRM_Fixtures[[#This Row],[Modified Baseline Fixture Watts]])</f>
        <v>1</v>
      </c>
    </row>
    <row r="4" spans="1:27" x14ac:dyDescent="0.2">
      <c r="A4" t="s">
        <v>191</v>
      </c>
      <c r="B4" t="s">
        <v>3121</v>
      </c>
      <c r="C4" t="s">
        <v>3122</v>
      </c>
      <c r="D4" t="s">
        <v>3123</v>
      </c>
      <c r="E4" t="s">
        <v>187</v>
      </c>
      <c r="F4" t="s">
        <v>186</v>
      </c>
      <c r="G4" t="s">
        <v>186</v>
      </c>
      <c r="H4">
        <v>2</v>
      </c>
      <c r="I4">
        <v>1</v>
      </c>
      <c r="J4" s="110">
        <v>2</v>
      </c>
      <c r="K4" t="s">
        <v>185</v>
      </c>
      <c r="L4">
        <f>IF(Table_TRM_Fixtures[[#This Row],[Technology]]="LED", Table_TRM_Fixtures[[#This Row],[Fixture Watts  (TRM Data)]], Table_TRM_Fixtures[[#This Row],[Lamp Watts  (TRM Data)]])</f>
        <v>2</v>
      </c>
      <c r="M4" t="str">
        <f>Table_TRM_Fixtures[[#This Row],[No. of Lamps  (TRM Data)]]</f>
        <v>N/A</v>
      </c>
      <c r="N4" t="s">
        <v>186</v>
      </c>
      <c r="O4" t="s">
        <v>186</v>
      </c>
      <c r="P4" t="s">
        <v>187</v>
      </c>
      <c r="S4" t="s">
        <v>190</v>
      </c>
      <c r="T4" t="str">
        <f>Table_TRM_Fixtures[[#This Row],[Fixture code  (TRM Data)]]</f>
        <v>LED002-SCRW</v>
      </c>
      <c r="U4" t="s">
        <v>2883</v>
      </c>
      <c r="V4" t="s">
        <v>185</v>
      </c>
      <c r="W4" t="s">
        <v>3120</v>
      </c>
      <c r="X4" t="s">
        <v>186</v>
      </c>
      <c r="AA4">
        <f>IF(Table_TRM_Fixtures[[#This Row],[Pre-EISA Baseline]]="Nominal", Table_TRM_Fixtures[[#This Row],[Fixture Watts  (TRM Data)]], Table_TRM_Fixtures[[#This Row],[Modified Baseline Fixture Watts]])</f>
        <v>2</v>
      </c>
    </row>
    <row r="5" spans="1:27" x14ac:dyDescent="0.2">
      <c r="A5" t="s">
        <v>193</v>
      </c>
      <c r="B5" t="s">
        <v>3124</v>
      </c>
      <c r="C5" t="s">
        <v>3125</v>
      </c>
      <c r="D5" t="s">
        <v>3126</v>
      </c>
      <c r="E5" t="s">
        <v>187</v>
      </c>
      <c r="F5" t="s">
        <v>186</v>
      </c>
      <c r="G5" t="s">
        <v>186</v>
      </c>
      <c r="H5">
        <v>3</v>
      </c>
      <c r="I5">
        <v>1</v>
      </c>
      <c r="J5" s="110">
        <v>3</v>
      </c>
      <c r="K5" t="s">
        <v>185</v>
      </c>
      <c r="L5">
        <f>IF(Table_TRM_Fixtures[[#This Row],[Technology]]="LED", Table_TRM_Fixtures[[#This Row],[Fixture Watts  (TRM Data)]], Table_TRM_Fixtures[[#This Row],[Lamp Watts  (TRM Data)]])</f>
        <v>3</v>
      </c>
      <c r="M5" t="str">
        <f>Table_TRM_Fixtures[[#This Row],[No. of Lamps  (TRM Data)]]</f>
        <v>N/A</v>
      </c>
      <c r="N5" t="s">
        <v>186</v>
      </c>
      <c r="O5" t="s">
        <v>186</v>
      </c>
      <c r="P5" t="s">
        <v>187</v>
      </c>
      <c r="S5" t="s">
        <v>192</v>
      </c>
      <c r="T5" t="str">
        <f>Table_TRM_Fixtures[[#This Row],[Fixture code  (TRM Data)]]</f>
        <v>LED003-SCRW</v>
      </c>
      <c r="U5" t="s">
        <v>2883</v>
      </c>
      <c r="V5" t="s">
        <v>185</v>
      </c>
      <c r="W5" t="s">
        <v>3120</v>
      </c>
      <c r="X5" t="s">
        <v>186</v>
      </c>
      <c r="AA5">
        <f>IF(Table_TRM_Fixtures[[#This Row],[Pre-EISA Baseline]]="Nominal", Table_TRM_Fixtures[[#This Row],[Fixture Watts  (TRM Data)]], Table_TRM_Fixtures[[#This Row],[Modified Baseline Fixture Watts]])</f>
        <v>3</v>
      </c>
    </row>
    <row r="6" spans="1:27" x14ac:dyDescent="0.2">
      <c r="A6" t="s">
        <v>195</v>
      </c>
      <c r="B6" t="s">
        <v>3127</v>
      </c>
      <c r="C6" t="s">
        <v>3128</v>
      </c>
      <c r="D6" t="s">
        <v>3129</v>
      </c>
      <c r="E6" t="s">
        <v>187</v>
      </c>
      <c r="F6" t="s">
        <v>186</v>
      </c>
      <c r="G6" t="s">
        <v>186</v>
      </c>
      <c r="H6">
        <v>4</v>
      </c>
      <c r="I6">
        <v>1</v>
      </c>
      <c r="J6" s="110">
        <v>4</v>
      </c>
      <c r="K6" t="s">
        <v>185</v>
      </c>
      <c r="L6">
        <f>IF(Table_TRM_Fixtures[[#This Row],[Technology]]="LED", Table_TRM_Fixtures[[#This Row],[Fixture Watts  (TRM Data)]], Table_TRM_Fixtures[[#This Row],[Lamp Watts  (TRM Data)]])</f>
        <v>4</v>
      </c>
      <c r="M6" t="str">
        <f>Table_TRM_Fixtures[[#This Row],[No. of Lamps  (TRM Data)]]</f>
        <v>N/A</v>
      </c>
      <c r="N6" t="s">
        <v>186</v>
      </c>
      <c r="O6" t="s">
        <v>186</v>
      </c>
      <c r="P6" t="s">
        <v>187</v>
      </c>
      <c r="S6" t="s">
        <v>194</v>
      </c>
      <c r="T6" t="str">
        <f>Table_TRM_Fixtures[[#This Row],[Fixture code  (TRM Data)]]</f>
        <v>LED004-SCRW</v>
      </c>
      <c r="U6" t="s">
        <v>2883</v>
      </c>
      <c r="V6" t="s">
        <v>185</v>
      </c>
      <c r="W6" t="s">
        <v>3120</v>
      </c>
      <c r="X6" t="s">
        <v>186</v>
      </c>
      <c r="AA6">
        <f>IF(Table_TRM_Fixtures[[#This Row],[Pre-EISA Baseline]]="Nominal", Table_TRM_Fixtures[[#This Row],[Fixture Watts  (TRM Data)]], Table_TRM_Fixtures[[#This Row],[Modified Baseline Fixture Watts]])</f>
        <v>4</v>
      </c>
    </row>
    <row r="7" spans="1:27" x14ac:dyDescent="0.2">
      <c r="A7" t="s">
        <v>197</v>
      </c>
      <c r="B7" t="s">
        <v>3130</v>
      </c>
      <c r="C7" t="s">
        <v>3131</v>
      </c>
      <c r="D7" t="s">
        <v>3132</v>
      </c>
      <c r="E7" t="s">
        <v>187</v>
      </c>
      <c r="F7" t="s">
        <v>186</v>
      </c>
      <c r="G7" t="s">
        <v>186</v>
      </c>
      <c r="H7">
        <v>5</v>
      </c>
      <c r="I7">
        <v>1</v>
      </c>
      <c r="J7" s="110">
        <v>5</v>
      </c>
      <c r="K7" t="s">
        <v>185</v>
      </c>
      <c r="L7">
        <f>IF(Table_TRM_Fixtures[[#This Row],[Technology]]="LED", Table_TRM_Fixtures[[#This Row],[Fixture Watts  (TRM Data)]], Table_TRM_Fixtures[[#This Row],[Lamp Watts  (TRM Data)]])</f>
        <v>5</v>
      </c>
      <c r="M7" t="str">
        <f>Table_TRM_Fixtures[[#This Row],[No. of Lamps  (TRM Data)]]</f>
        <v>N/A</v>
      </c>
      <c r="N7" t="s">
        <v>186</v>
      </c>
      <c r="O7" t="s">
        <v>186</v>
      </c>
      <c r="P7" t="s">
        <v>187</v>
      </c>
      <c r="S7" t="s">
        <v>196</v>
      </c>
      <c r="T7" t="str">
        <f>Table_TRM_Fixtures[[#This Row],[Fixture code  (TRM Data)]]</f>
        <v>LED005-SCRW</v>
      </c>
      <c r="U7" t="s">
        <v>2883</v>
      </c>
      <c r="V7" t="s">
        <v>185</v>
      </c>
      <c r="W7" t="s">
        <v>3120</v>
      </c>
      <c r="X7" t="s">
        <v>186</v>
      </c>
      <c r="AA7">
        <f>IF(Table_TRM_Fixtures[[#This Row],[Pre-EISA Baseline]]="Nominal", Table_TRM_Fixtures[[#This Row],[Fixture Watts  (TRM Data)]], Table_TRM_Fixtures[[#This Row],[Modified Baseline Fixture Watts]])</f>
        <v>5</v>
      </c>
    </row>
    <row r="8" spans="1:27" x14ac:dyDescent="0.2">
      <c r="A8" t="s">
        <v>199</v>
      </c>
      <c r="B8" t="s">
        <v>3133</v>
      </c>
      <c r="C8" t="s">
        <v>3134</v>
      </c>
      <c r="D8" t="s">
        <v>3135</v>
      </c>
      <c r="E8" t="s">
        <v>187</v>
      </c>
      <c r="F8" t="s">
        <v>186</v>
      </c>
      <c r="G8" t="s">
        <v>186</v>
      </c>
      <c r="H8">
        <v>6</v>
      </c>
      <c r="I8">
        <v>1</v>
      </c>
      <c r="J8" s="110">
        <v>6</v>
      </c>
      <c r="K8" t="s">
        <v>185</v>
      </c>
      <c r="L8">
        <f>IF(Table_TRM_Fixtures[[#This Row],[Technology]]="LED", Table_TRM_Fixtures[[#This Row],[Fixture Watts  (TRM Data)]], Table_TRM_Fixtures[[#This Row],[Lamp Watts  (TRM Data)]])</f>
        <v>6</v>
      </c>
      <c r="M8" t="str">
        <f>Table_TRM_Fixtures[[#This Row],[No. of Lamps  (TRM Data)]]</f>
        <v>N/A</v>
      </c>
      <c r="N8" t="s">
        <v>186</v>
      </c>
      <c r="O8" t="s">
        <v>186</v>
      </c>
      <c r="P8" t="s">
        <v>187</v>
      </c>
      <c r="S8" t="s">
        <v>198</v>
      </c>
      <c r="T8" t="str">
        <f>Table_TRM_Fixtures[[#This Row],[Fixture code  (TRM Data)]]</f>
        <v>LED006-SCRW</v>
      </c>
      <c r="U8" t="s">
        <v>2883</v>
      </c>
      <c r="V8" t="s">
        <v>185</v>
      </c>
      <c r="W8" t="s">
        <v>3120</v>
      </c>
      <c r="X8" t="s">
        <v>186</v>
      </c>
      <c r="AA8">
        <f>IF(Table_TRM_Fixtures[[#This Row],[Pre-EISA Baseline]]="Nominal", Table_TRM_Fixtures[[#This Row],[Fixture Watts  (TRM Data)]], Table_TRM_Fixtures[[#This Row],[Modified Baseline Fixture Watts]])</f>
        <v>6</v>
      </c>
    </row>
    <row r="9" spans="1:27" x14ac:dyDescent="0.2">
      <c r="A9" t="s">
        <v>201</v>
      </c>
      <c r="B9" t="s">
        <v>3136</v>
      </c>
      <c r="C9" t="s">
        <v>3137</v>
      </c>
      <c r="D9" t="s">
        <v>3138</v>
      </c>
      <c r="E9" t="s">
        <v>187</v>
      </c>
      <c r="F9" t="s">
        <v>186</v>
      </c>
      <c r="G9" t="s">
        <v>186</v>
      </c>
      <c r="H9">
        <v>7</v>
      </c>
      <c r="I9">
        <v>1</v>
      </c>
      <c r="J9" s="110">
        <v>7</v>
      </c>
      <c r="K9" t="s">
        <v>185</v>
      </c>
      <c r="L9">
        <f>IF(Table_TRM_Fixtures[[#This Row],[Technology]]="LED", Table_TRM_Fixtures[[#This Row],[Fixture Watts  (TRM Data)]], Table_TRM_Fixtures[[#This Row],[Lamp Watts  (TRM Data)]])</f>
        <v>7</v>
      </c>
      <c r="M9" t="str">
        <f>Table_TRM_Fixtures[[#This Row],[No. of Lamps  (TRM Data)]]</f>
        <v>N/A</v>
      </c>
      <c r="N9" t="s">
        <v>186</v>
      </c>
      <c r="O9" t="s">
        <v>186</v>
      </c>
      <c r="P9" t="s">
        <v>187</v>
      </c>
      <c r="S9" t="s">
        <v>200</v>
      </c>
      <c r="T9" t="str">
        <f>Table_TRM_Fixtures[[#This Row],[Fixture code  (TRM Data)]]</f>
        <v>LED007-SCRW</v>
      </c>
      <c r="U9" t="s">
        <v>2883</v>
      </c>
      <c r="V9" t="s">
        <v>185</v>
      </c>
      <c r="W9" t="s">
        <v>3120</v>
      </c>
      <c r="X9" t="s">
        <v>186</v>
      </c>
      <c r="AA9">
        <f>IF(Table_TRM_Fixtures[[#This Row],[Pre-EISA Baseline]]="Nominal", Table_TRM_Fixtures[[#This Row],[Fixture Watts  (TRM Data)]], Table_TRM_Fixtures[[#This Row],[Modified Baseline Fixture Watts]])</f>
        <v>7</v>
      </c>
    </row>
    <row r="10" spans="1:27" x14ac:dyDescent="0.2">
      <c r="A10" t="s">
        <v>203</v>
      </c>
      <c r="B10" t="s">
        <v>3139</v>
      </c>
      <c r="C10" t="s">
        <v>3140</v>
      </c>
      <c r="D10" t="s">
        <v>3141</v>
      </c>
      <c r="E10" t="s">
        <v>187</v>
      </c>
      <c r="F10" t="s">
        <v>186</v>
      </c>
      <c r="G10" t="s">
        <v>186</v>
      </c>
      <c r="H10">
        <v>8</v>
      </c>
      <c r="I10">
        <v>1</v>
      </c>
      <c r="J10" s="110">
        <v>8</v>
      </c>
      <c r="K10" t="s">
        <v>185</v>
      </c>
      <c r="L10">
        <f>IF(Table_TRM_Fixtures[[#This Row],[Technology]]="LED", Table_TRM_Fixtures[[#This Row],[Fixture Watts  (TRM Data)]], Table_TRM_Fixtures[[#This Row],[Lamp Watts  (TRM Data)]])</f>
        <v>8</v>
      </c>
      <c r="M10" t="str">
        <f>Table_TRM_Fixtures[[#This Row],[No. of Lamps  (TRM Data)]]</f>
        <v>N/A</v>
      </c>
      <c r="N10" t="s">
        <v>186</v>
      </c>
      <c r="O10" t="s">
        <v>186</v>
      </c>
      <c r="P10" t="s">
        <v>187</v>
      </c>
      <c r="S10" t="s">
        <v>202</v>
      </c>
      <c r="T10" t="str">
        <f>Table_TRM_Fixtures[[#This Row],[Fixture code  (TRM Data)]]</f>
        <v>LED008-SCRW</v>
      </c>
      <c r="U10" t="s">
        <v>2883</v>
      </c>
      <c r="V10" t="s">
        <v>185</v>
      </c>
      <c r="W10" t="s">
        <v>3120</v>
      </c>
      <c r="X10" t="s">
        <v>186</v>
      </c>
      <c r="AA10">
        <f>IF(Table_TRM_Fixtures[[#This Row],[Pre-EISA Baseline]]="Nominal", Table_TRM_Fixtures[[#This Row],[Fixture Watts  (TRM Data)]], Table_TRM_Fixtures[[#This Row],[Modified Baseline Fixture Watts]])</f>
        <v>8</v>
      </c>
    </row>
    <row r="11" spans="1:27" x14ac:dyDescent="0.2">
      <c r="A11" t="s">
        <v>205</v>
      </c>
      <c r="B11" t="s">
        <v>3142</v>
      </c>
      <c r="C11" t="s">
        <v>3143</v>
      </c>
      <c r="D11" t="s">
        <v>3144</v>
      </c>
      <c r="E11" t="s">
        <v>187</v>
      </c>
      <c r="F11" t="s">
        <v>186</v>
      </c>
      <c r="G11" t="s">
        <v>186</v>
      </c>
      <c r="H11">
        <v>9</v>
      </c>
      <c r="I11">
        <v>1</v>
      </c>
      <c r="J11" s="110">
        <v>9</v>
      </c>
      <c r="K11" t="s">
        <v>185</v>
      </c>
      <c r="L11">
        <f>IF(Table_TRM_Fixtures[[#This Row],[Technology]]="LED", Table_TRM_Fixtures[[#This Row],[Fixture Watts  (TRM Data)]], Table_TRM_Fixtures[[#This Row],[Lamp Watts  (TRM Data)]])</f>
        <v>9</v>
      </c>
      <c r="M11" t="str">
        <f>Table_TRM_Fixtures[[#This Row],[No. of Lamps  (TRM Data)]]</f>
        <v>N/A</v>
      </c>
      <c r="N11" t="s">
        <v>186</v>
      </c>
      <c r="O11" t="s">
        <v>186</v>
      </c>
      <c r="P11" t="s">
        <v>187</v>
      </c>
      <c r="S11" t="s">
        <v>204</v>
      </c>
      <c r="T11" t="str">
        <f>Table_TRM_Fixtures[[#This Row],[Fixture code  (TRM Data)]]</f>
        <v>LED009-SCRW</v>
      </c>
      <c r="U11" t="s">
        <v>2883</v>
      </c>
      <c r="V11" t="s">
        <v>185</v>
      </c>
      <c r="W11" t="s">
        <v>3120</v>
      </c>
      <c r="X11" t="s">
        <v>186</v>
      </c>
      <c r="AA11">
        <f>IF(Table_TRM_Fixtures[[#This Row],[Pre-EISA Baseline]]="Nominal", Table_TRM_Fixtures[[#This Row],[Fixture Watts  (TRM Data)]], Table_TRM_Fixtures[[#This Row],[Modified Baseline Fixture Watts]])</f>
        <v>9</v>
      </c>
    </row>
    <row r="12" spans="1:27" x14ac:dyDescent="0.2">
      <c r="A12" t="s">
        <v>207</v>
      </c>
      <c r="B12" t="s">
        <v>3145</v>
      </c>
      <c r="C12" t="s">
        <v>3146</v>
      </c>
      <c r="D12" t="s">
        <v>3147</v>
      </c>
      <c r="E12" t="s">
        <v>187</v>
      </c>
      <c r="F12" t="s">
        <v>186</v>
      </c>
      <c r="G12" t="s">
        <v>186</v>
      </c>
      <c r="H12">
        <v>10</v>
      </c>
      <c r="I12">
        <v>1</v>
      </c>
      <c r="J12" s="110">
        <v>10</v>
      </c>
      <c r="K12" t="s">
        <v>185</v>
      </c>
      <c r="L12">
        <f>IF(Table_TRM_Fixtures[[#This Row],[Technology]]="LED", Table_TRM_Fixtures[[#This Row],[Fixture Watts  (TRM Data)]], Table_TRM_Fixtures[[#This Row],[Lamp Watts  (TRM Data)]])</f>
        <v>10</v>
      </c>
      <c r="M12" t="str">
        <f>Table_TRM_Fixtures[[#This Row],[No. of Lamps  (TRM Data)]]</f>
        <v>N/A</v>
      </c>
      <c r="N12" t="s">
        <v>186</v>
      </c>
      <c r="O12" t="s">
        <v>186</v>
      </c>
      <c r="P12" t="s">
        <v>187</v>
      </c>
      <c r="S12" t="s">
        <v>206</v>
      </c>
      <c r="T12" t="str">
        <f>Table_TRM_Fixtures[[#This Row],[Fixture code  (TRM Data)]]</f>
        <v>LED010-SCRW</v>
      </c>
      <c r="U12" t="s">
        <v>2883</v>
      </c>
      <c r="V12" t="s">
        <v>185</v>
      </c>
      <c r="W12" t="s">
        <v>3120</v>
      </c>
      <c r="X12" t="s">
        <v>186</v>
      </c>
      <c r="AA12">
        <f>IF(Table_TRM_Fixtures[[#This Row],[Pre-EISA Baseline]]="Nominal", Table_TRM_Fixtures[[#This Row],[Fixture Watts  (TRM Data)]], Table_TRM_Fixtures[[#This Row],[Modified Baseline Fixture Watts]])</f>
        <v>10</v>
      </c>
    </row>
    <row r="13" spans="1:27" x14ac:dyDescent="0.2">
      <c r="A13" t="s">
        <v>209</v>
      </c>
      <c r="B13" t="s">
        <v>3148</v>
      </c>
      <c r="C13" t="s">
        <v>3149</v>
      </c>
      <c r="D13" t="s">
        <v>3150</v>
      </c>
      <c r="E13" t="s">
        <v>187</v>
      </c>
      <c r="F13" t="s">
        <v>186</v>
      </c>
      <c r="G13" t="s">
        <v>186</v>
      </c>
      <c r="H13">
        <v>11</v>
      </c>
      <c r="I13">
        <v>1</v>
      </c>
      <c r="J13" s="110">
        <v>11</v>
      </c>
      <c r="K13" t="s">
        <v>185</v>
      </c>
      <c r="L13">
        <f>IF(Table_TRM_Fixtures[[#This Row],[Technology]]="LED", Table_TRM_Fixtures[[#This Row],[Fixture Watts  (TRM Data)]], Table_TRM_Fixtures[[#This Row],[Lamp Watts  (TRM Data)]])</f>
        <v>11</v>
      </c>
      <c r="M13" t="str">
        <f>Table_TRM_Fixtures[[#This Row],[No. of Lamps  (TRM Data)]]</f>
        <v>N/A</v>
      </c>
      <c r="N13" t="s">
        <v>186</v>
      </c>
      <c r="O13" t="s">
        <v>186</v>
      </c>
      <c r="P13" t="s">
        <v>187</v>
      </c>
      <c r="S13" t="s">
        <v>208</v>
      </c>
      <c r="T13" t="str">
        <f>Table_TRM_Fixtures[[#This Row],[Fixture code  (TRM Data)]]</f>
        <v>LED011-SCRW</v>
      </c>
      <c r="U13" t="s">
        <v>2883</v>
      </c>
      <c r="V13" t="s">
        <v>185</v>
      </c>
      <c r="W13" t="s">
        <v>3120</v>
      </c>
      <c r="X13" t="s">
        <v>186</v>
      </c>
      <c r="AA13">
        <f>IF(Table_TRM_Fixtures[[#This Row],[Pre-EISA Baseline]]="Nominal", Table_TRM_Fixtures[[#This Row],[Fixture Watts  (TRM Data)]], Table_TRM_Fixtures[[#This Row],[Modified Baseline Fixture Watts]])</f>
        <v>11</v>
      </c>
    </row>
    <row r="14" spans="1:27" x14ac:dyDescent="0.2">
      <c r="A14" t="s">
        <v>211</v>
      </c>
      <c r="B14" t="s">
        <v>3151</v>
      </c>
      <c r="C14" t="s">
        <v>3152</v>
      </c>
      <c r="D14" t="s">
        <v>3153</v>
      </c>
      <c r="E14" t="s">
        <v>187</v>
      </c>
      <c r="F14" t="s">
        <v>186</v>
      </c>
      <c r="G14" t="s">
        <v>186</v>
      </c>
      <c r="H14">
        <v>12</v>
      </c>
      <c r="I14">
        <v>1</v>
      </c>
      <c r="J14" s="110">
        <v>12</v>
      </c>
      <c r="K14" t="s">
        <v>185</v>
      </c>
      <c r="L14">
        <f>IF(Table_TRM_Fixtures[[#This Row],[Technology]]="LED", Table_TRM_Fixtures[[#This Row],[Fixture Watts  (TRM Data)]], Table_TRM_Fixtures[[#This Row],[Lamp Watts  (TRM Data)]])</f>
        <v>12</v>
      </c>
      <c r="M14" t="str">
        <f>Table_TRM_Fixtures[[#This Row],[No. of Lamps  (TRM Data)]]</f>
        <v>N/A</v>
      </c>
      <c r="N14" t="s">
        <v>186</v>
      </c>
      <c r="O14" t="s">
        <v>186</v>
      </c>
      <c r="P14" t="s">
        <v>187</v>
      </c>
      <c r="S14" t="s">
        <v>210</v>
      </c>
      <c r="T14" t="str">
        <f>Table_TRM_Fixtures[[#This Row],[Fixture code  (TRM Data)]]</f>
        <v>LED012-SCRW</v>
      </c>
      <c r="U14" t="s">
        <v>2883</v>
      </c>
      <c r="V14" t="s">
        <v>185</v>
      </c>
      <c r="W14" t="s">
        <v>3120</v>
      </c>
      <c r="X14" t="s">
        <v>186</v>
      </c>
      <c r="AA14">
        <f>IF(Table_TRM_Fixtures[[#This Row],[Pre-EISA Baseline]]="Nominal", Table_TRM_Fixtures[[#This Row],[Fixture Watts  (TRM Data)]], Table_TRM_Fixtures[[#This Row],[Modified Baseline Fixture Watts]])</f>
        <v>12</v>
      </c>
    </row>
    <row r="15" spans="1:27" x14ac:dyDescent="0.2">
      <c r="A15" t="s">
        <v>213</v>
      </c>
      <c r="B15" t="s">
        <v>3154</v>
      </c>
      <c r="C15" t="s">
        <v>3155</v>
      </c>
      <c r="D15" t="s">
        <v>3156</v>
      </c>
      <c r="E15" t="s">
        <v>187</v>
      </c>
      <c r="F15" t="s">
        <v>186</v>
      </c>
      <c r="G15" t="s">
        <v>186</v>
      </c>
      <c r="H15">
        <v>13</v>
      </c>
      <c r="I15">
        <v>1</v>
      </c>
      <c r="J15" s="110">
        <v>13</v>
      </c>
      <c r="K15" t="s">
        <v>185</v>
      </c>
      <c r="L15">
        <f>IF(Table_TRM_Fixtures[[#This Row],[Technology]]="LED", Table_TRM_Fixtures[[#This Row],[Fixture Watts  (TRM Data)]], Table_TRM_Fixtures[[#This Row],[Lamp Watts  (TRM Data)]])</f>
        <v>13</v>
      </c>
      <c r="M15" t="str">
        <f>Table_TRM_Fixtures[[#This Row],[No. of Lamps  (TRM Data)]]</f>
        <v>N/A</v>
      </c>
      <c r="N15" t="s">
        <v>186</v>
      </c>
      <c r="O15" t="s">
        <v>186</v>
      </c>
      <c r="P15" t="s">
        <v>187</v>
      </c>
      <c r="S15" t="s">
        <v>212</v>
      </c>
      <c r="T15" t="str">
        <f>Table_TRM_Fixtures[[#This Row],[Fixture code  (TRM Data)]]</f>
        <v>LED013-SCRW</v>
      </c>
      <c r="U15" t="s">
        <v>2883</v>
      </c>
      <c r="V15" t="s">
        <v>185</v>
      </c>
      <c r="W15" t="s">
        <v>3120</v>
      </c>
      <c r="X15" t="s">
        <v>186</v>
      </c>
      <c r="AA15">
        <f>IF(Table_TRM_Fixtures[[#This Row],[Pre-EISA Baseline]]="Nominal", Table_TRM_Fixtures[[#This Row],[Fixture Watts  (TRM Data)]], Table_TRM_Fixtures[[#This Row],[Modified Baseline Fixture Watts]])</f>
        <v>13</v>
      </c>
    </row>
    <row r="16" spans="1:27" x14ac:dyDescent="0.2">
      <c r="A16" t="s">
        <v>215</v>
      </c>
      <c r="B16" t="s">
        <v>3157</v>
      </c>
      <c r="C16" t="s">
        <v>3158</v>
      </c>
      <c r="D16" t="s">
        <v>3159</v>
      </c>
      <c r="E16" t="s">
        <v>187</v>
      </c>
      <c r="F16" t="s">
        <v>186</v>
      </c>
      <c r="G16" t="s">
        <v>186</v>
      </c>
      <c r="H16">
        <v>14</v>
      </c>
      <c r="I16">
        <v>1</v>
      </c>
      <c r="J16" s="110">
        <v>14</v>
      </c>
      <c r="K16" t="s">
        <v>185</v>
      </c>
      <c r="L16">
        <f>IF(Table_TRM_Fixtures[[#This Row],[Technology]]="LED", Table_TRM_Fixtures[[#This Row],[Fixture Watts  (TRM Data)]], Table_TRM_Fixtures[[#This Row],[Lamp Watts  (TRM Data)]])</f>
        <v>14</v>
      </c>
      <c r="M16" t="str">
        <f>Table_TRM_Fixtures[[#This Row],[No. of Lamps  (TRM Data)]]</f>
        <v>N/A</v>
      </c>
      <c r="N16" t="s">
        <v>186</v>
      </c>
      <c r="O16" t="s">
        <v>186</v>
      </c>
      <c r="P16" t="s">
        <v>187</v>
      </c>
      <c r="S16" t="s">
        <v>214</v>
      </c>
      <c r="T16" t="str">
        <f>Table_TRM_Fixtures[[#This Row],[Fixture code  (TRM Data)]]</f>
        <v>LED014-SCRW</v>
      </c>
      <c r="U16" t="s">
        <v>2883</v>
      </c>
      <c r="V16" t="s">
        <v>185</v>
      </c>
      <c r="W16" t="s">
        <v>3120</v>
      </c>
      <c r="X16" t="s">
        <v>186</v>
      </c>
      <c r="AA16">
        <f>IF(Table_TRM_Fixtures[[#This Row],[Pre-EISA Baseline]]="Nominal", Table_TRM_Fixtures[[#This Row],[Fixture Watts  (TRM Data)]], Table_TRM_Fixtures[[#This Row],[Modified Baseline Fixture Watts]])</f>
        <v>14</v>
      </c>
    </row>
    <row r="17" spans="1:27" x14ac:dyDescent="0.2">
      <c r="A17" t="s">
        <v>217</v>
      </c>
      <c r="B17" t="s">
        <v>3160</v>
      </c>
      <c r="C17" t="s">
        <v>3161</v>
      </c>
      <c r="D17" t="s">
        <v>3162</v>
      </c>
      <c r="E17" t="s">
        <v>187</v>
      </c>
      <c r="F17" t="s">
        <v>186</v>
      </c>
      <c r="G17" t="s">
        <v>186</v>
      </c>
      <c r="H17">
        <v>15</v>
      </c>
      <c r="I17">
        <v>1</v>
      </c>
      <c r="J17" s="110">
        <v>15</v>
      </c>
      <c r="K17" t="s">
        <v>185</v>
      </c>
      <c r="L17">
        <f>IF(Table_TRM_Fixtures[[#This Row],[Technology]]="LED", Table_TRM_Fixtures[[#This Row],[Fixture Watts  (TRM Data)]], Table_TRM_Fixtures[[#This Row],[Lamp Watts  (TRM Data)]])</f>
        <v>15</v>
      </c>
      <c r="M17" t="str">
        <f>Table_TRM_Fixtures[[#This Row],[No. of Lamps  (TRM Data)]]</f>
        <v>N/A</v>
      </c>
      <c r="N17" t="s">
        <v>186</v>
      </c>
      <c r="O17" t="s">
        <v>186</v>
      </c>
      <c r="P17" t="s">
        <v>187</v>
      </c>
      <c r="S17" t="s">
        <v>216</v>
      </c>
      <c r="T17" t="str">
        <f>Table_TRM_Fixtures[[#This Row],[Fixture code  (TRM Data)]]</f>
        <v>LED015-SCRW</v>
      </c>
      <c r="U17" t="s">
        <v>2883</v>
      </c>
      <c r="V17" t="s">
        <v>185</v>
      </c>
      <c r="W17" t="s">
        <v>3120</v>
      </c>
      <c r="X17" t="s">
        <v>186</v>
      </c>
      <c r="AA17">
        <f>IF(Table_TRM_Fixtures[[#This Row],[Pre-EISA Baseline]]="Nominal", Table_TRM_Fixtures[[#This Row],[Fixture Watts  (TRM Data)]], Table_TRM_Fixtures[[#This Row],[Modified Baseline Fixture Watts]])</f>
        <v>15</v>
      </c>
    </row>
    <row r="18" spans="1:27" x14ac:dyDescent="0.2">
      <c r="A18" t="s">
        <v>219</v>
      </c>
      <c r="B18" t="s">
        <v>3163</v>
      </c>
      <c r="C18" t="s">
        <v>3164</v>
      </c>
      <c r="D18" t="s">
        <v>3165</v>
      </c>
      <c r="E18" t="s">
        <v>187</v>
      </c>
      <c r="F18" t="s">
        <v>186</v>
      </c>
      <c r="G18" t="s">
        <v>186</v>
      </c>
      <c r="H18">
        <v>16</v>
      </c>
      <c r="I18">
        <v>1</v>
      </c>
      <c r="J18" s="110">
        <v>16</v>
      </c>
      <c r="K18" t="s">
        <v>185</v>
      </c>
      <c r="L18">
        <f>IF(Table_TRM_Fixtures[[#This Row],[Technology]]="LED", Table_TRM_Fixtures[[#This Row],[Fixture Watts  (TRM Data)]], Table_TRM_Fixtures[[#This Row],[Lamp Watts  (TRM Data)]])</f>
        <v>16</v>
      </c>
      <c r="M18" t="str">
        <f>Table_TRM_Fixtures[[#This Row],[No. of Lamps  (TRM Data)]]</f>
        <v>N/A</v>
      </c>
      <c r="N18" t="s">
        <v>186</v>
      </c>
      <c r="O18" t="s">
        <v>186</v>
      </c>
      <c r="P18" t="s">
        <v>187</v>
      </c>
      <c r="S18" t="s">
        <v>218</v>
      </c>
      <c r="T18" t="str">
        <f>Table_TRM_Fixtures[[#This Row],[Fixture code  (TRM Data)]]</f>
        <v>LED016-SCRW</v>
      </c>
      <c r="U18" t="s">
        <v>2883</v>
      </c>
      <c r="V18" t="s">
        <v>185</v>
      </c>
      <c r="W18" t="s">
        <v>3120</v>
      </c>
      <c r="X18" t="s">
        <v>186</v>
      </c>
      <c r="AA18">
        <f>IF(Table_TRM_Fixtures[[#This Row],[Pre-EISA Baseline]]="Nominal", Table_TRM_Fixtures[[#This Row],[Fixture Watts  (TRM Data)]], Table_TRM_Fixtures[[#This Row],[Modified Baseline Fixture Watts]])</f>
        <v>16</v>
      </c>
    </row>
    <row r="19" spans="1:27" x14ac:dyDescent="0.2">
      <c r="A19" t="s">
        <v>221</v>
      </c>
      <c r="B19" t="s">
        <v>3166</v>
      </c>
      <c r="C19" t="s">
        <v>3167</v>
      </c>
      <c r="D19" t="s">
        <v>3168</v>
      </c>
      <c r="E19" t="s">
        <v>187</v>
      </c>
      <c r="F19" t="s">
        <v>186</v>
      </c>
      <c r="G19" t="s">
        <v>186</v>
      </c>
      <c r="H19">
        <v>17</v>
      </c>
      <c r="I19">
        <v>1</v>
      </c>
      <c r="J19" s="110">
        <v>17</v>
      </c>
      <c r="K19" t="s">
        <v>185</v>
      </c>
      <c r="L19">
        <f>IF(Table_TRM_Fixtures[[#This Row],[Technology]]="LED", Table_TRM_Fixtures[[#This Row],[Fixture Watts  (TRM Data)]], Table_TRM_Fixtures[[#This Row],[Lamp Watts  (TRM Data)]])</f>
        <v>17</v>
      </c>
      <c r="M19" t="str">
        <f>Table_TRM_Fixtures[[#This Row],[No. of Lamps  (TRM Data)]]</f>
        <v>N/A</v>
      </c>
      <c r="N19" t="s">
        <v>186</v>
      </c>
      <c r="O19" t="s">
        <v>186</v>
      </c>
      <c r="P19" t="s">
        <v>187</v>
      </c>
      <c r="S19" t="s">
        <v>220</v>
      </c>
      <c r="T19" t="str">
        <f>Table_TRM_Fixtures[[#This Row],[Fixture code  (TRM Data)]]</f>
        <v>LED017-SCRW</v>
      </c>
      <c r="U19" t="s">
        <v>2883</v>
      </c>
      <c r="V19" t="s">
        <v>185</v>
      </c>
      <c r="W19" t="s">
        <v>3120</v>
      </c>
      <c r="X19" t="s">
        <v>186</v>
      </c>
      <c r="AA19">
        <f>IF(Table_TRM_Fixtures[[#This Row],[Pre-EISA Baseline]]="Nominal", Table_TRM_Fixtures[[#This Row],[Fixture Watts  (TRM Data)]], Table_TRM_Fixtures[[#This Row],[Modified Baseline Fixture Watts]])</f>
        <v>17</v>
      </c>
    </row>
    <row r="20" spans="1:27" x14ac:dyDescent="0.2">
      <c r="A20" t="s">
        <v>223</v>
      </c>
      <c r="B20" t="s">
        <v>3169</v>
      </c>
      <c r="C20" t="s">
        <v>3170</v>
      </c>
      <c r="D20" t="s">
        <v>3171</v>
      </c>
      <c r="E20" t="s">
        <v>187</v>
      </c>
      <c r="F20" t="s">
        <v>186</v>
      </c>
      <c r="G20" t="s">
        <v>186</v>
      </c>
      <c r="H20">
        <v>18</v>
      </c>
      <c r="I20">
        <v>1</v>
      </c>
      <c r="J20" s="110">
        <v>18</v>
      </c>
      <c r="K20" t="s">
        <v>185</v>
      </c>
      <c r="L20">
        <f>IF(Table_TRM_Fixtures[[#This Row],[Technology]]="LED", Table_TRM_Fixtures[[#This Row],[Fixture Watts  (TRM Data)]], Table_TRM_Fixtures[[#This Row],[Lamp Watts  (TRM Data)]])</f>
        <v>18</v>
      </c>
      <c r="M20" t="str">
        <f>Table_TRM_Fixtures[[#This Row],[No. of Lamps  (TRM Data)]]</f>
        <v>N/A</v>
      </c>
      <c r="N20" t="s">
        <v>186</v>
      </c>
      <c r="O20" t="s">
        <v>186</v>
      </c>
      <c r="P20" t="s">
        <v>187</v>
      </c>
      <c r="S20" t="s">
        <v>222</v>
      </c>
      <c r="T20" t="str">
        <f>Table_TRM_Fixtures[[#This Row],[Fixture code  (TRM Data)]]</f>
        <v>LED018-SCRW</v>
      </c>
      <c r="U20" t="s">
        <v>2883</v>
      </c>
      <c r="V20" t="s">
        <v>185</v>
      </c>
      <c r="W20" t="s">
        <v>3120</v>
      </c>
      <c r="X20" t="s">
        <v>186</v>
      </c>
      <c r="AA20">
        <f>IF(Table_TRM_Fixtures[[#This Row],[Pre-EISA Baseline]]="Nominal", Table_TRM_Fixtures[[#This Row],[Fixture Watts  (TRM Data)]], Table_TRM_Fixtures[[#This Row],[Modified Baseline Fixture Watts]])</f>
        <v>18</v>
      </c>
    </row>
    <row r="21" spans="1:27" x14ac:dyDescent="0.2">
      <c r="A21" t="s">
        <v>225</v>
      </c>
      <c r="B21" t="s">
        <v>3172</v>
      </c>
      <c r="C21" t="s">
        <v>3173</v>
      </c>
      <c r="D21" t="s">
        <v>3174</v>
      </c>
      <c r="E21" t="s">
        <v>187</v>
      </c>
      <c r="F21" t="s">
        <v>186</v>
      </c>
      <c r="G21" t="s">
        <v>186</v>
      </c>
      <c r="H21">
        <v>19</v>
      </c>
      <c r="I21">
        <v>1</v>
      </c>
      <c r="J21" s="110">
        <v>19</v>
      </c>
      <c r="K21" t="s">
        <v>185</v>
      </c>
      <c r="L21">
        <f>IF(Table_TRM_Fixtures[[#This Row],[Technology]]="LED", Table_TRM_Fixtures[[#This Row],[Fixture Watts  (TRM Data)]], Table_TRM_Fixtures[[#This Row],[Lamp Watts  (TRM Data)]])</f>
        <v>19</v>
      </c>
      <c r="M21" t="str">
        <f>Table_TRM_Fixtures[[#This Row],[No. of Lamps  (TRM Data)]]</f>
        <v>N/A</v>
      </c>
      <c r="N21" t="s">
        <v>186</v>
      </c>
      <c r="O21" t="s">
        <v>186</v>
      </c>
      <c r="P21" t="s">
        <v>187</v>
      </c>
      <c r="S21" t="s">
        <v>224</v>
      </c>
      <c r="T21" t="str">
        <f>Table_TRM_Fixtures[[#This Row],[Fixture code  (TRM Data)]]</f>
        <v>LED019-SCRW</v>
      </c>
      <c r="U21" t="s">
        <v>2883</v>
      </c>
      <c r="V21" t="s">
        <v>185</v>
      </c>
      <c r="W21" t="s">
        <v>3120</v>
      </c>
      <c r="X21" t="s">
        <v>186</v>
      </c>
      <c r="AA21">
        <f>IF(Table_TRM_Fixtures[[#This Row],[Pre-EISA Baseline]]="Nominal", Table_TRM_Fixtures[[#This Row],[Fixture Watts  (TRM Data)]], Table_TRM_Fixtures[[#This Row],[Modified Baseline Fixture Watts]])</f>
        <v>19</v>
      </c>
    </row>
    <row r="22" spans="1:27" x14ac:dyDescent="0.2">
      <c r="A22" t="s">
        <v>227</v>
      </c>
      <c r="B22" t="s">
        <v>3175</v>
      </c>
      <c r="C22" t="s">
        <v>3176</v>
      </c>
      <c r="D22" t="s">
        <v>3177</v>
      </c>
      <c r="E22" t="s">
        <v>187</v>
      </c>
      <c r="F22" t="s">
        <v>186</v>
      </c>
      <c r="G22" t="s">
        <v>186</v>
      </c>
      <c r="H22">
        <v>20</v>
      </c>
      <c r="I22">
        <v>1</v>
      </c>
      <c r="J22" s="110">
        <v>20</v>
      </c>
      <c r="K22" t="s">
        <v>185</v>
      </c>
      <c r="L22">
        <f>IF(Table_TRM_Fixtures[[#This Row],[Technology]]="LED", Table_TRM_Fixtures[[#This Row],[Fixture Watts  (TRM Data)]], Table_TRM_Fixtures[[#This Row],[Lamp Watts  (TRM Data)]])</f>
        <v>20</v>
      </c>
      <c r="M22" t="str">
        <f>Table_TRM_Fixtures[[#This Row],[No. of Lamps  (TRM Data)]]</f>
        <v>N/A</v>
      </c>
      <c r="N22" t="s">
        <v>186</v>
      </c>
      <c r="O22" t="s">
        <v>186</v>
      </c>
      <c r="P22" t="s">
        <v>187</v>
      </c>
      <c r="S22" t="s">
        <v>226</v>
      </c>
      <c r="T22" t="str">
        <f>Table_TRM_Fixtures[[#This Row],[Fixture code  (TRM Data)]]</f>
        <v>LED020-SCRW</v>
      </c>
      <c r="U22" t="s">
        <v>2883</v>
      </c>
      <c r="V22" t="s">
        <v>185</v>
      </c>
      <c r="W22" t="s">
        <v>3120</v>
      </c>
      <c r="X22" t="s">
        <v>186</v>
      </c>
      <c r="AA22">
        <f>IF(Table_TRM_Fixtures[[#This Row],[Pre-EISA Baseline]]="Nominal", Table_TRM_Fixtures[[#This Row],[Fixture Watts  (TRM Data)]], Table_TRM_Fixtures[[#This Row],[Modified Baseline Fixture Watts]])</f>
        <v>20</v>
      </c>
    </row>
    <row r="23" spans="1:27" x14ac:dyDescent="0.2">
      <c r="A23" t="s">
        <v>229</v>
      </c>
      <c r="B23" t="s">
        <v>3178</v>
      </c>
      <c r="C23" t="s">
        <v>3179</v>
      </c>
      <c r="D23" t="s">
        <v>3180</v>
      </c>
      <c r="E23" t="s">
        <v>187</v>
      </c>
      <c r="F23" t="s">
        <v>186</v>
      </c>
      <c r="G23" t="s">
        <v>186</v>
      </c>
      <c r="H23">
        <v>21</v>
      </c>
      <c r="I23">
        <v>1</v>
      </c>
      <c r="J23" s="110">
        <v>21</v>
      </c>
      <c r="K23" t="s">
        <v>185</v>
      </c>
      <c r="L23">
        <f>IF(Table_TRM_Fixtures[[#This Row],[Technology]]="LED", Table_TRM_Fixtures[[#This Row],[Fixture Watts  (TRM Data)]], Table_TRM_Fixtures[[#This Row],[Lamp Watts  (TRM Data)]])</f>
        <v>21</v>
      </c>
      <c r="M23" t="str">
        <f>Table_TRM_Fixtures[[#This Row],[No. of Lamps  (TRM Data)]]</f>
        <v>N/A</v>
      </c>
      <c r="N23" t="s">
        <v>186</v>
      </c>
      <c r="O23" t="s">
        <v>186</v>
      </c>
      <c r="P23" t="s">
        <v>187</v>
      </c>
      <c r="S23" t="s">
        <v>228</v>
      </c>
      <c r="T23" t="str">
        <f>Table_TRM_Fixtures[[#This Row],[Fixture code  (TRM Data)]]</f>
        <v>LED021-SCRW</v>
      </c>
      <c r="U23" t="s">
        <v>2883</v>
      </c>
      <c r="V23" t="s">
        <v>185</v>
      </c>
      <c r="W23" t="s">
        <v>3120</v>
      </c>
      <c r="X23" t="s">
        <v>186</v>
      </c>
      <c r="AA23">
        <f>IF(Table_TRM_Fixtures[[#This Row],[Pre-EISA Baseline]]="Nominal", Table_TRM_Fixtures[[#This Row],[Fixture Watts  (TRM Data)]], Table_TRM_Fixtures[[#This Row],[Modified Baseline Fixture Watts]])</f>
        <v>21</v>
      </c>
    </row>
    <row r="24" spans="1:27" x14ac:dyDescent="0.2">
      <c r="A24" t="s">
        <v>231</v>
      </c>
      <c r="B24" t="s">
        <v>3181</v>
      </c>
      <c r="C24" t="s">
        <v>3182</v>
      </c>
      <c r="D24" t="s">
        <v>3183</v>
      </c>
      <c r="E24" t="s">
        <v>187</v>
      </c>
      <c r="F24" t="s">
        <v>186</v>
      </c>
      <c r="G24" t="s">
        <v>186</v>
      </c>
      <c r="H24">
        <v>22</v>
      </c>
      <c r="I24">
        <v>1</v>
      </c>
      <c r="J24" s="110">
        <v>22</v>
      </c>
      <c r="K24" t="s">
        <v>185</v>
      </c>
      <c r="L24">
        <f>IF(Table_TRM_Fixtures[[#This Row],[Technology]]="LED", Table_TRM_Fixtures[[#This Row],[Fixture Watts  (TRM Data)]], Table_TRM_Fixtures[[#This Row],[Lamp Watts  (TRM Data)]])</f>
        <v>22</v>
      </c>
      <c r="M24" t="str">
        <f>Table_TRM_Fixtures[[#This Row],[No. of Lamps  (TRM Data)]]</f>
        <v>N/A</v>
      </c>
      <c r="N24" t="s">
        <v>186</v>
      </c>
      <c r="O24" t="s">
        <v>186</v>
      </c>
      <c r="P24" t="s">
        <v>187</v>
      </c>
      <c r="S24" t="s">
        <v>230</v>
      </c>
      <c r="T24" t="str">
        <f>Table_TRM_Fixtures[[#This Row],[Fixture code  (TRM Data)]]</f>
        <v>LED022-SCRW</v>
      </c>
      <c r="U24" t="s">
        <v>2883</v>
      </c>
      <c r="V24" t="s">
        <v>185</v>
      </c>
      <c r="W24" t="s">
        <v>3120</v>
      </c>
      <c r="X24" t="s">
        <v>186</v>
      </c>
      <c r="AA24">
        <f>IF(Table_TRM_Fixtures[[#This Row],[Pre-EISA Baseline]]="Nominal", Table_TRM_Fixtures[[#This Row],[Fixture Watts  (TRM Data)]], Table_TRM_Fixtures[[#This Row],[Modified Baseline Fixture Watts]])</f>
        <v>22</v>
      </c>
    </row>
    <row r="25" spans="1:27" x14ac:dyDescent="0.2">
      <c r="A25" t="s">
        <v>233</v>
      </c>
      <c r="B25" t="s">
        <v>3184</v>
      </c>
      <c r="C25" t="s">
        <v>3185</v>
      </c>
      <c r="D25" t="s">
        <v>3186</v>
      </c>
      <c r="E25" t="s">
        <v>187</v>
      </c>
      <c r="F25" t="s">
        <v>186</v>
      </c>
      <c r="G25" t="s">
        <v>186</v>
      </c>
      <c r="H25">
        <v>23</v>
      </c>
      <c r="I25">
        <v>1</v>
      </c>
      <c r="J25" s="110">
        <v>23</v>
      </c>
      <c r="K25" t="s">
        <v>185</v>
      </c>
      <c r="L25">
        <f>IF(Table_TRM_Fixtures[[#This Row],[Technology]]="LED", Table_TRM_Fixtures[[#This Row],[Fixture Watts  (TRM Data)]], Table_TRM_Fixtures[[#This Row],[Lamp Watts  (TRM Data)]])</f>
        <v>23</v>
      </c>
      <c r="M25" t="str">
        <f>Table_TRM_Fixtures[[#This Row],[No. of Lamps  (TRM Data)]]</f>
        <v>N/A</v>
      </c>
      <c r="N25" t="s">
        <v>186</v>
      </c>
      <c r="O25" t="s">
        <v>186</v>
      </c>
      <c r="P25" t="s">
        <v>187</v>
      </c>
      <c r="S25" t="s">
        <v>232</v>
      </c>
      <c r="T25" t="str">
        <f>Table_TRM_Fixtures[[#This Row],[Fixture code  (TRM Data)]]</f>
        <v>LED023-SCRW</v>
      </c>
      <c r="U25" t="s">
        <v>2883</v>
      </c>
      <c r="V25" t="s">
        <v>185</v>
      </c>
      <c r="W25" t="s">
        <v>3120</v>
      </c>
      <c r="X25" t="s">
        <v>186</v>
      </c>
      <c r="AA25">
        <f>IF(Table_TRM_Fixtures[[#This Row],[Pre-EISA Baseline]]="Nominal", Table_TRM_Fixtures[[#This Row],[Fixture Watts  (TRM Data)]], Table_TRM_Fixtures[[#This Row],[Modified Baseline Fixture Watts]])</f>
        <v>23</v>
      </c>
    </row>
    <row r="26" spans="1:27" x14ac:dyDescent="0.2">
      <c r="A26" t="s">
        <v>235</v>
      </c>
      <c r="B26" t="s">
        <v>3187</v>
      </c>
      <c r="C26" t="s">
        <v>3188</v>
      </c>
      <c r="D26" t="s">
        <v>3189</v>
      </c>
      <c r="E26" t="s">
        <v>187</v>
      </c>
      <c r="F26" t="s">
        <v>186</v>
      </c>
      <c r="G26" t="s">
        <v>186</v>
      </c>
      <c r="H26">
        <v>24</v>
      </c>
      <c r="I26">
        <v>1</v>
      </c>
      <c r="J26" s="110">
        <v>24</v>
      </c>
      <c r="K26" t="s">
        <v>185</v>
      </c>
      <c r="L26">
        <f>IF(Table_TRM_Fixtures[[#This Row],[Technology]]="LED", Table_TRM_Fixtures[[#This Row],[Fixture Watts  (TRM Data)]], Table_TRM_Fixtures[[#This Row],[Lamp Watts  (TRM Data)]])</f>
        <v>24</v>
      </c>
      <c r="M26" t="str">
        <f>Table_TRM_Fixtures[[#This Row],[No. of Lamps  (TRM Data)]]</f>
        <v>N/A</v>
      </c>
      <c r="N26" t="s">
        <v>186</v>
      </c>
      <c r="O26" t="s">
        <v>186</v>
      </c>
      <c r="P26" t="s">
        <v>187</v>
      </c>
      <c r="S26" t="s">
        <v>234</v>
      </c>
      <c r="T26" t="str">
        <f>Table_TRM_Fixtures[[#This Row],[Fixture code  (TRM Data)]]</f>
        <v>LED024-SCRW</v>
      </c>
      <c r="U26" t="s">
        <v>2883</v>
      </c>
      <c r="V26" t="s">
        <v>185</v>
      </c>
      <c r="W26" t="s">
        <v>3120</v>
      </c>
      <c r="X26" t="s">
        <v>186</v>
      </c>
      <c r="AA26">
        <f>IF(Table_TRM_Fixtures[[#This Row],[Pre-EISA Baseline]]="Nominal", Table_TRM_Fixtures[[#This Row],[Fixture Watts  (TRM Data)]], Table_TRM_Fixtures[[#This Row],[Modified Baseline Fixture Watts]])</f>
        <v>24</v>
      </c>
    </row>
    <row r="27" spans="1:27" x14ac:dyDescent="0.2">
      <c r="A27" t="s">
        <v>237</v>
      </c>
      <c r="B27" t="s">
        <v>3190</v>
      </c>
      <c r="C27" t="s">
        <v>3191</v>
      </c>
      <c r="D27" t="s">
        <v>3192</v>
      </c>
      <c r="E27" t="s">
        <v>187</v>
      </c>
      <c r="F27" t="s">
        <v>186</v>
      </c>
      <c r="G27" t="s">
        <v>186</v>
      </c>
      <c r="H27">
        <v>25</v>
      </c>
      <c r="I27">
        <v>1</v>
      </c>
      <c r="J27" s="110">
        <v>25</v>
      </c>
      <c r="K27" t="s">
        <v>185</v>
      </c>
      <c r="L27">
        <f>IF(Table_TRM_Fixtures[[#This Row],[Technology]]="LED", Table_TRM_Fixtures[[#This Row],[Fixture Watts  (TRM Data)]], Table_TRM_Fixtures[[#This Row],[Lamp Watts  (TRM Data)]])</f>
        <v>25</v>
      </c>
      <c r="M27" t="str">
        <f>Table_TRM_Fixtures[[#This Row],[No. of Lamps  (TRM Data)]]</f>
        <v>N/A</v>
      </c>
      <c r="N27" t="s">
        <v>186</v>
      </c>
      <c r="O27" t="s">
        <v>186</v>
      </c>
      <c r="P27" t="s">
        <v>187</v>
      </c>
      <c r="S27" t="s">
        <v>236</v>
      </c>
      <c r="T27" t="str">
        <f>Table_TRM_Fixtures[[#This Row],[Fixture code  (TRM Data)]]</f>
        <v>LED025-SCRW</v>
      </c>
      <c r="U27" t="s">
        <v>2883</v>
      </c>
      <c r="V27" t="s">
        <v>185</v>
      </c>
      <c r="W27" t="s">
        <v>3120</v>
      </c>
      <c r="X27" t="s">
        <v>186</v>
      </c>
      <c r="AA27">
        <f>IF(Table_TRM_Fixtures[[#This Row],[Pre-EISA Baseline]]="Nominal", Table_TRM_Fixtures[[#This Row],[Fixture Watts  (TRM Data)]], Table_TRM_Fixtures[[#This Row],[Modified Baseline Fixture Watts]])</f>
        <v>25</v>
      </c>
    </row>
    <row r="28" spans="1:27" x14ac:dyDescent="0.2">
      <c r="A28" t="s">
        <v>239</v>
      </c>
      <c r="B28" t="s">
        <v>3193</v>
      </c>
      <c r="C28" t="s">
        <v>3194</v>
      </c>
      <c r="D28" t="s">
        <v>3195</v>
      </c>
      <c r="E28" t="s">
        <v>187</v>
      </c>
      <c r="F28" t="s">
        <v>186</v>
      </c>
      <c r="G28" t="s">
        <v>186</v>
      </c>
      <c r="H28">
        <v>26</v>
      </c>
      <c r="I28">
        <v>1</v>
      </c>
      <c r="J28" s="110">
        <v>26</v>
      </c>
      <c r="K28" t="s">
        <v>185</v>
      </c>
      <c r="L28">
        <f>IF(Table_TRM_Fixtures[[#This Row],[Technology]]="LED", Table_TRM_Fixtures[[#This Row],[Fixture Watts  (TRM Data)]], Table_TRM_Fixtures[[#This Row],[Lamp Watts  (TRM Data)]])</f>
        <v>26</v>
      </c>
      <c r="M28" t="str">
        <f>Table_TRM_Fixtures[[#This Row],[No. of Lamps  (TRM Data)]]</f>
        <v>N/A</v>
      </c>
      <c r="N28" t="s">
        <v>186</v>
      </c>
      <c r="O28" t="s">
        <v>186</v>
      </c>
      <c r="P28" t="s">
        <v>187</v>
      </c>
      <c r="S28" t="s">
        <v>238</v>
      </c>
      <c r="T28" t="str">
        <f>Table_TRM_Fixtures[[#This Row],[Fixture code  (TRM Data)]]</f>
        <v>LED026-SCRW</v>
      </c>
      <c r="U28" t="s">
        <v>2883</v>
      </c>
      <c r="V28" t="s">
        <v>185</v>
      </c>
      <c r="W28" t="s">
        <v>3120</v>
      </c>
      <c r="X28" t="s">
        <v>186</v>
      </c>
      <c r="AA28">
        <f>IF(Table_TRM_Fixtures[[#This Row],[Pre-EISA Baseline]]="Nominal", Table_TRM_Fixtures[[#This Row],[Fixture Watts  (TRM Data)]], Table_TRM_Fixtures[[#This Row],[Modified Baseline Fixture Watts]])</f>
        <v>26</v>
      </c>
    </row>
    <row r="29" spans="1:27" x14ac:dyDescent="0.2">
      <c r="A29" t="s">
        <v>241</v>
      </c>
      <c r="B29" t="s">
        <v>3196</v>
      </c>
      <c r="C29" t="s">
        <v>3197</v>
      </c>
      <c r="D29" t="s">
        <v>3198</v>
      </c>
      <c r="E29" t="s">
        <v>187</v>
      </c>
      <c r="F29" t="s">
        <v>186</v>
      </c>
      <c r="G29" t="s">
        <v>186</v>
      </c>
      <c r="H29">
        <v>27</v>
      </c>
      <c r="I29">
        <v>1</v>
      </c>
      <c r="J29" s="110">
        <v>27</v>
      </c>
      <c r="K29" t="s">
        <v>185</v>
      </c>
      <c r="L29">
        <f>IF(Table_TRM_Fixtures[[#This Row],[Technology]]="LED", Table_TRM_Fixtures[[#This Row],[Fixture Watts  (TRM Data)]], Table_TRM_Fixtures[[#This Row],[Lamp Watts  (TRM Data)]])</f>
        <v>27</v>
      </c>
      <c r="M29" t="str">
        <f>Table_TRM_Fixtures[[#This Row],[No. of Lamps  (TRM Data)]]</f>
        <v>N/A</v>
      </c>
      <c r="N29" t="s">
        <v>186</v>
      </c>
      <c r="O29" t="s">
        <v>186</v>
      </c>
      <c r="P29" t="s">
        <v>187</v>
      </c>
      <c r="S29" t="s">
        <v>240</v>
      </c>
      <c r="T29" t="str">
        <f>Table_TRM_Fixtures[[#This Row],[Fixture code  (TRM Data)]]</f>
        <v>LED027-SCRW</v>
      </c>
      <c r="U29" t="s">
        <v>2883</v>
      </c>
      <c r="V29" t="s">
        <v>185</v>
      </c>
      <c r="W29" t="s">
        <v>3120</v>
      </c>
      <c r="X29" t="s">
        <v>186</v>
      </c>
      <c r="AA29">
        <f>IF(Table_TRM_Fixtures[[#This Row],[Pre-EISA Baseline]]="Nominal", Table_TRM_Fixtures[[#This Row],[Fixture Watts  (TRM Data)]], Table_TRM_Fixtures[[#This Row],[Modified Baseline Fixture Watts]])</f>
        <v>27</v>
      </c>
    </row>
    <row r="30" spans="1:27" x14ac:dyDescent="0.2">
      <c r="A30" t="s">
        <v>243</v>
      </c>
      <c r="B30" t="s">
        <v>3199</v>
      </c>
      <c r="C30" t="s">
        <v>3200</v>
      </c>
      <c r="D30" t="s">
        <v>3201</v>
      </c>
      <c r="E30" t="s">
        <v>187</v>
      </c>
      <c r="F30" t="s">
        <v>186</v>
      </c>
      <c r="G30" t="s">
        <v>186</v>
      </c>
      <c r="H30">
        <v>28</v>
      </c>
      <c r="I30">
        <v>1</v>
      </c>
      <c r="J30" s="110">
        <v>28</v>
      </c>
      <c r="K30" t="s">
        <v>185</v>
      </c>
      <c r="L30">
        <f>IF(Table_TRM_Fixtures[[#This Row],[Technology]]="LED", Table_TRM_Fixtures[[#This Row],[Fixture Watts  (TRM Data)]], Table_TRM_Fixtures[[#This Row],[Lamp Watts  (TRM Data)]])</f>
        <v>28</v>
      </c>
      <c r="M30" t="str">
        <f>Table_TRM_Fixtures[[#This Row],[No. of Lamps  (TRM Data)]]</f>
        <v>N/A</v>
      </c>
      <c r="N30" t="s">
        <v>186</v>
      </c>
      <c r="O30" t="s">
        <v>186</v>
      </c>
      <c r="P30" t="s">
        <v>187</v>
      </c>
      <c r="S30" t="s">
        <v>242</v>
      </c>
      <c r="T30" t="str">
        <f>Table_TRM_Fixtures[[#This Row],[Fixture code  (TRM Data)]]</f>
        <v>LED028-SCRW</v>
      </c>
      <c r="U30" t="s">
        <v>2883</v>
      </c>
      <c r="V30" t="s">
        <v>185</v>
      </c>
      <c r="W30" t="s">
        <v>3120</v>
      </c>
      <c r="X30" t="s">
        <v>186</v>
      </c>
      <c r="AA30">
        <f>IF(Table_TRM_Fixtures[[#This Row],[Pre-EISA Baseline]]="Nominal", Table_TRM_Fixtures[[#This Row],[Fixture Watts  (TRM Data)]], Table_TRM_Fixtures[[#This Row],[Modified Baseline Fixture Watts]])</f>
        <v>28</v>
      </c>
    </row>
    <row r="31" spans="1:27" x14ac:dyDescent="0.2">
      <c r="A31" t="s">
        <v>245</v>
      </c>
      <c r="B31" t="s">
        <v>3202</v>
      </c>
      <c r="C31" t="s">
        <v>3203</v>
      </c>
      <c r="D31" t="s">
        <v>3204</v>
      </c>
      <c r="E31" t="s">
        <v>187</v>
      </c>
      <c r="F31" t="s">
        <v>186</v>
      </c>
      <c r="G31" t="s">
        <v>186</v>
      </c>
      <c r="H31">
        <v>29</v>
      </c>
      <c r="I31">
        <v>1</v>
      </c>
      <c r="J31" s="110">
        <v>29</v>
      </c>
      <c r="K31" t="s">
        <v>185</v>
      </c>
      <c r="L31">
        <f>IF(Table_TRM_Fixtures[[#This Row],[Technology]]="LED", Table_TRM_Fixtures[[#This Row],[Fixture Watts  (TRM Data)]], Table_TRM_Fixtures[[#This Row],[Lamp Watts  (TRM Data)]])</f>
        <v>29</v>
      </c>
      <c r="M31" t="str">
        <f>Table_TRM_Fixtures[[#This Row],[No. of Lamps  (TRM Data)]]</f>
        <v>N/A</v>
      </c>
      <c r="N31" t="s">
        <v>186</v>
      </c>
      <c r="O31" t="s">
        <v>186</v>
      </c>
      <c r="P31" t="s">
        <v>187</v>
      </c>
      <c r="S31" t="s">
        <v>244</v>
      </c>
      <c r="T31" t="str">
        <f>Table_TRM_Fixtures[[#This Row],[Fixture code  (TRM Data)]]</f>
        <v>LED029-SCRW</v>
      </c>
      <c r="U31" t="s">
        <v>2883</v>
      </c>
      <c r="V31" t="s">
        <v>185</v>
      </c>
      <c r="W31" t="s">
        <v>3120</v>
      </c>
      <c r="X31" t="s">
        <v>186</v>
      </c>
      <c r="AA31">
        <f>IF(Table_TRM_Fixtures[[#This Row],[Pre-EISA Baseline]]="Nominal", Table_TRM_Fixtures[[#This Row],[Fixture Watts  (TRM Data)]], Table_TRM_Fixtures[[#This Row],[Modified Baseline Fixture Watts]])</f>
        <v>29</v>
      </c>
    </row>
    <row r="32" spans="1:27" x14ac:dyDescent="0.2">
      <c r="A32" t="s">
        <v>247</v>
      </c>
      <c r="B32" t="s">
        <v>3205</v>
      </c>
      <c r="C32" t="s">
        <v>3206</v>
      </c>
      <c r="D32" t="s">
        <v>3207</v>
      </c>
      <c r="E32" t="s">
        <v>187</v>
      </c>
      <c r="F32" t="s">
        <v>186</v>
      </c>
      <c r="G32" t="s">
        <v>186</v>
      </c>
      <c r="H32">
        <v>30</v>
      </c>
      <c r="I32">
        <v>1</v>
      </c>
      <c r="J32" s="110">
        <v>30</v>
      </c>
      <c r="K32" t="s">
        <v>185</v>
      </c>
      <c r="L32">
        <f>IF(Table_TRM_Fixtures[[#This Row],[Technology]]="LED", Table_TRM_Fixtures[[#This Row],[Fixture Watts  (TRM Data)]], Table_TRM_Fixtures[[#This Row],[Lamp Watts  (TRM Data)]])</f>
        <v>30</v>
      </c>
      <c r="M32" t="str">
        <f>Table_TRM_Fixtures[[#This Row],[No. of Lamps  (TRM Data)]]</f>
        <v>N/A</v>
      </c>
      <c r="N32" t="s">
        <v>186</v>
      </c>
      <c r="O32" t="s">
        <v>186</v>
      </c>
      <c r="P32" t="s">
        <v>187</v>
      </c>
      <c r="S32" t="s">
        <v>246</v>
      </c>
      <c r="T32" t="str">
        <f>Table_TRM_Fixtures[[#This Row],[Fixture code  (TRM Data)]]</f>
        <v>LED030-SCRW</v>
      </c>
      <c r="U32" t="s">
        <v>2883</v>
      </c>
      <c r="V32" t="s">
        <v>185</v>
      </c>
      <c r="W32" t="s">
        <v>3120</v>
      </c>
      <c r="X32" t="s">
        <v>186</v>
      </c>
      <c r="AA32">
        <f>IF(Table_TRM_Fixtures[[#This Row],[Pre-EISA Baseline]]="Nominal", Table_TRM_Fixtures[[#This Row],[Fixture Watts  (TRM Data)]], Table_TRM_Fixtures[[#This Row],[Modified Baseline Fixture Watts]])</f>
        <v>30</v>
      </c>
    </row>
    <row r="33" spans="1:27" ht="15.75" customHeight="1" x14ac:dyDescent="0.2">
      <c r="A33" t="s">
        <v>249</v>
      </c>
      <c r="B33" t="s">
        <v>3208</v>
      </c>
      <c r="C33" t="s">
        <v>3209</v>
      </c>
      <c r="D33" t="s">
        <v>3210</v>
      </c>
      <c r="E33" t="s">
        <v>187</v>
      </c>
      <c r="F33" t="s">
        <v>186</v>
      </c>
      <c r="G33" t="s">
        <v>186</v>
      </c>
      <c r="H33">
        <v>31</v>
      </c>
      <c r="I33">
        <v>1</v>
      </c>
      <c r="J33" s="110">
        <v>31</v>
      </c>
      <c r="K33" t="s">
        <v>185</v>
      </c>
      <c r="L33">
        <f>IF(Table_TRM_Fixtures[[#This Row],[Technology]]="LED", Table_TRM_Fixtures[[#This Row],[Fixture Watts  (TRM Data)]], Table_TRM_Fixtures[[#This Row],[Lamp Watts  (TRM Data)]])</f>
        <v>31</v>
      </c>
      <c r="M33" t="str">
        <f>Table_TRM_Fixtures[[#This Row],[No. of Lamps  (TRM Data)]]</f>
        <v>N/A</v>
      </c>
      <c r="N33" t="s">
        <v>186</v>
      </c>
      <c r="O33" t="s">
        <v>186</v>
      </c>
      <c r="P33" t="s">
        <v>187</v>
      </c>
      <c r="S33" t="s">
        <v>248</v>
      </c>
      <c r="T33" t="str">
        <f>Table_TRM_Fixtures[[#This Row],[Fixture code  (TRM Data)]]</f>
        <v>LED031-SCRW</v>
      </c>
      <c r="U33" t="s">
        <v>2883</v>
      </c>
      <c r="V33" t="s">
        <v>185</v>
      </c>
      <c r="W33" t="s">
        <v>3120</v>
      </c>
      <c r="X33" t="s">
        <v>186</v>
      </c>
      <c r="AA33">
        <f>IF(Table_TRM_Fixtures[[#This Row],[Pre-EISA Baseline]]="Nominal", Table_TRM_Fixtures[[#This Row],[Fixture Watts  (TRM Data)]], Table_TRM_Fixtures[[#This Row],[Modified Baseline Fixture Watts]])</f>
        <v>31</v>
      </c>
    </row>
    <row r="34" spans="1:27" x14ac:dyDescent="0.2">
      <c r="A34" t="s">
        <v>251</v>
      </c>
      <c r="B34" t="s">
        <v>3211</v>
      </c>
      <c r="C34" t="s">
        <v>3212</v>
      </c>
      <c r="D34" t="s">
        <v>3213</v>
      </c>
      <c r="E34" t="s">
        <v>187</v>
      </c>
      <c r="F34" t="s">
        <v>186</v>
      </c>
      <c r="G34" t="s">
        <v>186</v>
      </c>
      <c r="H34">
        <v>32</v>
      </c>
      <c r="I34">
        <v>1</v>
      </c>
      <c r="J34" s="110">
        <v>32</v>
      </c>
      <c r="K34" t="s">
        <v>185</v>
      </c>
      <c r="L34">
        <f>IF(Table_TRM_Fixtures[[#This Row],[Technology]]="LED", Table_TRM_Fixtures[[#This Row],[Fixture Watts  (TRM Data)]], Table_TRM_Fixtures[[#This Row],[Lamp Watts  (TRM Data)]])</f>
        <v>32</v>
      </c>
      <c r="M34" t="str">
        <f>Table_TRM_Fixtures[[#This Row],[No. of Lamps  (TRM Data)]]</f>
        <v>N/A</v>
      </c>
      <c r="N34" t="s">
        <v>186</v>
      </c>
      <c r="O34" t="s">
        <v>186</v>
      </c>
      <c r="P34" t="s">
        <v>187</v>
      </c>
      <c r="S34" t="s">
        <v>250</v>
      </c>
      <c r="T34" t="str">
        <f>Table_TRM_Fixtures[[#This Row],[Fixture code  (TRM Data)]]</f>
        <v>LED032-SCRW</v>
      </c>
      <c r="U34" t="s">
        <v>2883</v>
      </c>
      <c r="V34" t="s">
        <v>185</v>
      </c>
      <c r="W34" t="s">
        <v>3120</v>
      </c>
      <c r="X34" t="s">
        <v>186</v>
      </c>
      <c r="AA34">
        <f>IF(Table_TRM_Fixtures[[#This Row],[Pre-EISA Baseline]]="Nominal", Table_TRM_Fixtures[[#This Row],[Fixture Watts  (TRM Data)]], Table_TRM_Fixtures[[#This Row],[Modified Baseline Fixture Watts]])</f>
        <v>32</v>
      </c>
    </row>
    <row r="35" spans="1:27" x14ac:dyDescent="0.2">
      <c r="A35" t="s">
        <v>253</v>
      </c>
      <c r="B35" t="s">
        <v>3214</v>
      </c>
      <c r="C35" t="s">
        <v>3215</v>
      </c>
      <c r="D35" t="s">
        <v>3216</v>
      </c>
      <c r="E35" t="s">
        <v>187</v>
      </c>
      <c r="F35" t="s">
        <v>186</v>
      </c>
      <c r="G35" t="s">
        <v>186</v>
      </c>
      <c r="H35">
        <v>33</v>
      </c>
      <c r="I35">
        <v>1</v>
      </c>
      <c r="J35" s="110">
        <v>33</v>
      </c>
      <c r="K35" t="s">
        <v>185</v>
      </c>
      <c r="L35">
        <f>IF(Table_TRM_Fixtures[[#This Row],[Technology]]="LED", Table_TRM_Fixtures[[#This Row],[Fixture Watts  (TRM Data)]], Table_TRM_Fixtures[[#This Row],[Lamp Watts  (TRM Data)]])</f>
        <v>33</v>
      </c>
      <c r="M35" t="str">
        <f>Table_TRM_Fixtures[[#This Row],[No. of Lamps  (TRM Data)]]</f>
        <v>N/A</v>
      </c>
      <c r="N35" t="s">
        <v>186</v>
      </c>
      <c r="O35" t="s">
        <v>186</v>
      </c>
      <c r="P35" t="s">
        <v>187</v>
      </c>
      <c r="S35" t="s">
        <v>252</v>
      </c>
      <c r="T35" t="str">
        <f>Table_TRM_Fixtures[[#This Row],[Fixture code  (TRM Data)]]</f>
        <v>LED033-SCRW</v>
      </c>
      <c r="U35" t="s">
        <v>2883</v>
      </c>
      <c r="V35" t="s">
        <v>185</v>
      </c>
      <c r="W35" t="s">
        <v>3120</v>
      </c>
      <c r="X35" t="s">
        <v>186</v>
      </c>
      <c r="AA35">
        <f>IF(Table_TRM_Fixtures[[#This Row],[Pre-EISA Baseline]]="Nominal", Table_TRM_Fixtures[[#This Row],[Fixture Watts  (TRM Data)]], Table_TRM_Fixtures[[#This Row],[Modified Baseline Fixture Watts]])</f>
        <v>33</v>
      </c>
    </row>
    <row r="36" spans="1:27" x14ac:dyDescent="0.2">
      <c r="A36" t="s">
        <v>255</v>
      </c>
      <c r="B36" t="s">
        <v>3217</v>
      </c>
      <c r="C36" t="s">
        <v>3218</v>
      </c>
      <c r="D36" t="s">
        <v>3219</v>
      </c>
      <c r="E36" t="s">
        <v>187</v>
      </c>
      <c r="F36" t="s">
        <v>186</v>
      </c>
      <c r="G36" t="s">
        <v>186</v>
      </c>
      <c r="H36">
        <v>34</v>
      </c>
      <c r="I36">
        <v>1</v>
      </c>
      <c r="J36" s="110">
        <v>34</v>
      </c>
      <c r="K36" t="s">
        <v>185</v>
      </c>
      <c r="L36">
        <f>IF(Table_TRM_Fixtures[[#This Row],[Technology]]="LED", Table_TRM_Fixtures[[#This Row],[Fixture Watts  (TRM Data)]], Table_TRM_Fixtures[[#This Row],[Lamp Watts  (TRM Data)]])</f>
        <v>34</v>
      </c>
      <c r="M36" t="str">
        <f>Table_TRM_Fixtures[[#This Row],[No. of Lamps  (TRM Data)]]</f>
        <v>N/A</v>
      </c>
      <c r="N36" t="s">
        <v>186</v>
      </c>
      <c r="O36" t="s">
        <v>186</v>
      </c>
      <c r="P36" t="s">
        <v>187</v>
      </c>
      <c r="S36" t="s">
        <v>254</v>
      </c>
      <c r="T36" t="str">
        <f>Table_TRM_Fixtures[[#This Row],[Fixture code  (TRM Data)]]</f>
        <v>LED034-SCRW</v>
      </c>
      <c r="U36" t="s">
        <v>2883</v>
      </c>
      <c r="V36" t="s">
        <v>185</v>
      </c>
      <c r="W36" t="s">
        <v>3120</v>
      </c>
      <c r="X36" t="s">
        <v>186</v>
      </c>
      <c r="AA36">
        <f>IF(Table_TRM_Fixtures[[#This Row],[Pre-EISA Baseline]]="Nominal", Table_TRM_Fixtures[[#This Row],[Fixture Watts  (TRM Data)]], Table_TRM_Fixtures[[#This Row],[Modified Baseline Fixture Watts]])</f>
        <v>34</v>
      </c>
    </row>
    <row r="37" spans="1:27" x14ac:dyDescent="0.2">
      <c r="A37" t="s">
        <v>257</v>
      </c>
      <c r="B37" t="s">
        <v>3220</v>
      </c>
      <c r="C37" t="s">
        <v>3221</v>
      </c>
      <c r="D37" t="s">
        <v>3222</v>
      </c>
      <c r="E37" t="s">
        <v>187</v>
      </c>
      <c r="F37" t="s">
        <v>186</v>
      </c>
      <c r="G37" t="s">
        <v>186</v>
      </c>
      <c r="H37">
        <v>35</v>
      </c>
      <c r="I37">
        <v>1</v>
      </c>
      <c r="J37" s="110">
        <v>35</v>
      </c>
      <c r="K37" t="s">
        <v>185</v>
      </c>
      <c r="L37">
        <f>IF(Table_TRM_Fixtures[[#This Row],[Technology]]="LED", Table_TRM_Fixtures[[#This Row],[Fixture Watts  (TRM Data)]], Table_TRM_Fixtures[[#This Row],[Lamp Watts  (TRM Data)]])</f>
        <v>35</v>
      </c>
      <c r="M37" t="str">
        <f>Table_TRM_Fixtures[[#This Row],[No. of Lamps  (TRM Data)]]</f>
        <v>N/A</v>
      </c>
      <c r="N37" t="s">
        <v>186</v>
      </c>
      <c r="O37" t="s">
        <v>186</v>
      </c>
      <c r="P37" t="s">
        <v>187</v>
      </c>
      <c r="S37" t="s">
        <v>256</v>
      </c>
      <c r="T37" t="str">
        <f>Table_TRM_Fixtures[[#This Row],[Fixture code  (TRM Data)]]</f>
        <v>LED035-SCRW</v>
      </c>
      <c r="U37" t="s">
        <v>2883</v>
      </c>
      <c r="V37" t="s">
        <v>185</v>
      </c>
      <c r="W37" t="s">
        <v>3120</v>
      </c>
      <c r="X37" t="s">
        <v>186</v>
      </c>
      <c r="AA37">
        <f>IF(Table_TRM_Fixtures[[#This Row],[Pre-EISA Baseline]]="Nominal", Table_TRM_Fixtures[[#This Row],[Fixture Watts  (TRM Data)]], Table_TRM_Fixtures[[#This Row],[Modified Baseline Fixture Watts]])</f>
        <v>35</v>
      </c>
    </row>
    <row r="38" spans="1:27" x14ac:dyDescent="0.2">
      <c r="A38" t="s">
        <v>259</v>
      </c>
      <c r="B38" t="s">
        <v>3223</v>
      </c>
      <c r="C38" t="s">
        <v>3224</v>
      </c>
      <c r="D38" t="s">
        <v>3225</v>
      </c>
      <c r="E38" t="s">
        <v>187</v>
      </c>
      <c r="F38" t="s">
        <v>186</v>
      </c>
      <c r="G38" t="s">
        <v>186</v>
      </c>
      <c r="H38">
        <v>36</v>
      </c>
      <c r="I38">
        <v>1</v>
      </c>
      <c r="J38" s="110">
        <v>36</v>
      </c>
      <c r="K38" t="s">
        <v>185</v>
      </c>
      <c r="L38">
        <f>IF(Table_TRM_Fixtures[[#This Row],[Technology]]="LED", Table_TRM_Fixtures[[#This Row],[Fixture Watts  (TRM Data)]], Table_TRM_Fixtures[[#This Row],[Lamp Watts  (TRM Data)]])</f>
        <v>36</v>
      </c>
      <c r="M38" t="str">
        <f>Table_TRM_Fixtures[[#This Row],[No. of Lamps  (TRM Data)]]</f>
        <v>N/A</v>
      </c>
      <c r="N38" t="s">
        <v>186</v>
      </c>
      <c r="O38" t="s">
        <v>186</v>
      </c>
      <c r="P38" t="s">
        <v>187</v>
      </c>
      <c r="S38" t="s">
        <v>258</v>
      </c>
      <c r="T38" t="str">
        <f>Table_TRM_Fixtures[[#This Row],[Fixture code  (TRM Data)]]</f>
        <v>LED036-SCRW</v>
      </c>
      <c r="U38" t="s">
        <v>2883</v>
      </c>
      <c r="V38" t="s">
        <v>185</v>
      </c>
      <c r="W38" t="s">
        <v>3120</v>
      </c>
      <c r="X38" t="s">
        <v>186</v>
      </c>
      <c r="AA38">
        <f>IF(Table_TRM_Fixtures[[#This Row],[Pre-EISA Baseline]]="Nominal", Table_TRM_Fixtures[[#This Row],[Fixture Watts  (TRM Data)]], Table_TRM_Fixtures[[#This Row],[Modified Baseline Fixture Watts]])</f>
        <v>36</v>
      </c>
    </row>
    <row r="39" spans="1:27" x14ac:dyDescent="0.2">
      <c r="A39" t="s">
        <v>261</v>
      </c>
      <c r="B39" t="s">
        <v>3226</v>
      </c>
      <c r="C39" t="s">
        <v>3227</v>
      </c>
      <c r="D39" t="s">
        <v>3228</v>
      </c>
      <c r="E39" t="s">
        <v>187</v>
      </c>
      <c r="F39" t="s">
        <v>186</v>
      </c>
      <c r="G39" t="s">
        <v>186</v>
      </c>
      <c r="H39">
        <v>37</v>
      </c>
      <c r="I39">
        <v>1</v>
      </c>
      <c r="J39" s="110">
        <v>37</v>
      </c>
      <c r="K39" t="s">
        <v>185</v>
      </c>
      <c r="L39">
        <f>IF(Table_TRM_Fixtures[[#This Row],[Technology]]="LED", Table_TRM_Fixtures[[#This Row],[Fixture Watts  (TRM Data)]], Table_TRM_Fixtures[[#This Row],[Lamp Watts  (TRM Data)]])</f>
        <v>37</v>
      </c>
      <c r="M39" t="str">
        <f>Table_TRM_Fixtures[[#This Row],[No. of Lamps  (TRM Data)]]</f>
        <v>N/A</v>
      </c>
      <c r="N39" t="s">
        <v>186</v>
      </c>
      <c r="O39" t="s">
        <v>186</v>
      </c>
      <c r="P39" t="s">
        <v>187</v>
      </c>
      <c r="S39" t="s">
        <v>260</v>
      </c>
      <c r="T39" t="str">
        <f>Table_TRM_Fixtures[[#This Row],[Fixture code  (TRM Data)]]</f>
        <v>LED037-SCRW</v>
      </c>
      <c r="U39" t="s">
        <v>2883</v>
      </c>
      <c r="V39" t="s">
        <v>185</v>
      </c>
      <c r="W39" t="s">
        <v>3120</v>
      </c>
      <c r="X39" t="s">
        <v>186</v>
      </c>
      <c r="AA39">
        <f>IF(Table_TRM_Fixtures[[#This Row],[Pre-EISA Baseline]]="Nominal", Table_TRM_Fixtures[[#This Row],[Fixture Watts  (TRM Data)]], Table_TRM_Fixtures[[#This Row],[Modified Baseline Fixture Watts]])</f>
        <v>37</v>
      </c>
    </row>
    <row r="40" spans="1:27" x14ac:dyDescent="0.2">
      <c r="A40" t="s">
        <v>263</v>
      </c>
      <c r="B40" t="s">
        <v>3229</v>
      </c>
      <c r="C40" t="s">
        <v>3230</v>
      </c>
      <c r="D40" t="s">
        <v>3231</v>
      </c>
      <c r="E40" t="s">
        <v>187</v>
      </c>
      <c r="F40" t="s">
        <v>186</v>
      </c>
      <c r="G40" t="s">
        <v>186</v>
      </c>
      <c r="H40">
        <v>38</v>
      </c>
      <c r="I40">
        <v>1</v>
      </c>
      <c r="J40" s="110">
        <v>38</v>
      </c>
      <c r="K40" t="s">
        <v>185</v>
      </c>
      <c r="L40">
        <f>IF(Table_TRM_Fixtures[[#This Row],[Technology]]="LED", Table_TRM_Fixtures[[#This Row],[Fixture Watts  (TRM Data)]], Table_TRM_Fixtures[[#This Row],[Lamp Watts  (TRM Data)]])</f>
        <v>38</v>
      </c>
      <c r="M40" t="str">
        <f>Table_TRM_Fixtures[[#This Row],[No. of Lamps  (TRM Data)]]</f>
        <v>N/A</v>
      </c>
      <c r="N40" t="s">
        <v>186</v>
      </c>
      <c r="O40" t="s">
        <v>186</v>
      </c>
      <c r="P40" t="s">
        <v>187</v>
      </c>
      <c r="S40" t="s">
        <v>262</v>
      </c>
      <c r="T40" t="str">
        <f>Table_TRM_Fixtures[[#This Row],[Fixture code  (TRM Data)]]</f>
        <v>LED038-SCRW</v>
      </c>
      <c r="U40" t="s">
        <v>2883</v>
      </c>
      <c r="V40" t="s">
        <v>185</v>
      </c>
      <c r="W40" t="s">
        <v>3120</v>
      </c>
      <c r="X40" t="s">
        <v>186</v>
      </c>
      <c r="AA40">
        <f>IF(Table_TRM_Fixtures[[#This Row],[Pre-EISA Baseline]]="Nominal", Table_TRM_Fixtures[[#This Row],[Fixture Watts  (TRM Data)]], Table_TRM_Fixtures[[#This Row],[Modified Baseline Fixture Watts]])</f>
        <v>38</v>
      </c>
    </row>
    <row r="41" spans="1:27" x14ac:dyDescent="0.2">
      <c r="A41" t="s">
        <v>265</v>
      </c>
      <c r="B41" t="s">
        <v>3232</v>
      </c>
      <c r="C41" t="s">
        <v>3233</v>
      </c>
      <c r="D41" t="s">
        <v>3234</v>
      </c>
      <c r="E41" t="s">
        <v>187</v>
      </c>
      <c r="F41" t="s">
        <v>186</v>
      </c>
      <c r="G41" t="s">
        <v>186</v>
      </c>
      <c r="H41">
        <v>39</v>
      </c>
      <c r="I41">
        <v>1</v>
      </c>
      <c r="J41" s="110">
        <v>39</v>
      </c>
      <c r="K41" t="s">
        <v>185</v>
      </c>
      <c r="L41">
        <f>IF(Table_TRM_Fixtures[[#This Row],[Technology]]="LED", Table_TRM_Fixtures[[#This Row],[Fixture Watts  (TRM Data)]], Table_TRM_Fixtures[[#This Row],[Lamp Watts  (TRM Data)]])</f>
        <v>39</v>
      </c>
      <c r="M41" t="str">
        <f>Table_TRM_Fixtures[[#This Row],[No. of Lamps  (TRM Data)]]</f>
        <v>N/A</v>
      </c>
      <c r="N41" t="s">
        <v>186</v>
      </c>
      <c r="O41" t="s">
        <v>186</v>
      </c>
      <c r="P41" t="s">
        <v>187</v>
      </c>
      <c r="S41" t="s">
        <v>264</v>
      </c>
      <c r="T41" t="str">
        <f>Table_TRM_Fixtures[[#This Row],[Fixture code  (TRM Data)]]</f>
        <v>LED039-SCRW</v>
      </c>
      <c r="U41" t="s">
        <v>2883</v>
      </c>
      <c r="V41" t="s">
        <v>185</v>
      </c>
      <c r="W41" t="s">
        <v>3120</v>
      </c>
      <c r="X41" t="s">
        <v>186</v>
      </c>
      <c r="AA41">
        <f>IF(Table_TRM_Fixtures[[#This Row],[Pre-EISA Baseline]]="Nominal", Table_TRM_Fixtures[[#This Row],[Fixture Watts  (TRM Data)]], Table_TRM_Fixtures[[#This Row],[Modified Baseline Fixture Watts]])</f>
        <v>39</v>
      </c>
    </row>
    <row r="42" spans="1:27" x14ac:dyDescent="0.2">
      <c r="A42" t="s">
        <v>267</v>
      </c>
      <c r="B42" t="s">
        <v>3235</v>
      </c>
      <c r="C42" t="s">
        <v>3236</v>
      </c>
      <c r="D42" t="s">
        <v>3237</v>
      </c>
      <c r="E42" t="s">
        <v>187</v>
      </c>
      <c r="F42" t="s">
        <v>186</v>
      </c>
      <c r="G42" t="s">
        <v>186</v>
      </c>
      <c r="H42">
        <v>40</v>
      </c>
      <c r="I42">
        <v>1</v>
      </c>
      <c r="J42" s="110">
        <v>40</v>
      </c>
      <c r="K42" t="s">
        <v>185</v>
      </c>
      <c r="L42">
        <f>IF(Table_TRM_Fixtures[[#This Row],[Technology]]="LED", Table_TRM_Fixtures[[#This Row],[Fixture Watts  (TRM Data)]], Table_TRM_Fixtures[[#This Row],[Lamp Watts  (TRM Data)]])</f>
        <v>40</v>
      </c>
      <c r="M42" t="str">
        <f>Table_TRM_Fixtures[[#This Row],[No. of Lamps  (TRM Data)]]</f>
        <v>N/A</v>
      </c>
      <c r="N42" t="s">
        <v>186</v>
      </c>
      <c r="O42" t="s">
        <v>186</v>
      </c>
      <c r="P42" t="s">
        <v>187</v>
      </c>
      <c r="S42" t="s">
        <v>266</v>
      </c>
      <c r="T42" t="str">
        <f>Table_TRM_Fixtures[[#This Row],[Fixture code  (TRM Data)]]</f>
        <v>LED040-SCRW</v>
      </c>
      <c r="U42" t="s">
        <v>2883</v>
      </c>
      <c r="V42" t="s">
        <v>185</v>
      </c>
      <c r="W42" t="s">
        <v>3120</v>
      </c>
      <c r="X42" t="s">
        <v>186</v>
      </c>
      <c r="AA42">
        <f>IF(Table_TRM_Fixtures[[#This Row],[Pre-EISA Baseline]]="Nominal", Table_TRM_Fixtures[[#This Row],[Fixture Watts  (TRM Data)]], Table_TRM_Fixtures[[#This Row],[Modified Baseline Fixture Watts]])</f>
        <v>40</v>
      </c>
    </row>
    <row r="43" spans="1:27" x14ac:dyDescent="0.2">
      <c r="A43" t="s">
        <v>269</v>
      </c>
      <c r="B43" t="s">
        <v>3238</v>
      </c>
      <c r="C43" t="s">
        <v>3239</v>
      </c>
      <c r="D43" t="s">
        <v>3240</v>
      </c>
      <c r="E43" t="s">
        <v>187</v>
      </c>
      <c r="F43" t="s">
        <v>186</v>
      </c>
      <c r="G43" t="s">
        <v>186</v>
      </c>
      <c r="H43">
        <v>41</v>
      </c>
      <c r="I43">
        <v>1</v>
      </c>
      <c r="J43" s="110">
        <v>41</v>
      </c>
      <c r="K43" t="s">
        <v>185</v>
      </c>
      <c r="L43">
        <f>IF(Table_TRM_Fixtures[[#This Row],[Technology]]="LED", Table_TRM_Fixtures[[#This Row],[Fixture Watts  (TRM Data)]], Table_TRM_Fixtures[[#This Row],[Lamp Watts  (TRM Data)]])</f>
        <v>41</v>
      </c>
      <c r="M43" t="str">
        <f>Table_TRM_Fixtures[[#This Row],[No. of Lamps  (TRM Data)]]</f>
        <v>N/A</v>
      </c>
      <c r="N43" t="s">
        <v>186</v>
      </c>
      <c r="O43" t="s">
        <v>186</v>
      </c>
      <c r="P43" t="s">
        <v>187</v>
      </c>
      <c r="S43" t="s">
        <v>268</v>
      </c>
      <c r="T43" t="str">
        <f>Table_TRM_Fixtures[[#This Row],[Fixture code  (TRM Data)]]</f>
        <v>LED041-SCRW</v>
      </c>
      <c r="U43" t="s">
        <v>2883</v>
      </c>
      <c r="V43" t="s">
        <v>185</v>
      </c>
      <c r="W43" t="s">
        <v>3120</v>
      </c>
      <c r="X43" t="s">
        <v>186</v>
      </c>
      <c r="AA43">
        <f>IF(Table_TRM_Fixtures[[#This Row],[Pre-EISA Baseline]]="Nominal", Table_TRM_Fixtures[[#This Row],[Fixture Watts  (TRM Data)]], Table_TRM_Fixtures[[#This Row],[Modified Baseline Fixture Watts]])</f>
        <v>41</v>
      </c>
    </row>
    <row r="44" spans="1:27" x14ac:dyDescent="0.2">
      <c r="A44" t="s">
        <v>271</v>
      </c>
      <c r="B44" t="s">
        <v>3241</v>
      </c>
      <c r="C44" t="s">
        <v>3242</v>
      </c>
      <c r="D44" t="s">
        <v>3243</v>
      </c>
      <c r="E44" t="s">
        <v>187</v>
      </c>
      <c r="F44" t="s">
        <v>186</v>
      </c>
      <c r="G44" t="s">
        <v>186</v>
      </c>
      <c r="H44">
        <v>42</v>
      </c>
      <c r="I44">
        <v>1</v>
      </c>
      <c r="J44" s="110">
        <v>42</v>
      </c>
      <c r="K44" t="s">
        <v>185</v>
      </c>
      <c r="L44">
        <f>IF(Table_TRM_Fixtures[[#This Row],[Technology]]="LED", Table_TRM_Fixtures[[#This Row],[Fixture Watts  (TRM Data)]], Table_TRM_Fixtures[[#This Row],[Lamp Watts  (TRM Data)]])</f>
        <v>42</v>
      </c>
      <c r="M44" t="str">
        <f>Table_TRM_Fixtures[[#This Row],[No. of Lamps  (TRM Data)]]</f>
        <v>N/A</v>
      </c>
      <c r="N44" t="s">
        <v>186</v>
      </c>
      <c r="O44" t="s">
        <v>186</v>
      </c>
      <c r="P44" t="s">
        <v>187</v>
      </c>
      <c r="S44" t="s">
        <v>270</v>
      </c>
      <c r="T44" t="str">
        <f>Table_TRM_Fixtures[[#This Row],[Fixture code  (TRM Data)]]</f>
        <v>LED042-SCRW</v>
      </c>
      <c r="U44" t="s">
        <v>2883</v>
      </c>
      <c r="V44" t="s">
        <v>185</v>
      </c>
      <c r="W44" t="s">
        <v>3120</v>
      </c>
      <c r="X44" t="s">
        <v>186</v>
      </c>
      <c r="AA44">
        <f>IF(Table_TRM_Fixtures[[#This Row],[Pre-EISA Baseline]]="Nominal", Table_TRM_Fixtures[[#This Row],[Fixture Watts  (TRM Data)]], Table_TRM_Fixtures[[#This Row],[Modified Baseline Fixture Watts]])</f>
        <v>42</v>
      </c>
    </row>
    <row r="45" spans="1:27" x14ac:dyDescent="0.2">
      <c r="A45" t="s">
        <v>273</v>
      </c>
      <c r="B45" t="s">
        <v>3244</v>
      </c>
      <c r="C45" t="s">
        <v>3245</v>
      </c>
      <c r="D45" t="s">
        <v>3246</v>
      </c>
      <c r="E45" t="s">
        <v>187</v>
      </c>
      <c r="F45" t="s">
        <v>186</v>
      </c>
      <c r="G45" t="s">
        <v>186</v>
      </c>
      <c r="H45">
        <v>43</v>
      </c>
      <c r="I45">
        <v>1</v>
      </c>
      <c r="J45" s="110">
        <v>43</v>
      </c>
      <c r="K45" t="s">
        <v>185</v>
      </c>
      <c r="L45">
        <f>IF(Table_TRM_Fixtures[[#This Row],[Technology]]="LED", Table_TRM_Fixtures[[#This Row],[Fixture Watts  (TRM Data)]], Table_TRM_Fixtures[[#This Row],[Lamp Watts  (TRM Data)]])</f>
        <v>43</v>
      </c>
      <c r="M45" t="str">
        <f>Table_TRM_Fixtures[[#This Row],[No. of Lamps  (TRM Data)]]</f>
        <v>N/A</v>
      </c>
      <c r="N45" t="s">
        <v>186</v>
      </c>
      <c r="O45" t="s">
        <v>186</v>
      </c>
      <c r="P45" t="s">
        <v>187</v>
      </c>
      <c r="S45" t="s">
        <v>272</v>
      </c>
      <c r="T45" t="str">
        <f>Table_TRM_Fixtures[[#This Row],[Fixture code  (TRM Data)]]</f>
        <v>LED043-SCRW</v>
      </c>
      <c r="U45" t="s">
        <v>2883</v>
      </c>
      <c r="V45" t="s">
        <v>185</v>
      </c>
      <c r="W45" t="s">
        <v>3120</v>
      </c>
      <c r="X45" t="s">
        <v>186</v>
      </c>
      <c r="AA45">
        <f>IF(Table_TRM_Fixtures[[#This Row],[Pre-EISA Baseline]]="Nominal", Table_TRM_Fixtures[[#This Row],[Fixture Watts  (TRM Data)]], Table_TRM_Fixtures[[#This Row],[Modified Baseline Fixture Watts]])</f>
        <v>43</v>
      </c>
    </row>
    <row r="46" spans="1:27" x14ac:dyDescent="0.2">
      <c r="A46" t="s">
        <v>275</v>
      </c>
      <c r="B46" t="s">
        <v>3247</v>
      </c>
      <c r="C46" t="s">
        <v>3248</v>
      </c>
      <c r="D46" t="s">
        <v>3249</v>
      </c>
      <c r="E46" t="s">
        <v>187</v>
      </c>
      <c r="F46" t="s">
        <v>186</v>
      </c>
      <c r="G46" t="s">
        <v>186</v>
      </c>
      <c r="H46">
        <v>44</v>
      </c>
      <c r="I46">
        <v>1</v>
      </c>
      <c r="J46" s="110">
        <v>44</v>
      </c>
      <c r="K46" t="s">
        <v>185</v>
      </c>
      <c r="L46">
        <f>IF(Table_TRM_Fixtures[[#This Row],[Technology]]="LED", Table_TRM_Fixtures[[#This Row],[Fixture Watts  (TRM Data)]], Table_TRM_Fixtures[[#This Row],[Lamp Watts  (TRM Data)]])</f>
        <v>44</v>
      </c>
      <c r="M46" t="str">
        <f>Table_TRM_Fixtures[[#This Row],[No. of Lamps  (TRM Data)]]</f>
        <v>N/A</v>
      </c>
      <c r="N46" t="s">
        <v>186</v>
      </c>
      <c r="O46" t="s">
        <v>186</v>
      </c>
      <c r="P46" t="s">
        <v>187</v>
      </c>
      <c r="S46" t="s">
        <v>274</v>
      </c>
      <c r="T46" t="str">
        <f>Table_TRM_Fixtures[[#This Row],[Fixture code  (TRM Data)]]</f>
        <v>LED044-SCRW</v>
      </c>
      <c r="U46" t="s">
        <v>2883</v>
      </c>
      <c r="V46" t="s">
        <v>185</v>
      </c>
      <c r="W46" t="s">
        <v>3120</v>
      </c>
      <c r="X46" t="s">
        <v>186</v>
      </c>
      <c r="AA46">
        <f>IF(Table_TRM_Fixtures[[#This Row],[Pre-EISA Baseline]]="Nominal", Table_TRM_Fixtures[[#This Row],[Fixture Watts  (TRM Data)]], Table_TRM_Fixtures[[#This Row],[Modified Baseline Fixture Watts]])</f>
        <v>44</v>
      </c>
    </row>
    <row r="47" spans="1:27" x14ac:dyDescent="0.2">
      <c r="A47" t="s">
        <v>277</v>
      </c>
      <c r="B47" t="s">
        <v>3250</v>
      </c>
      <c r="C47" t="s">
        <v>3251</v>
      </c>
      <c r="D47" t="s">
        <v>3252</v>
      </c>
      <c r="E47" t="s">
        <v>187</v>
      </c>
      <c r="F47" t="s">
        <v>186</v>
      </c>
      <c r="G47" t="s">
        <v>186</v>
      </c>
      <c r="H47">
        <v>45</v>
      </c>
      <c r="I47">
        <v>1</v>
      </c>
      <c r="J47" s="110">
        <v>45</v>
      </c>
      <c r="K47" t="s">
        <v>185</v>
      </c>
      <c r="L47">
        <f>IF(Table_TRM_Fixtures[[#This Row],[Technology]]="LED", Table_TRM_Fixtures[[#This Row],[Fixture Watts  (TRM Data)]], Table_TRM_Fixtures[[#This Row],[Lamp Watts  (TRM Data)]])</f>
        <v>45</v>
      </c>
      <c r="M47" t="str">
        <f>Table_TRM_Fixtures[[#This Row],[No. of Lamps  (TRM Data)]]</f>
        <v>N/A</v>
      </c>
      <c r="N47" t="s">
        <v>186</v>
      </c>
      <c r="O47" t="s">
        <v>186</v>
      </c>
      <c r="P47" t="s">
        <v>187</v>
      </c>
      <c r="S47" t="s">
        <v>276</v>
      </c>
      <c r="T47" t="str">
        <f>Table_TRM_Fixtures[[#This Row],[Fixture code  (TRM Data)]]</f>
        <v>LED045-SCRW</v>
      </c>
      <c r="U47" t="s">
        <v>2883</v>
      </c>
      <c r="V47" t="s">
        <v>185</v>
      </c>
      <c r="W47" t="s">
        <v>3120</v>
      </c>
      <c r="X47" t="s">
        <v>186</v>
      </c>
      <c r="AA47">
        <f>IF(Table_TRM_Fixtures[[#This Row],[Pre-EISA Baseline]]="Nominal", Table_TRM_Fixtures[[#This Row],[Fixture Watts  (TRM Data)]], Table_TRM_Fixtures[[#This Row],[Modified Baseline Fixture Watts]])</f>
        <v>45</v>
      </c>
    </row>
    <row r="48" spans="1:27" x14ac:dyDescent="0.2">
      <c r="A48" t="s">
        <v>279</v>
      </c>
      <c r="B48" t="s">
        <v>3253</v>
      </c>
      <c r="C48" t="s">
        <v>3254</v>
      </c>
      <c r="D48" t="s">
        <v>3255</v>
      </c>
      <c r="E48" t="s">
        <v>187</v>
      </c>
      <c r="F48" t="s">
        <v>186</v>
      </c>
      <c r="G48" t="s">
        <v>186</v>
      </c>
      <c r="H48">
        <v>46</v>
      </c>
      <c r="I48">
        <v>1</v>
      </c>
      <c r="J48" s="110">
        <v>46</v>
      </c>
      <c r="K48" t="s">
        <v>185</v>
      </c>
      <c r="L48">
        <f>IF(Table_TRM_Fixtures[[#This Row],[Technology]]="LED", Table_TRM_Fixtures[[#This Row],[Fixture Watts  (TRM Data)]], Table_TRM_Fixtures[[#This Row],[Lamp Watts  (TRM Data)]])</f>
        <v>46</v>
      </c>
      <c r="M48" t="str">
        <f>Table_TRM_Fixtures[[#This Row],[No. of Lamps  (TRM Data)]]</f>
        <v>N/A</v>
      </c>
      <c r="N48" t="s">
        <v>186</v>
      </c>
      <c r="O48" t="s">
        <v>186</v>
      </c>
      <c r="P48" t="s">
        <v>187</v>
      </c>
      <c r="S48" t="s">
        <v>278</v>
      </c>
      <c r="T48" t="str">
        <f>Table_TRM_Fixtures[[#This Row],[Fixture code  (TRM Data)]]</f>
        <v>LED046-SCRW</v>
      </c>
      <c r="U48" t="s">
        <v>2883</v>
      </c>
      <c r="V48" t="s">
        <v>185</v>
      </c>
      <c r="W48" t="s">
        <v>3120</v>
      </c>
      <c r="X48" t="s">
        <v>186</v>
      </c>
      <c r="AA48">
        <f>IF(Table_TRM_Fixtures[[#This Row],[Pre-EISA Baseline]]="Nominal", Table_TRM_Fixtures[[#This Row],[Fixture Watts  (TRM Data)]], Table_TRM_Fixtures[[#This Row],[Modified Baseline Fixture Watts]])</f>
        <v>46</v>
      </c>
    </row>
    <row r="49" spans="1:27" x14ac:dyDescent="0.2">
      <c r="A49" t="s">
        <v>281</v>
      </c>
      <c r="B49" t="s">
        <v>3256</v>
      </c>
      <c r="C49" t="s">
        <v>3257</v>
      </c>
      <c r="D49" t="s">
        <v>3258</v>
      </c>
      <c r="E49" t="s">
        <v>187</v>
      </c>
      <c r="F49" t="s">
        <v>186</v>
      </c>
      <c r="G49" t="s">
        <v>186</v>
      </c>
      <c r="H49">
        <v>47</v>
      </c>
      <c r="I49">
        <v>1</v>
      </c>
      <c r="J49" s="110">
        <v>47</v>
      </c>
      <c r="K49" t="s">
        <v>185</v>
      </c>
      <c r="L49">
        <f>IF(Table_TRM_Fixtures[[#This Row],[Technology]]="LED", Table_TRM_Fixtures[[#This Row],[Fixture Watts  (TRM Data)]], Table_TRM_Fixtures[[#This Row],[Lamp Watts  (TRM Data)]])</f>
        <v>47</v>
      </c>
      <c r="M49" t="str">
        <f>Table_TRM_Fixtures[[#This Row],[No. of Lamps  (TRM Data)]]</f>
        <v>N/A</v>
      </c>
      <c r="N49" t="s">
        <v>186</v>
      </c>
      <c r="O49" t="s">
        <v>186</v>
      </c>
      <c r="P49" t="s">
        <v>187</v>
      </c>
      <c r="S49" t="s">
        <v>280</v>
      </c>
      <c r="T49" t="str">
        <f>Table_TRM_Fixtures[[#This Row],[Fixture code  (TRM Data)]]</f>
        <v>LED047-SCRW</v>
      </c>
      <c r="U49" t="s">
        <v>2883</v>
      </c>
      <c r="V49" t="s">
        <v>185</v>
      </c>
      <c r="W49" t="s">
        <v>3120</v>
      </c>
      <c r="X49" t="s">
        <v>186</v>
      </c>
      <c r="AA49">
        <f>IF(Table_TRM_Fixtures[[#This Row],[Pre-EISA Baseline]]="Nominal", Table_TRM_Fixtures[[#This Row],[Fixture Watts  (TRM Data)]], Table_TRM_Fixtures[[#This Row],[Modified Baseline Fixture Watts]])</f>
        <v>47</v>
      </c>
    </row>
    <row r="50" spans="1:27" x14ac:dyDescent="0.2">
      <c r="A50" t="s">
        <v>283</v>
      </c>
      <c r="B50" t="s">
        <v>3259</v>
      </c>
      <c r="C50" t="s">
        <v>3260</v>
      </c>
      <c r="D50" t="s">
        <v>3261</v>
      </c>
      <c r="E50" t="s">
        <v>187</v>
      </c>
      <c r="F50" t="s">
        <v>186</v>
      </c>
      <c r="G50" t="s">
        <v>186</v>
      </c>
      <c r="H50">
        <v>48</v>
      </c>
      <c r="I50">
        <v>1</v>
      </c>
      <c r="J50" s="110">
        <v>48</v>
      </c>
      <c r="K50" t="s">
        <v>185</v>
      </c>
      <c r="L50">
        <f>IF(Table_TRM_Fixtures[[#This Row],[Technology]]="LED", Table_TRM_Fixtures[[#This Row],[Fixture Watts  (TRM Data)]], Table_TRM_Fixtures[[#This Row],[Lamp Watts  (TRM Data)]])</f>
        <v>48</v>
      </c>
      <c r="M50" t="str">
        <f>Table_TRM_Fixtures[[#This Row],[No. of Lamps  (TRM Data)]]</f>
        <v>N/A</v>
      </c>
      <c r="N50" t="s">
        <v>186</v>
      </c>
      <c r="O50" t="s">
        <v>186</v>
      </c>
      <c r="P50" t="s">
        <v>187</v>
      </c>
      <c r="S50" t="s">
        <v>282</v>
      </c>
      <c r="T50" t="str">
        <f>Table_TRM_Fixtures[[#This Row],[Fixture code  (TRM Data)]]</f>
        <v>LED048-SCRW</v>
      </c>
      <c r="U50" t="s">
        <v>2883</v>
      </c>
      <c r="V50" t="s">
        <v>185</v>
      </c>
      <c r="W50" t="s">
        <v>3120</v>
      </c>
      <c r="X50" t="s">
        <v>186</v>
      </c>
      <c r="AA50">
        <f>IF(Table_TRM_Fixtures[[#This Row],[Pre-EISA Baseline]]="Nominal", Table_TRM_Fixtures[[#This Row],[Fixture Watts  (TRM Data)]], Table_TRM_Fixtures[[#This Row],[Modified Baseline Fixture Watts]])</f>
        <v>48</v>
      </c>
    </row>
    <row r="51" spans="1:27" x14ac:dyDescent="0.2">
      <c r="A51" t="s">
        <v>285</v>
      </c>
      <c r="B51" t="s">
        <v>3262</v>
      </c>
      <c r="C51" t="s">
        <v>3263</v>
      </c>
      <c r="D51" t="s">
        <v>3264</v>
      </c>
      <c r="E51" t="s">
        <v>187</v>
      </c>
      <c r="F51" t="s">
        <v>186</v>
      </c>
      <c r="G51" t="s">
        <v>186</v>
      </c>
      <c r="H51">
        <v>49</v>
      </c>
      <c r="I51">
        <v>1</v>
      </c>
      <c r="J51" s="110">
        <v>49</v>
      </c>
      <c r="K51" t="s">
        <v>185</v>
      </c>
      <c r="L51">
        <f>IF(Table_TRM_Fixtures[[#This Row],[Technology]]="LED", Table_TRM_Fixtures[[#This Row],[Fixture Watts  (TRM Data)]], Table_TRM_Fixtures[[#This Row],[Lamp Watts  (TRM Data)]])</f>
        <v>49</v>
      </c>
      <c r="M51" t="str">
        <f>Table_TRM_Fixtures[[#This Row],[No. of Lamps  (TRM Data)]]</f>
        <v>N/A</v>
      </c>
      <c r="N51" t="s">
        <v>186</v>
      </c>
      <c r="O51" t="s">
        <v>186</v>
      </c>
      <c r="P51" t="s">
        <v>187</v>
      </c>
      <c r="S51" t="s">
        <v>284</v>
      </c>
      <c r="T51" t="str">
        <f>Table_TRM_Fixtures[[#This Row],[Fixture code  (TRM Data)]]</f>
        <v>LED049-SCRW</v>
      </c>
      <c r="U51" t="s">
        <v>2883</v>
      </c>
      <c r="V51" t="s">
        <v>185</v>
      </c>
      <c r="W51" t="s">
        <v>3120</v>
      </c>
      <c r="X51" t="s">
        <v>186</v>
      </c>
      <c r="AA51">
        <f>IF(Table_TRM_Fixtures[[#This Row],[Pre-EISA Baseline]]="Nominal", Table_TRM_Fixtures[[#This Row],[Fixture Watts  (TRM Data)]], Table_TRM_Fixtures[[#This Row],[Modified Baseline Fixture Watts]])</f>
        <v>49</v>
      </c>
    </row>
    <row r="52" spans="1:27" x14ac:dyDescent="0.2">
      <c r="A52" t="s">
        <v>287</v>
      </c>
      <c r="B52" t="s">
        <v>3265</v>
      </c>
      <c r="C52" t="s">
        <v>3266</v>
      </c>
      <c r="D52" t="s">
        <v>3267</v>
      </c>
      <c r="E52" t="s">
        <v>187</v>
      </c>
      <c r="F52" t="s">
        <v>186</v>
      </c>
      <c r="G52" t="s">
        <v>186</v>
      </c>
      <c r="H52">
        <v>50</v>
      </c>
      <c r="I52">
        <v>1</v>
      </c>
      <c r="J52" s="110">
        <v>50</v>
      </c>
      <c r="K52" t="s">
        <v>185</v>
      </c>
      <c r="L52">
        <f>IF(Table_TRM_Fixtures[[#This Row],[Technology]]="LED", Table_TRM_Fixtures[[#This Row],[Fixture Watts  (TRM Data)]], Table_TRM_Fixtures[[#This Row],[Lamp Watts  (TRM Data)]])</f>
        <v>50</v>
      </c>
      <c r="M52" t="str">
        <f>Table_TRM_Fixtures[[#This Row],[No. of Lamps  (TRM Data)]]</f>
        <v>N/A</v>
      </c>
      <c r="N52" t="s">
        <v>186</v>
      </c>
      <c r="O52" t="s">
        <v>186</v>
      </c>
      <c r="P52" t="s">
        <v>187</v>
      </c>
      <c r="S52" t="s">
        <v>286</v>
      </c>
      <c r="T52" t="str">
        <f>Table_TRM_Fixtures[[#This Row],[Fixture code  (TRM Data)]]</f>
        <v>LED050-SCRW</v>
      </c>
      <c r="U52" t="s">
        <v>2883</v>
      </c>
      <c r="V52" t="s">
        <v>185</v>
      </c>
      <c r="W52" t="s">
        <v>3120</v>
      </c>
      <c r="X52" t="s">
        <v>186</v>
      </c>
      <c r="AA52">
        <f>IF(Table_TRM_Fixtures[[#This Row],[Pre-EISA Baseline]]="Nominal", Table_TRM_Fixtures[[#This Row],[Fixture Watts  (TRM Data)]], Table_TRM_Fixtures[[#This Row],[Modified Baseline Fixture Watts]])</f>
        <v>50</v>
      </c>
    </row>
    <row r="53" spans="1:27" x14ac:dyDescent="0.2">
      <c r="A53" t="s">
        <v>289</v>
      </c>
      <c r="B53" t="s">
        <v>3268</v>
      </c>
      <c r="C53" t="s">
        <v>3269</v>
      </c>
      <c r="D53" t="s">
        <v>3270</v>
      </c>
      <c r="E53" t="s">
        <v>187</v>
      </c>
      <c r="F53" t="s">
        <v>186</v>
      </c>
      <c r="G53" t="s">
        <v>186</v>
      </c>
      <c r="H53">
        <v>1</v>
      </c>
      <c r="I53">
        <v>15</v>
      </c>
      <c r="J53" s="110">
        <v>51</v>
      </c>
      <c r="K53" t="s">
        <v>185</v>
      </c>
      <c r="L53">
        <f>IF(Table_TRM_Fixtures[[#This Row],[Technology]]="LED", Table_TRM_Fixtures[[#This Row],[Fixture Watts  (TRM Data)]], Table_TRM_Fixtures[[#This Row],[Lamp Watts  (TRM Data)]])</f>
        <v>1</v>
      </c>
      <c r="M53" t="str">
        <f>Table_TRM_Fixtures[[#This Row],[No. of Lamps  (TRM Data)]]</f>
        <v>N/A</v>
      </c>
      <c r="N53" t="s">
        <v>186</v>
      </c>
      <c r="O53" t="s">
        <v>186</v>
      </c>
      <c r="P53" t="s">
        <v>187</v>
      </c>
      <c r="S53" t="s">
        <v>288</v>
      </c>
      <c r="T53" t="str">
        <f>Table_TRM_Fixtures[[#This Row],[Fixture code  (TRM Data)]]</f>
        <v>LED001-FIXT</v>
      </c>
      <c r="U53" t="s">
        <v>2883</v>
      </c>
      <c r="V53" t="s">
        <v>185</v>
      </c>
      <c r="W53" t="s">
        <v>3120</v>
      </c>
      <c r="X53" t="s">
        <v>186</v>
      </c>
      <c r="AA53">
        <f>IF(Table_TRM_Fixtures[[#This Row],[Pre-EISA Baseline]]="Nominal", Table_TRM_Fixtures[[#This Row],[Fixture Watts  (TRM Data)]], Table_TRM_Fixtures[[#This Row],[Modified Baseline Fixture Watts]])</f>
        <v>1</v>
      </c>
    </row>
    <row r="54" spans="1:27" x14ac:dyDescent="0.2">
      <c r="A54" t="s">
        <v>291</v>
      </c>
      <c r="B54" t="s">
        <v>3271</v>
      </c>
      <c r="C54" t="s">
        <v>3272</v>
      </c>
      <c r="D54" t="s">
        <v>3273</v>
      </c>
      <c r="E54" t="s">
        <v>187</v>
      </c>
      <c r="F54" t="s">
        <v>186</v>
      </c>
      <c r="G54" t="s">
        <v>186</v>
      </c>
      <c r="H54">
        <v>2</v>
      </c>
      <c r="I54">
        <v>15</v>
      </c>
      <c r="J54" s="110">
        <v>52</v>
      </c>
      <c r="K54" t="s">
        <v>185</v>
      </c>
      <c r="L54">
        <f>IF(Table_TRM_Fixtures[[#This Row],[Technology]]="LED", Table_TRM_Fixtures[[#This Row],[Fixture Watts  (TRM Data)]], Table_TRM_Fixtures[[#This Row],[Lamp Watts  (TRM Data)]])</f>
        <v>2</v>
      </c>
      <c r="M54" t="str">
        <f>Table_TRM_Fixtures[[#This Row],[No. of Lamps  (TRM Data)]]</f>
        <v>N/A</v>
      </c>
      <c r="N54" t="s">
        <v>186</v>
      </c>
      <c r="O54" t="s">
        <v>186</v>
      </c>
      <c r="P54" t="s">
        <v>187</v>
      </c>
      <c r="S54" t="s">
        <v>290</v>
      </c>
      <c r="T54" t="str">
        <f>Table_TRM_Fixtures[[#This Row],[Fixture code  (TRM Data)]]</f>
        <v>LED002-FIXT</v>
      </c>
      <c r="U54" t="s">
        <v>2883</v>
      </c>
      <c r="V54" t="s">
        <v>185</v>
      </c>
      <c r="W54" t="s">
        <v>3120</v>
      </c>
      <c r="X54" t="s">
        <v>186</v>
      </c>
      <c r="AA54">
        <f>IF(Table_TRM_Fixtures[[#This Row],[Pre-EISA Baseline]]="Nominal", Table_TRM_Fixtures[[#This Row],[Fixture Watts  (TRM Data)]], Table_TRM_Fixtures[[#This Row],[Modified Baseline Fixture Watts]])</f>
        <v>2</v>
      </c>
    </row>
    <row r="55" spans="1:27" x14ac:dyDescent="0.2">
      <c r="A55" t="s">
        <v>293</v>
      </c>
      <c r="B55" t="s">
        <v>3274</v>
      </c>
      <c r="C55" t="s">
        <v>3275</v>
      </c>
      <c r="D55" t="s">
        <v>3276</v>
      </c>
      <c r="E55" t="s">
        <v>187</v>
      </c>
      <c r="F55" t="s">
        <v>186</v>
      </c>
      <c r="G55" t="s">
        <v>186</v>
      </c>
      <c r="H55">
        <v>3</v>
      </c>
      <c r="I55">
        <v>15</v>
      </c>
      <c r="J55" s="110">
        <v>53</v>
      </c>
      <c r="K55" t="s">
        <v>185</v>
      </c>
      <c r="L55">
        <f>IF(Table_TRM_Fixtures[[#This Row],[Technology]]="LED", Table_TRM_Fixtures[[#This Row],[Fixture Watts  (TRM Data)]], Table_TRM_Fixtures[[#This Row],[Lamp Watts  (TRM Data)]])</f>
        <v>3</v>
      </c>
      <c r="M55" t="str">
        <f>Table_TRM_Fixtures[[#This Row],[No. of Lamps  (TRM Data)]]</f>
        <v>N/A</v>
      </c>
      <c r="N55" t="s">
        <v>186</v>
      </c>
      <c r="O55" t="s">
        <v>186</v>
      </c>
      <c r="P55" t="s">
        <v>187</v>
      </c>
      <c r="S55" t="s">
        <v>292</v>
      </c>
      <c r="T55" t="str">
        <f>Table_TRM_Fixtures[[#This Row],[Fixture code  (TRM Data)]]</f>
        <v>LED003-FIXT</v>
      </c>
      <c r="U55" t="s">
        <v>2883</v>
      </c>
      <c r="V55" t="s">
        <v>185</v>
      </c>
      <c r="W55" t="s">
        <v>3120</v>
      </c>
      <c r="X55" t="s">
        <v>186</v>
      </c>
      <c r="AA55">
        <f>IF(Table_TRM_Fixtures[[#This Row],[Pre-EISA Baseline]]="Nominal", Table_TRM_Fixtures[[#This Row],[Fixture Watts  (TRM Data)]], Table_TRM_Fixtures[[#This Row],[Modified Baseline Fixture Watts]])</f>
        <v>3</v>
      </c>
    </row>
    <row r="56" spans="1:27" x14ac:dyDescent="0.2">
      <c r="A56" t="s">
        <v>295</v>
      </c>
      <c r="B56" t="s">
        <v>3277</v>
      </c>
      <c r="C56" t="s">
        <v>3278</v>
      </c>
      <c r="D56" t="s">
        <v>3279</v>
      </c>
      <c r="E56" t="s">
        <v>187</v>
      </c>
      <c r="F56" t="s">
        <v>186</v>
      </c>
      <c r="G56" t="s">
        <v>186</v>
      </c>
      <c r="H56">
        <v>4</v>
      </c>
      <c r="I56">
        <v>15</v>
      </c>
      <c r="J56" s="110">
        <v>54</v>
      </c>
      <c r="K56" t="s">
        <v>185</v>
      </c>
      <c r="L56">
        <f>IF(Table_TRM_Fixtures[[#This Row],[Technology]]="LED", Table_TRM_Fixtures[[#This Row],[Fixture Watts  (TRM Data)]], Table_TRM_Fixtures[[#This Row],[Lamp Watts  (TRM Data)]])</f>
        <v>4</v>
      </c>
      <c r="M56" t="str">
        <f>Table_TRM_Fixtures[[#This Row],[No. of Lamps  (TRM Data)]]</f>
        <v>N/A</v>
      </c>
      <c r="N56" t="s">
        <v>186</v>
      </c>
      <c r="O56" t="s">
        <v>186</v>
      </c>
      <c r="P56" t="s">
        <v>187</v>
      </c>
      <c r="S56" t="s">
        <v>294</v>
      </c>
      <c r="T56" t="str">
        <f>Table_TRM_Fixtures[[#This Row],[Fixture code  (TRM Data)]]</f>
        <v>LED004-FIXT</v>
      </c>
      <c r="U56" t="s">
        <v>2883</v>
      </c>
      <c r="V56" t="s">
        <v>185</v>
      </c>
      <c r="W56" t="s">
        <v>3120</v>
      </c>
      <c r="X56" t="s">
        <v>186</v>
      </c>
      <c r="AA56">
        <f>IF(Table_TRM_Fixtures[[#This Row],[Pre-EISA Baseline]]="Nominal", Table_TRM_Fixtures[[#This Row],[Fixture Watts  (TRM Data)]], Table_TRM_Fixtures[[#This Row],[Modified Baseline Fixture Watts]])</f>
        <v>4</v>
      </c>
    </row>
    <row r="57" spans="1:27" x14ac:dyDescent="0.2">
      <c r="A57" t="s">
        <v>297</v>
      </c>
      <c r="B57" t="s">
        <v>3280</v>
      </c>
      <c r="C57" t="s">
        <v>3281</v>
      </c>
      <c r="D57" t="s">
        <v>3282</v>
      </c>
      <c r="E57" t="s">
        <v>187</v>
      </c>
      <c r="F57" t="s">
        <v>186</v>
      </c>
      <c r="G57" t="s">
        <v>186</v>
      </c>
      <c r="H57">
        <v>5</v>
      </c>
      <c r="I57">
        <v>15</v>
      </c>
      <c r="J57" s="110">
        <v>55</v>
      </c>
      <c r="K57" t="s">
        <v>185</v>
      </c>
      <c r="L57">
        <f>IF(Table_TRM_Fixtures[[#This Row],[Technology]]="LED", Table_TRM_Fixtures[[#This Row],[Fixture Watts  (TRM Data)]], Table_TRM_Fixtures[[#This Row],[Lamp Watts  (TRM Data)]])</f>
        <v>5</v>
      </c>
      <c r="M57" t="str">
        <f>Table_TRM_Fixtures[[#This Row],[No. of Lamps  (TRM Data)]]</f>
        <v>N/A</v>
      </c>
      <c r="N57" t="s">
        <v>186</v>
      </c>
      <c r="O57" t="s">
        <v>186</v>
      </c>
      <c r="P57" t="s">
        <v>187</v>
      </c>
      <c r="S57" t="s">
        <v>296</v>
      </c>
      <c r="T57" t="str">
        <f>Table_TRM_Fixtures[[#This Row],[Fixture code  (TRM Data)]]</f>
        <v>LED005-FIXT</v>
      </c>
      <c r="U57" t="s">
        <v>2883</v>
      </c>
      <c r="V57" t="s">
        <v>185</v>
      </c>
      <c r="W57" t="s">
        <v>3120</v>
      </c>
      <c r="X57" t="s">
        <v>186</v>
      </c>
      <c r="AA57">
        <f>IF(Table_TRM_Fixtures[[#This Row],[Pre-EISA Baseline]]="Nominal", Table_TRM_Fixtures[[#This Row],[Fixture Watts  (TRM Data)]], Table_TRM_Fixtures[[#This Row],[Modified Baseline Fixture Watts]])</f>
        <v>5</v>
      </c>
    </row>
    <row r="58" spans="1:27" x14ac:dyDescent="0.2">
      <c r="A58" t="s">
        <v>299</v>
      </c>
      <c r="B58" t="s">
        <v>3283</v>
      </c>
      <c r="C58" t="s">
        <v>3284</v>
      </c>
      <c r="D58" t="s">
        <v>3285</v>
      </c>
      <c r="E58" t="s">
        <v>187</v>
      </c>
      <c r="F58" t="s">
        <v>186</v>
      </c>
      <c r="G58" t="s">
        <v>186</v>
      </c>
      <c r="H58">
        <v>6</v>
      </c>
      <c r="I58">
        <v>15</v>
      </c>
      <c r="J58" s="110">
        <v>56</v>
      </c>
      <c r="K58" t="s">
        <v>185</v>
      </c>
      <c r="L58">
        <f>IF(Table_TRM_Fixtures[[#This Row],[Technology]]="LED", Table_TRM_Fixtures[[#This Row],[Fixture Watts  (TRM Data)]], Table_TRM_Fixtures[[#This Row],[Lamp Watts  (TRM Data)]])</f>
        <v>6</v>
      </c>
      <c r="M58" t="str">
        <f>Table_TRM_Fixtures[[#This Row],[No. of Lamps  (TRM Data)]]</f>
        <v>N/A</v>
      </c>
      <c r="N58" t="s">
        <v>186</v>
      </c>
      <c r="O58" t="s">
        <v>186</v>
      </c>
      <c r="P58" t="s">
        <v>187</v>
      </c>
      <c r="S58" t="s">
        <v>298</v>
      </c>
      <c r="T58" t="str">
        <f>Table_TRM_Fixtures[[#This Row],[Fixture code  (TRM Data)]]</f>
        <v>LED006-FIXT</v>
      </c>
      <c r="U58" t="s">
        <v>2883</v>
      </c>
      <c r="V58" t="s">
        <v>185</v>
      </c>
      <c r="W58" t="s">
        <v>3120</v>
      </c>
      <c r="X58" t="s">
        <v>186</v>
      </c>
      <c r="AA58">
        <f>IF(Table_TRM_Fixtures[[#This Row],[Pre-EISA Baseline]]="Nominal", Table_TRM_Fixtures[[#This Row],[Fixture Watts  (TRM Data)]], Table_TRM_Fixtures[[#This Row],[Modified Baseline Fixture Watts]])</f>
        <v>6</v>
      </c>
    </row>
    <row r="59" spans="1:27" x14ac:dyDescent="0.2">
      <c r="A59" t="s">
        <v>301</v>
      </c>
      <c r="B59" t="s">
        <v>3286</v>
      </c>
      <c r="C59" t="s">
        <v>3287</v>
      </c>
      <c r="D59" t="s">
        <v>3288</v>
      </c>
      <c r="E59" t="s">
        <v>187</v>
      </c>
      <c r="F59" t="s">
        <v>186</v>
      </c>
      <c r="G59" t="s">
        <v>186</v>
      </c>
      <c r="H59">
        <v>7</v>
      </c>
      <c r="I59">
        <v>15</v>
      </c>
      <c r="J59" s="110">
        <v>57</v>
      </c>
      <c r="K59" t="s">
        <v>185</v>
      </c>
      <c r="L59">
        <f>IF(Table_TRM_Fixtures[[#This Row],[Technology]]="LED", Table_TRM_Fixtures[[#This Row],[Fixture Watts  (TRM Data)]], Table_TRM_Fixtures[[#This Row],[Lamp Watts  (TRM Data)]])</f>
        <v>7</v>
      </c>
      <c r="M59" t="str">
        <f>Table_TRM_Fixtures[[#This Row],[No. of Lamps  (TRM Data)]]</f>
        <v>N/A</v>
      </c>
      <c r="N59" t="s">
        <v>186</v>
      </c>
      <c r="O59" t="s">
        <v>186</v>
      </c>
      <c r="P59" t="s">
        <v>187</v>
      </c>
      <c r="S59" t="s">
        <v>300</v>
      </c>
      <c r="T59" t="str">
        <f>Table_TRM_Fixtures[[#This Row],[Fixture code  (TRM Data)]]</f>
        <v>LED007-FIXT</v>
      </c>
      <c r="U59" t="s">
        <v>2883</v>
      </c>
      <c r="V59" t="s">
        <v>185</v>
      </c>
      <c r="W59" t="s">
        <v>3120</v>
      </c>
      <c r="X59" t="s">
        <v>186</v>
      </c>
      <c r="AA59">
        <f>IF(Table_TRM_Fixtures[[#This Row],[Pre-EISA Baseline]]="Nominal", Table_TRM_Fixtures[[#This Row],[Fixture Watts  (TRM Data)]], Table_TRM_Fixtures[[#This Row],[Modified Baseline Fixture Watts]])</f>
        <v>7</v>
      </c>
    </row>
    <row r="60" spans="1:27" x14ac:dyDescent="0.2">
      <c r="A60" t="s">
        <v>303</v>
      </c>
      <c r="B60" t="s">
        <v>3289</v>
      </c>
      <c r="C60" t="s">
        <v>3290</v>
      </c>
      <c r="D60" t="s">
        <v>3291</v>
      </c>
      <c r="E60" t="s">
        <v>187</v>
      </c>
      <c r="F60" t="s">
        <v>186</v>
      </c>
      <c r="G60" t="s">
        <v>186</v>
      </c>
      <c r="H60">
        <v>8</v>
      </c>
      <c r="I60">
        <v>15</v>
      </c>
      <c r="J60" s="110">
        <v>58</v>
      </c>
      <c r="K60" t="s">
        <v>185</v>
      </c>
      <c r="L60">
        <f>IF(Table_TRM_Fixtures[[#This Row],[Technology]]="LED", Table_TRM_Fixtures[[#This Row],[Fixture Watts  (TRM Data)]], Table_TRM_Fixtures[[#This Row],[Lamp Watts  (TRM Data)]])</f>
        <v>8</v>
      </c>
      <c r="M60" t="str">
        <f>Table_TRM_Fixtures[[#This Row],[No. of Lamps  (TRM Data)]]</f>
        <v>N/A</v>
      </c>
      <c r="N60" t="s">
        <v>186</v>
      </c>
      <c r="O60" t="s">
        <v>186</v>
      </c>
      <c r="P60" t="s">
        <v>187</v>
      </c>
      <c r="S60" t="s">
        <v>302</v>
      </c>
      <c r="T60" t="str">
        <f>Table_TRM_Fixtures[[#This Row],[Fixture code  (TRM Data)]]</f>
        <v>LED008-FIXT</v>
      </c>
      <c r="U60" t="s">
        <v>2883</v>
      </c>
      <c r="V60" t="s">
        <v>185</v>
      </c>
      <c r="W60" t="s">
        <v>3120</v>
      </c>
      <c r="X60" t="s">
        <v>186</v>
      </c>
      <c r="AA60">
        <f>IF(Table_TRM_Fixtures[[#This Row],[Pre-EISA Baseline]]="Nominal", Table_TRM_Fixtures[[#This Row],[Fixture Watts  (TRM Data)]], Table_TRM_Fixtures[[#This Row],[Modified Baseline Fixture Watts]])</f>
        <v>8</v>
      </c>
    </row>
    <row r="61" spans="1:27" x14ac:dyDescent="0.2">
      <c r="A61" t="s">
        <v>305</v>
      </c>
      <c r="B61" t="s">
        <v>3292</v>
      </c>
      <c r="C61" t="s">
        <v>3293</v>
      </c>
      <c r="D61" t="s">
        <v>3294</v>
      </c>
      <c r="E61" t="s">
        <v>187</v>
      </c>
      <c r="F61" t="s">
        <v>186</v>
      </c>
      <c r="G61" t="s">
        <v>186</v>
      </c>
      <c r="H61">
        <v>9</v>
      </c>
      <c r="I61">
        <v>15</v>
      </c>
      <c r="J61" s="110">
        <v>59</v>
      </c>
      <c r="K61" t="s">
        <v>185</v>
      </c>
      <c r="L61">
        <f>IF(Table_TRM_Fixtures[[#This Row],[Technology]]="LED", Table_TRM_Fixtures[[#This Row],[Fixture Watts  (TRM Data)]], Table_TRM_Fixtures[[#This Row],[Lamp Watts  (TRM Data)]])</f>
        <v>9</v>
      </c>
      <c r="M61" t="str">
        <f>Table_TRM_Fixtures[[#This Row],[No. of Lamps  (TRM Data)]]</f>
        <v>N/A</v>
      </c>
      <c r="N61" t="s">
        <v>186</v>
      </c>
      <c r="O61" t="s">
        <v>186</v>
      </c>
      <c r="P61" t="s">
        <v>187</v>
      </c>
      <c r="S61" t="s">
        <v>304</v>
      </c>
      <c r="T61" t="str">
        <f>Table_TRM_Fixtures[[#This Row],[Fixture code  (TRM Data)]]</f>
        <v>LED009-FIXT</v>
      </c>
      <c r="U61" t="s">
        <v>2883</v>
      </c>
      <c r="V61" t="s">
        <v>185</v>
      </c>
      <c r="W61" t="s">
        <v>3120</v>
      </c>
      <c r="X61" t="s">
        <v>186</v>
      </c>
      <c r="AA61">
        <f>IF(Table_TRM_Fixtures[[#This Row],[Pre-EISA Baseline]]="Nominal", Table_TRM_Fixtures[[#This Row],[Fixture Watts  (TRM Data)]], Table_TRM_Fixtures[[#This Row],[Modified Baseline Fixture Watts]])</f>
        <v>9</v>
      </c>
    </row>
    <row r="62" spans="1:27" x14ac:dyDescent="0.2">
      <c r="A62" t="s">
        <v>307</v>
      </c>
      <c r="B62" t="s">
        <v>3295</v>
      </c>
      <c r="C62" t="s">
        <v>3296</v>
      </c>
      <c r="D62" t="s">
        <v>3297</v>
      </c>
      <c r="E62" t="s">
        <v>187</v>
      </c>
      <c r="F62" t="s">
        <v>186</v>
      </c>
      <c r="G62" t="s">
        <v>186</v>
      </c>
      <c r="H62">
        <v>10</v>
      </c>
      <c r="I62">
        <v>15</v>
      </c>
      <c r="J62" s="110">
        <v>60</v>
      </c>
      <c r="K62" t="s">
        <v>185</v>
      </c>
      <c r="L62">
        <f>IF(Table_TRM_Fixtures[[#This Row],[Technology]]="LED", Table_TRM_Fixtures[[#This Row],[Fixture Watts  (TRM Data)]], Table_TRM_Fixtures[[#This Row],[Lamp Watts  (TRM Data)]])</f>
        <v>10</v>
      </c>
      <c r="M62" t="str">
        <f>Table_TRM_Fixtures[[#This Row],[No. of Lamps  (TRM Data)]]</f>
        <v>N/A</v>
      </c>
      <c r="N62" t="s">
        <v>186</v>
      </c>
      <c r="O62" t="s">
        <v>186</v>
      </c>
      <c r="P62" t="s">
        <v>187</v>
      </c>
      <c r="S62" t="s">
        <v>306</v>
      </c>
      <c r="T62" t="str">
        <f>Table_TRM_Fixtures[[#This Row],[Fixture code  (TRM Data)]]</f>
        <v>LED010-FIXT</v>
      </c>
      <c r="U62" t="s">
        <v>2883</v>
      </c>
      <c r="V62" t="s">
        <v>185</v>
      </c>
      <c r="W62" t="s">
        <v>3120</v>
      </c>
      <c r="X62" t="s">
        <v>186</v>
      </c>
      <c r="AA62">
        <f>IF(Table_TRM_Fixtures[[#This Row],[Pre-EISA Baseline]]="Nominal", Table_TRM_Fixtures[[#This Row],[Fixture Watts  (TRM Data)]], Table_TRM_Fixtures[[#This Row],[Modified Baseline Fixture Watts]])</f>
        <v>10</v>
      </c>
    </row>
    <row r="63" spans="1:27" x14ac:dyDescent="0.2">
      <c r="A63" t="s">
        <v>309</v>
      </c>
      <c r="B63" t="s">
        <v>3298</v>
      </c>
      <c r="C63" t="s">
        <v>3299</v>
      </c>
      <c r="D63" t="s">
        <v>3300</v>
      </c>
      <c r="E63" t="s">
        <v>187</v>
      </c>
      <c r="F63" t="s">
        <v>186</v>
      </c>
      <c r="G63" t="s">
        <v>186</v>
      </c>
      <c r="H63">
        <v>11</v>
      </c>
      <c r="I63">
        <v>15</v>
      </c>
      <c r="J63" s="110">
        <v>61</v>
      </c>
      <c r="K63" t="s">
        <v>185</v>
      </c>
      <c r="L63">
        <f>IF(Table_TRM_Fixtures[[#This Row],[Technology]]="LED", Table_TRM_Fixtures[[#This Row],[Fixture Watts  (TRM Data)]], Table_TRM_Fixtures[[#This Row],[Lamp Watts  (TRM Data)]])</f>
        <v>11</v>
      </c>
      <c r="M63" t="str">
        <f>Table_TRM_Fixtures[[#This Row],[No. of Lamps  (TRM Data)]]</f>
        <v>N/A</v>
      </c>
      <c r="N63" t="s">
        <v>186</v>
      </c>
      <c r="O63" t="s">
        <v>186</v>
      </c>
      <c r="P63" t="s">
        <v>187</v>
      </c>
      <c r="S63" t="s">
        <v>308</v>
      </c>
      <c r="T63" t="str">
        <f>Table_TRM_Fixtures[[#This Row],[Fixture code  (TRM Data)]]</f>
        <v>LED011-FIXT</v>
      </c>
      <c r="U63" t="s">
        <v>2883</v>
      </c>
      <c r="V63" t="s">
        <v>185</v>
      </c>
      <c r="W63" t="s">
        <v>3120</v>
      </c>
      <c r="X63" t="s">
        <v>186</v>
      </c>
      <c r="AA63">
        <f>IF(Table_TRM_Fixtures[[#This Row],[Pre-EISA Baseline]]="Nominal", Table_TRM_Fixtures[[#This Row],[Fixture Watts  (TRM Data)]], Table_TRM_Fixtures[[#This Row],[Modified Baseline Fixture Watts]])</f>
        <v>11</v>
      </c>
    </row>
    <row r="64" spans="1:27" x14ac:dyDescent="0.2">
      <c r="A64" t="s">
        <v>311</v>
      </c>
      <c r="B64" t="s">
        <v>3301</v>
      </c>
      <c r="C64" t="s">
        <v>3302</v>
      </c>
      <c r="D64" t="s">
        <v>3303</v>
      </c>
      <c r="E64" t="s">
        <v>187</v>
      </c>
      <c r="F64" t="s">
        <v>186</v>
      </c>
      <c r="G64" t="s">
        <v>186</v>
      </c>
      <c r="H64">
        <v>12</v>
      </c>
      <c r="I64">
        <v>15</v>
      </c>
      <c r="J64" s="110">
        <v>62</v>
      </c>
      <c r="K64" t="s">
        <v>185</v>
      </c>
      <c r="L64">
        <f>IF(Table_TRM_Fixtures[[#This Row],[Technology]]="LED", Table_TRM_Fixtures[[#This Row],[Fixture Watts  (TRM Data)]], Table_TRM_Fixtures[[#This Row],[Lamp Watts  (TRM Data)]])</f>
        <v>12</v>
      </c>
      <c r="M64" t="str">
        <f>Table_TRM_Fixtures[[#This Row],[No. of Lamps  (TRM Data)]]</f>
        <v>N/A</v>
      </c>
      <c r="N64" t="s">
        <v>186</v>
      </c>
      <c r="O64" t="s">
        <v>186</v>
      </c>
      <c r="P64" t="s">
        <v>187</v>
      </c>
      <c r="S64" t="s">
        <v>310</v>
      </c>
      <c r="T64" t="str">
        <f>Table_TRM_Fixtures[[#This Row],[Fixture code  (TRM Data)]]</f>
        <v>LED012-FIXT</v>
      </c>
      <c r="U64" t="s">
        <v>2883</v>
      </c>
      <c r="V64" t="s">
        <v>185</v>
      </c>
      <c r="W64" t="s">
        <v>3120</v>
      </c>
      <c r="X64" t="s">
        <v>186</v>
      </c>
      <c r="AA64">
        <f>IF(Table_TRM_Fixtures[[#This Row],[Pre-EISA Baseline]]="Nominal", Table_TRM_Fixtures[[#This Row],[Fixture Watts  (TRM Data)]], Table_TRM_Fixtures[[#This Row],[Modified Baseline Fixture Watts]])</f>
        <v>12</v>
      </c>
    </row>
    <row r="65" spans="1:27" x14ac:dyDescent="0.2">
      <c r="A65" t="s">
        <v>313</v>
      </c>
      <c r="B65" t="s">
        <v>3304</v>
      </c>
      <c r="C65" t="s">
        <v>3305</v>
      </c>
      <c r="D65" t="s">
        <v>3306</v>
      </c>
      <c r="E65" t="s">
        <v>187</v>
      </c>
      <c r="F65" t="s">
        <v>186</v>
      </c>
      <c r="G65" t="s">
        <v>186</v>
      </c>
      <c r="H65">
        <v>13</v>
      </c>
      <c r="I65">
        <v>15</v>
      </c>
      <c r="J65" s="110">
        <v>63</v>
      </c>
      <c r="K65" t="s">
        <v>185</v>
      </c>
      <c r="L65">
        <f>IF(Table_TRM_Fixtures[[#This Row],[Technology]]="LED", Table_TRM_Fixtures[[#This Row],[Fixture Watts  (TRM Data)]], Table_TRM_Fixtures[[#This Row],[Lamp Watts  (TRM Data)]])</f>
        <v>13</v>
      </c>
      <c r="M65" t="str">
        <f>Table_TRM_Fixtures[[#This Row],[No. of Lamps  (TRM Data)]]</f>
        <v>N/A</v>
      </c>
      <c r="N65" t="s">
        <v>186</v>
      </c>
      <c r="O65" t="s">
        <v>186</v>
      </c>
      <c r="P65" t="s">
        <v>187</v>
      </c>
      <c r="S65" t="s">
        <v>312</v>
      </c>
      <c r="T65" t="str">
        <f>Table_TRM_Fixtures[[#This Row],[Fixture code  (TRM Data)]]</f>
        <v>LED013-FIXT</v>
      </c>
      <c r="U65" t="s">
        <v>2883</v>
      </c>
      <c r="V65" t="s">
        <v>185</v>
      </c>
      <c r="W65" t="s">
        <v>3120</v>
      </c>
      <c r="X65" t="s">
        <v>186</v>
      </c>
      <c r="AA65">
        <f>IF(Table_TRM_Fixtures[[#This Row],[Pre-EISA Baseline]]="Nominal", Table_TRM_Fixtures[[#This Row],[Fixture Watts  (TRM Data)]], Table_TRM_Fixtures[[#This Row],[Modified Baseline Fixture Watts]])</f>
        <v>13</v>
      </c>
    </row>
    <row r="66" spans="1:27" x14ac:dyDescent="0.2">
      <c r="A66" t="s">
        <v>315</v>
      </c>
      <c r="B66" t="s">
        <v>3307</v>
      </c>
      <c r="C66" t="s">
        <v>3308</v>
      </c>
      <c r="D66" t="s">
        <v>3309</v>
      </c>
      <c r="E66" t="s">
        <v>187</v>
      </c>
      <c r="F66" t="s">
        <v>186</v>
      </c>
      <c r="G66" t="s">
        <v>186</v>
      </c>
      <c r="H66">
        <v>14</v>
      </c>
      <c r="I66">
        <v>15</v>
      </c>
      <c r="J66" s="110">
        <v>64</v>
      </c>
      <c r="K66" t="s">
        <v>185</v>
      </c>
      <c r="L66">
        <f>IF(Table_TRM_Fixtures[[#This Row],[Technology]]="LED", Table_TRM_Fixtures[[#This Row],[Fixture Watts  (TRM Data)]], Table_TRM_Fixtures[[#This Row],[Lamp Watts  (TRM Data)]])</f>
        <v>14</v>
      </c>
      <c r="M66" t="str">
        <f>Table_TRM_Fixtures[[#This Row],[No. of Lamps  (TRM Data)]]</f>
        <v>N/A</v>
      </c>
      <c r="N66" t="s">
        <v>186</v>
      </c>
      <c r="O66" t="s">
        <v>186</v>
      </c>
      <c r="P66" t="s">
        <v>187</v>
      </c>
      <c r="S66" t="s">
        <v>314</v>
      </c>
      <c r="T66" t="str">
        <f>Table_TRM_Fixtures[[#This Row],[Fixture code  (TRM Data)]]</f>
        <v>LED014-FIXT</v>
      </c>
      <c r="U66" t="s">
        <v>2883</v>
      </c>
      <c r="V66" t="s">
        <v>185</v>
      </c>
      <c r="W66" t="s">
        <v>3120</v>
      </c>
      <c r="X66" t="s">
        <v>186</v>
      </c>
      <c r="AA66">
        <f>IF(Table_TRM_Fixtures[[#This Row],[Pre-EISA Baseline]]="Nominal", Table_TRM_Fixtures[[#This Row],[Fixture Watts  (TRM Data)]], Table_TRM_Fixtures[[#This Row],[Modified Baseline Fixture Watts]])</f>
        <v>14</v>
      </c>
    </row>
    <row r="67" spans="1:27" x14ac:dyDescent="0.2">
      <c r="A67" t="s">
        <v>317</v>
      </c>
      <c r="B67" t="s">
        <v>3310</v>
      </c>
      <c r="C67" t="s">
        <v>3311</v>
      </c>
      <c r="D67" t="s">
        <v>3312</v>
      </c>
      <c r="E67" t="s">
        <v>187</v>
      </c>
      <c r="F67" t="s">
        <v>186</v>
      </c>
      <c r="G67" t="s">
        <v>186</v>
      </c>
      <c r="H67">
        <v>15</v>
      </c>
      <c r="I67">
        <v>15</v>
      </c>
      <c r="J67" s="110">
        <v>65</v>
      </c>
      <c r="K67" t="s">
        <v>185</v>
      </c>
      <c r="L67">
        <f>IF(Table_TRM_Fixtures[[#This Row],[Technology]]="LED", Table_TRM_Fixtures[[#This Row],[Fixture Watts  (TRM Data)]], Table_TRM_Fixtures[[#This Row],[Lamp Watts  (TRM Data)]])</f>
        <v>15</v>
      </c>
      <c r="M67" t="str">
        <f>Table_TRM_Fixtures[[#This Row],[No. of Lamps  (TRM Data)]]</f>
        <v>N/A</v>
      </c>
      <c r="N67" t="s">
        <v>186</v>
      </c>
      <c r="O67" t="s">
        <v>186</v>
      </c>
      <c r="P67" t="s">
        <v>187</v>
      </c>
      <c r="S67" t="s">
        <v>316</v>
      </c>
      <c r="T67" t="str">
        <f>Table_TRM_Fixtures[[#This Row],[Fixture code  (TRM Data)]]</f>
        <v>LED015-FIXT</v>
      </c>
      <c r="U67" t="s">
        <v>2883</v>
      </c>
      <c r="V67" t="s">
        <v>185</v>
      </c>
      <c r="W67" t="s">
        <v>3120</v>
      </c>
      <c r="X67" t="s">
        <v>186</v>
      </c>
      <c r="AA67">
        <f>IF(Table_TRM_Fixtures[[#This Row],[Pre-EISA Baseline]]="Nominal", Table_TRM_Fixtures[[#This Row],[Fixture Watts  (TRM Data)]], Table_TRM_Fixtures[[#This Row],[Modified Baseline Fixture Watts]])</f>
        <v>15</v>
      </c>
    </row>
    <row r="68" spans="1:27" x14ac:dyDescent="0.2">
      <c r="A68" t="s">
        <v>319</v>
      </c>
      <c r="B68" t="s">
        <v>3313</v>
      </c>
      <c r="C68" t="s">
        <v>3314</v>
      </c>
      <c r="D68" t="s">
        <v>3315</v>
      </c>
      <c r="E68" t="s">
        <v>187</v>
      </c>
      <c r="F68" t="s">
        <v>186</v>
      </c>
      <c r="G68" t="s">
        <v>186</v>
      </c>
      <c r="H68">
        <v>16</v>
      </c>
      <c r="I68">
        <v>15</v>
      </c>
      <c r="J68" s="110">
        <v>66</v>
      </c>
      <c r="K68" t="s">
        <v>185</v>
      </c>
      <c r="L68">
        <f>IF(Table_TRM_Fixtures[[#This Row],[Technology]]="LED", Table_TRM_Fixtures[[#This Row],[Fixture Watts  (TRM Data)]], Table_TRM_Fixtures[[#This Row],[Lamp Watts  (TRM Data)]])</f>
        <v>16</v>
      </c>
      <c r="M68" t="str">
        <f>Table_TRM_Fixtures[[#This Row],[No. of Lamps  (TRM Data)]]</f>
        <v>N/A</v>
      </c>
      <c r="N68" t="s">
        <v>186</v>
      </c>
      <c r="O68" t="s">
        <v>186</v>
      </c>
      <c r="P68" t="s">
        <v>187</v>
      </c>
      <c r="S68" t="s">
        <v>318</v>
      </c>
      <c r="T68" t="str">
        <f>Table_TRM_Fixtures[[#This Row],[Fixture code  (TRM Data)]]</f>
        <v>LED016-FIXT</v>
      </c>
      <c r="U68" t="s">
        <v>2883</v>
      </c>
      <c r="V68" t="s">
        <v>185</v>
      </c>
      <c r="W68" t="s">
        <v>3120</v>
      </c>
      <c r="X68" t="s">
        <v>186</v>
      </c>
      <c r="AA68">
        <f>IF(Table_TRM_Fixtures[[#This Row],[Pre-EISA Baseline]]="Nominal", Table_TRM_Fixtures[[#This Row],[Fixture Watts  (TRM Data)]], Table_TRM_Fixtures[[#This Row],[Modified Baseline Fixture Watts]])</f>
        <v>16</v>
      </c>
    </row>
    <row r="69" spans="1:27" x14ac:dyDescent="0.2">
      <c r="A69" t="s">
        <v>321</v>
      </c>
      <c r="B69" t="s">
        <v>3316</v>
      </c>
      <c r="C69" t="s">
        <v>3317</v>
      </c>
      <c r="D69" t="s">
        <v>3318</v>
      </c>
      <c r="E69" t="s">
        <v>187</v>
      </c>
      <c r="F69" t="s">
        <v>186</v>
      </c>
      <c r="G69" t="s">
        <v>186</v>
      </c>
      <c r="H69">
        <v>17</v>
      </c>
      <c r="I69">
        <v>15</v>
      </c>
      <c r="J69" s="110">
        <v>67</v>
      </c>
      <c r="K69" t="s">
        <v>185</v>
      </c>
      <c r="L69">
        <f>IF(Table_TRM_Fixtures[[#This Row],[Technology]]="LED", Table_TRM_Fixtures[[#This Row],[Fixture Watts  (TRM Data)]], Table_TRM_Fixtures[[#This Row],[Lamp Watts  (TRM Data)]])</f>
        <v>17</v>
      </c>
      <c r="M69" t="str">
        <f>Table_TRM_Fixtures[[#This Row],[No. of Lamps  (TRM Data)]]</f>
        <v>N/A</v>
      </c>
      <c r="N69" t="s">
        <v>186</v>
      </c>
      <c r="O69" t="s">
        <v>186</v>
      </c>
      <c r="P69" t="s">
        <v>187</v>
      </c>
      <c r="S69" t="s">
        <v>320</v>
      </c>
      <c r="T69" t="str">
        <f>Table_TRM_Fixtures[[#This Row],[Fixture code  (TRM Data)]]</f>
        <v>LED017-FIXT</v>
      </c>
      <c r="U69" t="s">
        <v>2883</v>
      </c>
      <c r="V69" t="s">
        <v>185</v>
      </c>
      <c r="W69" t="s">
        <v>3120</v>
      </c>
      <c r="X69" t="s">
        <v>186</v>
      </c>
      <c r="AA69">
        <f>IF(Table_TRM_Fixtures[[#This Row],[Pre-EISA Baseline]]="Nominal", Table_TRM_Fixtures[[#This Row],[Fixture Watts  (TRM Data)]], Table_TRM_Fixtures[[#This Row],[Modified Baseline Fixture Watts]])</f>
        <v>17</v>
      </c>
    </row>
    <row r="70" spans="1:27" x14ac:dyDescent="0.2">
      <c r="A70" t="s">
        <v>323</v>
      </c>
      <c r="B70" t="s">
        <v>3319</v>
      </c>
      <c r="C70" t="s">
        <v>3320</v>
      </c>
      <c r="D70" t="s">
        <v>3321</v>
      </c>
      <c r="E70" t="s">
        <v>187</v>
      </c>
      <c r="F70" t="s">
        <v>186</v>
      </c>
      <c r="G70" t="s">
        <v>186</v>
      </c>
      <c r="H70">
        <v>18</v>
      </c>
      <c r="I70">
        <v>15</v>
      </c>
      <c r="J70" s="110">
        <v>68</v>
      </c>
      <c r="K70" t="s">
        <v>185</v>
      </c>
      <c r="L70">
        <f>IF(Table_TRM_Fixtures[[#This Row],[Technology]]="LED", Table_TRM_Fixtures[[#This Row],[Fixture Watts  (TRM Data)]], Table_TRM_Fixtures[[#This Row],[Lamp Watts  (TRM Data)]])</f>
        <v>18</v>
      </c>
      <c r="M70" t="str">
        <f>Table_TRM_Fixtures[[#This Row],[No. of Lamps  (TRM Data)]]</f>
        <v>N/A</v>
      </c>
      <c r="N70" t="s">
        <v>186</v>
      </c>
      <c r="O70" t="s">
        <v>186</v>
      </c>
      <c r="P70" t="s">
        <v>187</v>
      </c>
      <c r="S70" t="s">
        <v>322</v>
      </c>
      <c r="T70" t="str">
        <f>Table_TRM_Fixtures[[#This Row],[Fixture code  (TRM Data)]]</f>
        <v>LED018-FIXT</v>
      </c>
      <c r="U70" t="s">
        <v>2883</v>
      </c>
      <c r="V70" t="s">
        <v>185</v>
      </c>
      <c r="W70" t="s">
        <v>3120</v>
      </c>
      <c r="X70" t="s">
        <v>186</v>
      </c>
      <c r="AA70">
        <f>IF(Table_TRM_Fixtures[[#This Row],[Pre-EISA Baseline]]="Nominal", Table_TRM_Fixtures[[#This Row],[Fixture Watts  (TRM Data)]], Table_TRM_Fixtures[[#This Row],[Modified Baseline Fixture Watts]])</f>
        <v>18</v>
      </c>
    </row>
    <row r="71" spans="1:27" x14ac:dyDescent="0.2">
      <c r="A71" t="s">
        <v>325</v>
      </c>
      <c r="B71" t="s">
        <v>3322</v>
      </c>
      <c r="C71" t="s">
        <v>3323</v>
      </c>
      <c r="D71" t="s">
        <v>3324</v>
      </c>
      <c r="E71" t="s">
        <v>187</v>
      </c>
      <c r="F71" t="s">
        <v>186</v>
      </c>
      <c r="G71" t="s">
        <v>186</v>
      </c>
      <c r="H71">
        <v>19</v>
      </c>
      <c r="I71">
        <v>15</v>
      </c>
      <c r="J71" s="110">
        <v>69</v>
      </c>
      <c r="K71" t="s">
        <v>185</v>
      </c>
      <c r="L71">
        <f>IF(Table_TRM_Fixtures[[#This Row],[Technology]]="LED", Table_TRM_Fixtures[[#This Row],[Fixture Watts  (TRM Data)]], Table_TRM_Fixtures[[#This Row],[Lamp Watts  (TRM Data)]])</f>
        <v>19</v>
      </c>
      <c r="M71" t="str">
        <f>Table_TRM_Fixtures[[#This Row],[No. of Lamps  (TRM Data)]]</f>
        <v>N/A</v>
      </c>
      <c r="N71" t="s">
        <v>186</v>
      </c>
      <c r="O71" t="s">
        <v>186</v>
      </c>
      <c r="P71" t="s">
        <v>187</v>
      </c>
      <c r="S71" t="s">
        <v>324</v>
      </c>
      <c r="T71" t="str">
        <f>Table_TRM_Fixtures[[#This Row],[Fixture code  (TRM Data)]]</f>
        <v>LED019-FIXT</v>
      </c>
      <c r="U71" t="s">
        <v>2883</v>
      </c>
      <c r="V71" t="s">
        <v>185</v>
      </c>
      <c r="W71" t="s">
        <v>3120</v>
      </c>
      <c r="X71" t="s">
        <v>186</v>
      </c>
      <c r="AA71">
        <f>IF(Table_TRM_Fixtures[[#This Row],[Pre-EISA Baseline]]="Nominal", Table_TRM_Fixtures[[#This Row],[Fixture Watts  (TRM Data)]], Table_TRM_Fixtures[[#This Row],[Modified Baseline Fixture Watts]])</f>
        <v>19</v>
      </c>
    </row>
    <row r="72" spans="1:27" x14ac:dyDescent="0.2">
      <c r="A72" t="s">
        <v>327</v>
      </c>
      <c r="B72" t="s">
        <v>3325</v>
      </c>
      <c r="C72" t="s">
        <v>3326</v>
      </c>
      <c r="D72" t="s">
        <v>3327</v>
      </c>
      <c r="E72" t="s">
        <v>187</v>
      </c>
      <c r="F72" t="s">
        <v>186</v>
      </c>
      <c r="G72" t="s">
        <v>186</v>
      </c>
      <c r="H72">
        <v>20</v>
      </c>
      <c r="I72">
        <v>15</v>
      </c>
      <c r="J72" s="110">
        <v>70</v>
      </c>
      <c r="K72" t="s">
        <v>185</v>
      </c>
      <c r="L72">
        <f>IF(Table_TRM_Fixtures[[#This Row],[Technology]]="LED", Table_TRM_Fixtures[[#This Row],[Fixture Watts  (TRM Data)]], Table_TRM_Fixtures[[#This Row],[Lamp Watts  (TRM Data)]])</f>
        <v>20</v>
      </c>
      <c r="M72" t="str">
        <f>Table_TRM_Fixtures[[#This Row],[No. of Lamps  (TRM Data)]]</f>
        <v>N/A</v>
      </c>
      <c r="N72" t="s">
        <v>186</v>
      </c>
      <c r="O72" t="s">
        <v>186</v>
      </c>
      <c r="P72" t="s">
        <v>187</v>
      </c>
      <c r="S72" t="s">
        <v>326</v>
      </c>
      <c r="T72" t="str">
        <f>Table_TRM_Fixtures[[#This Row],[Fixture code  (TRM Data)]]</f>
        <v>LED020-FIXT</v>
      </c>
      <c r="U72" t="s">
        <v>2883</v>
      </c>
      <c r="V72" t="s">
        <v>185</v>
      </c>
      <c r="W72" t="s">
        <v>3120</v>
      </c>
      <c r="X72" t="s">
        <v>186</v>
      </c>
      <c r="AA72">
        <f>IF(Table_TRM_Fixtures[[#This Row],[Pre-EISA Baseline]]="Nominal", Table_TRM_Fixtures[[#This Row],[Fixture Watts  (TRM Data)]], Table_TRM_Fixtures[[#This Row],[Modified Baseline Fixture Watts]])</f>
        <v>20</v>
      </c>
    </row>
    <row r="73" spans="1:27" x14ac:dyDescent="0.2">
      <c r="A73" t="s">
        <v>329</v>
      </c>
      <c r="B73" t="s">
        <v>3328</v>
      </c>
      <c r="C73" t="s">
        <v>3329</v>
      </c>
      <c r="D73" t="s">
        <v>3330</v>
      </c>
      <c r="E73" t="s">
        <v>187</v>
      </c>
      <c r="F73" t="s">
        <v>186</v>
      </c>
      <c r="G73" t="s">
        <v>186</v>
      </c>
      <c r="H73">
        <v>21</v>
      </c>
      <c r="I73">
        <v>15</v>
      </c>
      <c r="J73" s="110">
        <v>71</v>
      </c>
      <c r="K73" t="s">
        <v>185</v>
      </c>
      <c r="L73">
        <f>IF(Table_TRM_Fixtures[[#This Row],[Technology]]="LED", Table_TRM_Fixtures[[#This Row],[Fixture Watts  (TRM Data)]], Table_TRM_Fixtures[[#This Row],[Lamp Watts  (TRM Data)]])</f>
        <v>21</v>
      </c>
      <c r="M73" t="str">
        <f>Table_TRM_Fixtures[[#This Row],[No. of Lamps  (TRM Data)]]</f>
        <v>N/A</v>
      </c>
      <c r="N73" t="s">
        <v>186</v>
      </c>
      <c r="O73" t="s">
        <v>186</v>
      </c>
      <c r="P73" t="s">
        <v>187</v>
      </c>
      <c r="S73" t="s">
        <v>328</v>
      </c>
      <c r="T73" t="str">
        <f>Table_TRM_Fixtures[[#This Row],[Fixture code  (TRM Data)]]</f>
        <v>LED021-FIXT</v>
      </c>
      <c r="U73" t="s">
        <v>2883</v>
      </c>
      <c r="V73" t="s">
        <v>185</v>
      </c>
      <c r="W73" t="s">
        <v>3120</v>
      </c>
      <c r="X73" t="s">
        <v>186</v>
      </c>
      <c r="AA73">
        <f>IF(Table_TRM_Fixtures[[#This Row],[Pre-EISA Baseline]]="Nominal", Table_TRM_Fixtures[[#This Row],[Fixture Watts  (TRM Data)]], Table_TRM_Fixtures[[#This Row],[Modified Baseline Fixture Watts]])</f>
        <v>21</v>
      </c>
    </row>
    <row r="74" spans="1:27" x14ac:dyDescent="0.2">
      <c r="A74" t="s">
        <v>331</v>
      </c>
      <c r="B74" t="s">
        <v>3331</v>
      </c>
      <c r="C74" t="s">
        <v>3332</v>
      </c>
      <c r="D74" t="s">
        <v>3333</v>
      </c>
      <c r="E74" t="s">
        <v>187</v>
      </c>
      <c r="F74" t="s">
        <v>186</v>
      </c>
      <c r="G74" t="s">
        <v>186</v>
      </c>
      <c r="H74">
        <v>22</v>
      </c>
      <c r="I74">
        <v>15</v>
      </c>
      <c r="J74" s="110">
        <v>72</v>
      </c>
      <c r="K74" t="s">
        <v>185</v>
      </c>
      <c r="L74">
        <f>IF(Table_TRM_Fixtures[[#This Row],[Technology]]="LED", Table_TRM_Fixtures[[#This Row],[Fixture Watts  (TRM Data)]], Table_TRM_Fixtures[[#This Row],[Lamp Watts  (TRM Data)]])</f>
        <v>22</v>
      </c>
      <c r="M74" t="str">
        <f>Table_TRM_Fixtures[[#This Row],[No. of Lamps  (TRM Data)]]</f>
        <v>N/A</v>
      </c>
      <c r="N74" t="s">
        <v>186</v>
      </c>
      <c r="O74" t="s">
        <v>186</v>
      </c>
      <c r="P74" t="s">
        <v>187</v>
      </c>
      <c r="S74" t="s">
        <v>330</v>
      </c>
      <c r="T74" t="str">
        <f>Table_TRM_Fixtures[[#This Row],[Fixture code  (TRM Data)]]</f>
        <v>LED022-FIXT</v>
      </c>
      <c r="U74" t="s">
        <v>2883</v>
      </c>
      <c r="V74" t="s">
        <v>185</v>
      </c>
      <c r="W74" t="s">
        <v>3120</v>
      </c>
      <c r="X74" t="s">
        <v>186</v>
      </c>
      <c r="AA74">
        <f>IF(Table_TRM_Fixtures[[#This Row],[Pre-EISA Baseline]]="Nominal", Table_TRM_Fixtures[[#This Row],[Fixture Watts  (TRM Data)]], Table_TRM_Fixtures[[#This Row],[Modified Baseline Fixture Watts]])</f>
        <v>22</v>
      </c>
    </row>
    <row r="75" spans="1:27" x14ac:dyDescent="0.2">
      <c r="A75" t="s">
        <v>333</v>
      </c>
      <c r="B75" t="s">
        <v>3334</v>
      </c>
      <c r="C75" t="s">
        <v>3335</v>
      </c>
      <c r="D75" t="s">
        <v>3336</v>
      </c>
      <c r="E75" t="s">
        <v>187</v>
      </c>
      <c r="F75" t="s">
        <v>186</v>
      </c>
      <c r="G75" t="s">
        <v>186</v>
      </c>
      <c r="H75">
        <v>23</v>
      </c>
      <c r="I75">
        <v>15</v>
      </c>
      <c r="J75" s="110">
        <v>73</v>
      </c>
      <c r="K75" t="s">
        <v>185</v>
      </c>
      <c r="L75">
        <f>IF(Table_TRM_Fixtures[[#This Row],[Technology]]="LED", Table_TRM_Fixtures[[#This Row],[Fixture Watts  (TRM Data)]], Table_TRM_Fixtures[[#This Row],[Lamp Watts  (TRM Data)]])</f>
        <v>23</v>
      </c>
      <c r="M75" t="str">
        <f>Table_TRM_Fixtures[[#This Row],[No. of Lamps  (TRM Data)]]</f>
        <v>N/A</v>
      </c>
      <c r="N75" t="s">
        <v>186</v>
      </c>
      <c r="O75" t="s">
        <v>186</v>
      </c>
      <c r="P75" t="s">
        <v>187</v>
      </c>
      <c r="S75" t="s">
        <v>332</v>
      </c>
      <c r="T75" t="str">
        <f>Table_TRM_Fixtures[[#This Row],[Fixture code  (TRM Data)]]</f>
        <v>LED023-FIXT</v>
      </c>
      <c r="U75" t="s">
        <v>2883</v>
      </c>
      <c r="V75" t="s">
        <v>185</v>
      </c>
      <c r="W75" t="s">
        <v>3120</v>
      </c>
      <c r="X75" t="s">
        <v>186</v>
      </c>
      <c r="AA75">
        <f>IF(Table_TRM_Fixtures[[#This Row],[Pre-EISA Baseline]]="Nominal", Table_TRM_Fixtures[[#This Row],[Fixture Watts  (TRM Data)]], Table_TRM_Fixtures[[#This Row],[Modified Baseline Fixture Watts]])</f>
        <v>23</v>
      </c>
    </row>
    <row r="76" spans="1:27" x14ac:dyDescent="0.2">
      <c r="A76" t="s">
        <v>335</v>
      </c>
      <c r="B76" t="s">
        <v>3337</v>
      </c>
      <c r="C76" t="s">
        <v>3338</v>
      </c>
      <c r="D76" t="s">
        <v>3339</v>
      </c>
      <c r="E76" t="s">
        <v>187</v>
      </c>
      <c r="F76" t="s">
        <v>186</v>
      </c>
      <c r="G76" t="s">
        <v>186</v>
      </c>
      <c r="H76">
        <v>24</v>
      </c>
      <c r="I76">
        <v>15</v>
      </c>
      <c r="J76" s="110">
        <v>74</v>
      </c>
      <c r="K76" t="s">
        <v>185</v>
      </c>
      <c r="L76">
        <f>IF(Table_TRM_Fixtures[[#This Row],[Technology]]="LED", Table_TRM_Fixtures[[#This Row],[Fixture Watts  (TRM Data)]], Table_TRM_Fixtures[[#This Row],[Lamp Watts  (TRM Data)]])</f>
        <v>24</v>
      </c>
      <c r="M76" t="str">
        <f>Table_TRM_Fixtures[[#This Row],[No. of Lamps  (TRM Data)]]</f>
        <v>N/A</v>
      </c>
      <c r="N76" t="s">
        <v>186</v>
      </c>
      <c r="O76" t="s">
        <v>186</v>
      </c>
      <c r="P76" t="s">
        <v>187</v>
      </c>
      <c r="S76" t="s">
        <v>334</v>
      </c>
      <c r="T76" t="str">
        <f>Table_TRM_Fixtures[[#This Row],[Fixture code  (TRM Data)]]</f>
        <v>LED024-FIXT</v>
      </c>
      <c r="U76" t="s">
        <v>2883</v>
      </c>
      <c r="V76" t="s">
        <v>185</v>
      </c>
      <c r="W76" t="s">
        <v>3120</v>
      </c>
      <c r="X76" t="s">
        <v>186</v>
      </c>
      <c r="AA76">
        <f>IF(Table_TRM_Fixtures[[#This Row],[Pre-EISA Baseline]]="Nominal", Table_TRM_Fixtures[[#This Row],[Fixture Watts  (TRM Data)]], Table_TRM_Fixtures[[#This Row],[Modified Baseline Fixture Watts]])</f>
        <v>24</v>
      </c>
    </row>
    <row r="77" spans="1:27" x14ac:dyDescent="0.2">
      <c r="A77" t="s">
        <v>337</v>
      </c>
      <c r="B77" t="s">
        <v>3340</v>
      </c>
      <c r="C77" t="s">
        <v>3341</v>
      </c>
      <c r="D77" t="s">
        <v>3342</v>
      </c>
      <c r="E77" t="s">
        <v>187</v>
      </c>
      <c r="F77" t="s">
        <v>186</v>
      </c>
      <c r="G77" t="s">
        <v>186</v>
      </c>
      <c r="H77">
        <v>25</v>
      </c>
      <c r="I77">
        <v>15</v>
      </c>
      <c r="J77" s="110">
        <v>75</v>
      </c>
      <c r="K77" t="s">
        <v>185</v>
      </c>
      <c r="L77">
        <f>IF(Table_TRM_Fixtures[[#This Row],[Technology]]="LED", Table_TRM_Fixtures[[#This Row],[Fixture Watts  (TRM Data)]], Table_TRM_Fixtures[[#This Row],[Lamp Watts  (TRM Data)]])</f>
        <v>25</v>
      </c>
      <c r="M77" t="str">
        <f>Table_TRM_Fixtures[[#This Row],[No. of Lamps  (TRM Data)]]</f>
        <v>N/A</v>
      </c>
      <c r="N77" t="s">
        <v>186</v>
      </c>
      <c r="O77" t="s">
        <v>186</v>
      </c>
      <c r="P77" t="s">
        <v>187</v>
      </c>
      <c r="S77" t="s">
        <v>336</v>
      </c>
      <c r="T77" t="str">
        <f>Table_TRM_Fixtures[[#This Row],[Fixture code  (TRM Data)]]</f>
        <v>LED025-FIXT</v>
      </c>
      <c r="U77" t="s">
        <v>2883</v>
      </c>
      <c r="V77" t="s">
        <v>185</v>
      </c>
      <c r="W77" t="s">
        <v>3120</v>
      </c>
      <c r="X77" t="s">
        <v>186</v>
      </c>
      <c r="AA77">
        <f>IF(Table_TRM_Fixtures[[#This Row],[Pre-EISA Baseline]]="Nominal", Table_TRM_Fixtures[[#This Row],[Fixture Watts  (TRM Data)]], Table_TRM_Fixtures[[#This Row],[Modified Baseline Fixture Watts]])</f>
        <v>25</v>
      </c>
    </row>
    <row r="78" spans="1:27" x14ac:dyDescent="0.2">
      <c r="A78" t="s">
        <v>339</v>
      </c>
      <c r="B78" t="s">
        <v>3343</v>
      </c>
      <c r="C78" t="s">
        <v>3344</v>
      </c>
      <c r="D78" t="s">
        <v>3345</v>
      </c>
      <c r="E78" t="s">
        <v>187</v>
      </c>
      <c r="F78" t="s">
        <v>186</v>
      </c>
      <c r="G78" t="s">
        <v>186</v>
      </c>
      <c r="H78">
        <v>26</v>
      </c>
      <c r="I78">
        <v>15</v>
      </c>
      <c r="J78" s="110">
        <v>76</v>
      </c>
      <c r="K78" t="s">
        <v>185</v>
      </c>
      <c r="L78">
        <f>IF(Table_TRM_Fixtures[[#This Row],[Technology]]="LED", Table_TRM_Fixtures[[#This Row],[Fixture Watts  (TRM Data)]], Table_TRM_Fixtures[[#This Row],[Lamp Watts  (TRM Data)]])</f>
        <v>26</v>
      </c>
      <c r="M78" t="str">
        <f>Table_TRM_Fixtures[[#This Row],[No. of Lamps  (TRM Data)]]</f>
        <v>N/A</v>
      </c>
      <c r="N78" t="s">
        <v>186</v>
      </c>
      <c r="O78" t="s">
        <v>186</v>
      </c>
      <c r="P78" t="s">
        <v>187</v>
      </c>
      <c r="S78" t="s">
        <v>338</v>
      </c>
      <c r="T78" t="str">
        <f>Table_TRM_Fixtures[[#This Row],[Fixture code  (TRM Data)]]</f>
        <v>LED026-FIXT</v>
      </c>
      <c r="U78" t="s">
        <v>2883</v>
      </c>
      <c r="V78" t="s">
        <v>185</v>
      </c>
      <c r="W78" t="s">
        <v>3120</v>
      </c>
      <c r="X78" t="s">
        <v>186</v>
      </c>
      <c r="AA78">
        <f>IF(Table_TRM_Fixtures[[#This Row],[Pre-EISA Baseline]]="Nominal", Table_TRM_Fixtures[[#This Row],[Fixture Watts  (TRM Data)]], Table_TRM_Fixtures[[#This Row],[Modified Baseline Fixture Watts]])</f>
        <v>26</v>
      </c>
    </row>
    <row r="79" spans="1:27" x14ac:dyDescent="0.2">
      <c r="A79" t="s">
        <v>341</v>
      </c>
      <c r="B79" t="s">
        <v>3346</v>
      </c>
      <c r="C79" t="s">
        <v>3347</v>
      </c>
      <c r="D79" t="s">
        <v>3348</v>
      </c>
      <c r="E79" t="s">
        <v>187</v>
      </c>
      <c r="F79" t="s">
        <v>186</v>
      </c>
      <c r="G79" t="s">
        <v>186</v>
      </c>
      <c r="H79">
        <v>27</v>
      </c>
      <c r="I79">
        <v>15</v>
      </c>
      <c r="J79" s="110">
        <v>77</v>
      </c>
      <c r="K79" t="s">
        <v>185</v>
      </c>
      <c r="L79">
        <f>IF(Table_TRM_Fixtures[[#This Row],[Technology]]="LED", Table_TRM_Fixtures[[#This Row],[Fixture Watts  (TRM Data)]], Table_TRM_Fixtures[[#This Row],[Lamp Watts  (TRM Data)]])</f>
        <v>27</v>
      </c>
      <c r="M79" t="str">
        <f>Table_TRM_Fixtures[[#This Row],[No. of Lamps  (TRM Data)]]</f>
        <v>N/A</v>
      </c>
      <c r="N79" t="s">
        <v>186</v>
      </c>
      <c r="O79" t="s">
        <v>186</v>
      </c>
      <c r="P79" t="s">
        <v>187</v>
      </c>
      <c r="S79" t="s">
        <v>340</v>
      </c>
      <c r="T79" t="str">
        <f>Table_TRM_Fixtures[[#This Row],[Fixture code  (TRM Data)]]</f>
        <v>LED027-FIXT</v>
      </c>
      <c r="U79" t="s">
        <v>2883</v>
      </c>
      <c r="V79" t="s">
        <v>185</v>
      </c>
      <c r="W79" t="s">
        <v>3120</v>
      </c>
      <c r="X79" t="s">
        <v>186</v>
      </c>
      <c r="AA79">
        <f>IF(Table_TRM_Fixtures[[#This Row],[Pre-EISA Baseline]]="Nominal", Table_TRM_Fixtures[[#This Row],[Fixture Watts  (TRM Data)]], Table_TRM_Fixtures[[#This Row],[Modified Baseline Fixture Watts]])</f>
        <v>27</v>
      </c>
    </row>
    <row r="80" spans="1:27" x14ac:dyDescent="0.2">
      <c r="A80" t="s">
        <v>343</v>
      </c>
      <c r="B80" t="s">
        <v>3349</v>
      </c>
      <c r="C80" t="s">
        <v>3350</v>
      </c>
      <c r="D80" t="s">
        <v>3351</v>
      </c>
      <c r="E80" t="s">
        <v>187</v>
      </c>
      <c r="F80" t="s">
        <v>186</v>
      </c>
      <c r="G80" t="s">
        <v>186</v>
      </c>
      <c r="H80">
        <v>28</v>
      </c>
      <c r="I80">
        <v>15</v>
      </c>
      <c r="J80" s="110">
        <v>78</v>
      </c>
      <c r="K80" t="s">
        <v>185</v>
      </c>
      <c r="L80">
        <f>IF(Table_TRM_Fixtures[[#This Row],[Technology]]="LED", Table_TRM_Fixtures[[#This Row],[Fixture Watts  (TRM Data)]], Table_TRM_Fixtures[[#This Row],[Lamp Watts  (TRM Data)]])</f>
        <v>28</v>
      </c>
      <c r="M80" t="str">
        <f>Table_TRM_Fixtures[[#This Row],[No. of Lamps  (TRM Data)]]</f>
        <v>N/A</v>
      </c>
      <c r="N80" t="s">
        <v>186</v>
      </c>
      <c r="O80" t="s">
        <v>186</v>
      </c>
      <c r="P80" t="s">
        <v>187</v>
      </c>
      <c r="S80" t="s">
        <v>342</v>
      </c>
      <c r="T80" t="str">
        <f>Table_TRM_Fixtures[[#This Row],[Fixture code  (TRM Data)]]</f>
        <v>LED028-FIXT</v>
      </c>
      <c r="U80" t="s">
        <v>2883</v>
      </c>
      <c r="V80" t="s">
        <v>185</v>
      </c>
      <c r="W80" t="s">
        <v>3120</v>
      </c>
      <c r="X80" t="s">
        <v>186</v>
      </c>
      <c r="AA80">
        <f>IF(Table_TRM_Fixtures[[#This Row],[Pre-EISA Baseline]]="Nominal", Table_TRM_Fixtures[[#This Row],[Fixture Watts  (TRM Data)]], Table_TRM_Fixtures[[#This Row],[Modified Baseline Fixture Watts]])</f>
        <v>28</v>
      </c>
    </row>
    <row r="81" spans="1:27" x14ac:dyDescent="0.2">
      <c r="A81" t="s">
        <v>345</v>
      </c>
      <c r="B81" t="s">
        <v>3352</v>
      </c>
      <c r="C81" t="s">
        <v>3353</v>
      </c>
      <c r="D81" t="s">
        <v>3354</v>
      </c>
      <c r="E81" t="s">
        <v>187</v>
      </c>
      <c r="F81" t="s">
        <v>186</v>
      </c>
      <c r="G81" t="s">
        <v>186</v>
      </c>
      <c r="H81">
        <v>29</v>
      </c>
      <c r="I81">
        <v>15</v>
      </c>
      <c r="J81" s="110">
        <v>79</v>
      </c>
      <c r="K81" t="s">
        <v>185</v>
      </c>
      <c r="L81">
        <f>IF(Table_TRM_Fixtures[[#This Row],[Technology]]="LED", Table_TRM_Fixtures[[#This Row],[Fixture Watts  (TRM Data)]], Table_TRM_Fixtures[[#This Row],[Lamp Watts  (TRM Data)]])</f>
        <v>29</v>
      </c>
      <c r="M81" t="str">
        <f>Table_TRM_Fixtures[[#This Row],[No. of Lamps  (TRM Data)]]</f>
        <v>N/A</v>
      </c>
      <c r="N81" t="s">
        <v>186</v>
      </c>
      <c r="O81" t="s">
        <v>186</v>
      </c>
      <c r="P81" t="s">
        <v>187</v>
      </c>
      <c r="S81" t="s">
        <v>344</v>
      </c>
      <c r="T81" t="str">
        <f>Table_TRM_Fixtures[[#This Row],[Fixture code  (TRM Data)]]</f>
        <v>LED029-FIXT</v>
      </c>
      <c r="U81" t="s">
        <v>2883</v>
      </c>
      <c r="V81" t="s">
        <v>185</v>
      </c>
      <c r="W81" t="s">
        <v>3120</v>
      </c>
      <c r="X81" t="s">
        <v>186</v>
      </c>
      <c r="AA81">
        <f>IF(Table_TRM_Fixtures[[#This Row],[Pre-EISA Baseline]]="Nominal", Table_TRM_Fixtures[[#This Row],[Fixture Watts  (TRM Data)]], Table_TRM_Fixtures[[#This Row],[Modified Baseline Fixture Watts]])</f>
        <v>29</v>
      </c>
    </row>
    <row r="82" spans="1:27" x14ac:dyDescent="0.2">
      <c r="A82" t="s">
        <v>347</v>
      </c>
      <c r="B82" t="s">
        <v>3355</v>
      </c>
      <c r="C82" t="s">
        <v>3356</v>
      </c>
      <c r="D82" t="s">
        <v>3357</v>
      </c>
      <c r="E82" t="s">
        <v>187</v>
      </c>
      <c r="F82" t="s">
        <v>186</v>
      </c>
      <c r="G82" t="s">
        <v>186</v>
      </c>
      <c r="H82">
        <v>30</v>
      </c>
      <c r="I82">
        <v>15</v>
      </c>
      <c r="J82" s="110">
        <v>80</v>
      </c>
      <c r="K82" t="s">
        <v>185</v>
      </c>
      <c r="L82">
        <f>IF(Table_TRM_Fixtures[[#This Row],[Technology]]="LED", Table_TRM_Fixtures[[#This Row],[Fixture Watts  (TRM Data)]], Table_TRM_Fixtures[[#This Row],[Lamp Watts  (TRM Data)]])</f>
        <v>30</v>
      </c>
      <c r="M82" t="str">
        <f>Table_TRM_Fixtures[[#This Row],[No. of Lamps  (TRM Data)]]</f>
        <v>N/A</v>
      </c>
      <c r="N82" t="s">
        <v>186</v>
      </c>
      <c r="O82" t="s">
        <v>186</v>
      </c>
      <c r="P82" t="s">
        <v>187</v>
      </c>
      <c r="S82" t="s">
        <v>346</v>
      </c>
      <c r="T82" t="str">
        <f>Table_TRM_Fixtures[[#This Row],[Fixture code  (TRM Data)]]</f>
        <v>LED030-FIXT</v>
      </c>
      <c r="U82" t="s">
        <v>2883</v>
      </c>
      <c r="V82" t="s">
        <v>185</v>
      </c>
      <c r="W82" t="s">
        <v>3120</v>
      </c>
      <c r="X82" t="s">
        <v>186</v>
      </c>
      <c r="AA82">
        <f>IF(Table_TRM_Fixtures[[#This Row],[Pre-EISA Baseline]]="Nominal", Table_TRM_Fixtures[[#This Row],[Fixture Watts  (TRM Data)]], Table_TRM_Fixtures[[#This Row],[Modified Baseline Fixture Watts]])</f>
        <v>30</v>
      </c>
    </row>
    <row r="83" spans="1:27" x14ac:dyDescent="0.2">
      <c r="A83" t="s">
        <v>349</v>
      </c>
      <c r="B83" t="s">
        <v>3358</v>
      </c>
      <c r="C83" t="s">
        <v>3359</v>
      </c>
      <c r="D83" t="s">
        <v>3360</v>
      </c>
      <c r="E83" t="s">
        <v>187</v>
      </c>
      <c r="F83" t="s">
        <v>186</v>
      </c>
      <c r="G83" t="s">
        <v>186</v>
      </c>
      <c r="H83">
        <v>31</v>
      </c>
      <c r="I83">
        <v>15</v>
      </c>
      <c r="J83" s="110">
        <v>81</v>
      </c>
      <c r="K83" t="s">
        <v>185</v>
      </c>
      <c r="L83">
        <f>IF(Table_TRM_Fixtures[[#This Row],[Technology]]="LED", Table_TRM_Fixtures[[#This Row],[Fixture Watts  (TRM Data)]], Table_TRM_Fixtures[[#This Row],[Lamp Watts  (TRM Data)]])</f>
        <v>31</v>
      </c>
      <c r="M83" t="str">
        <f>Table_TRM_Fixtures[[#This Row],[No. of Lamps  (TRM Data)]]</f>
        <v>N/A</v>
      </c>
      <c r="N83" t="s">
        <v>186</v>
      </c>
      <c r="O83" t="s">
        <v>186</v>
      </c>
      <c r="P83" t="s">
        <v>187</v>
      </c>
      <c r="S83" t="s">
        <v>348</v>
      </c>
      <c r="T83" t="str">
        <f>Table_TRM_Fixtures[[#This Row],[Fixture code  (TRM Data)]]</f>
        <v>LED031-FIXT</v>
      </c>
      <c r="U83" t="s">
        <v>2883</v>
      </c>
      <c r="V83" t="s">
        <v>185</v>
      </c>
      <c r="W83" t="s">
        <v>3120</v>
      </c>
      <c r="X83" t="s">
        <v>186</v>
      </c>
      <c r="AA83">
        <f>IF(Table_TRM_Fixtures[[#This Row],[Pre-EISA Baseline]]="Nominal", Table_TRM_Fixtures[[#This Row],[Fixture Watts  (TRM Data)]], Table_TRM_Fixtures[[#This Row],[Modified Baseline Fixture Watts]])</f>
        <v>31</v>
      </c>
    </row>
    <row r="84" spans="1:27" x14ac:dyDescent="0.2">
      <c r="A84" t="s">
        <v>351</v>
      </c>
      <c r="B84" t="s">
        <v>3361</v>
      </c>
      <c r="C84" t="s">
        <v>3362</v>
      </c>
      <c r="D84" t="s">
        <v>3363</v>
      </c>
      <c r="E84" t="s">
        <v>187</v>
      </c>
      <c r="F84" t="s">
        <v>186</v>
      </c>
      <c r="G84" t="s">
        <v>186</v>
      </c>
      <c r="H84">
        <v>32</v>
      </c>
      <c r="I84">
        <v>15</v>
      </c>
      <c r="J84" s="110">
        <v>82</v>
      </c>
      <c r="K84" t="s">
        <v>185</v>
      </c>
      <c r="L84">
        <f>IF(Table_TRM_Fixtures[[#This Row],[Technology]]="LED", Table_TRM_Fixtures[[#This Row],[Fixture Watts  (TRM Data)]], Table_TRM_Fixtures[[#This Row],[Lamp Watts  (TRM Data)]])</f>
        <v>32</v>
      </c>
      <c r="M84" t="str">
        <f>Table_TRM_Fixtures[[#This Row],[No. of Lamps  (TRM Data)]]</f>
        <v>N/A</v>
      </c>
      <c r="N84" t="s">
        <v>186</v>
      </c>
      <c r="O84" t="s">
        <v>186</v>
      </c>
      <c r="P84" t="s">
        <v>187</v>
      </c>
      <c r="S84" t="s">
        <v>350</v>
      </c>
      <c r="T84" t="str">
        <f>Table_TRM_Fixtures[[#This Row],[Fixture code  (TRM Data)]]</f>
        <v>LED032-FIXT</v>
      </c>
      <c r="U84" t="s">
        <v>2883</v>
      </c>
      <c r="V84" t="s">
        <v>185</v>
      </c>
      <c r="W84" t="s">
        <v>3120</v>
      </c>
      <c r="X84" t="s">
        <v>186</v>
      </c>
      <c r="AA84">
        <f>IF(Table_TRM_Fixtures[[#This Row],[Pre-EISA Baseline]]="Nominal", Table_TRM_Fixtures[[#This Row],[Fixture Watts  (TRM Data)]], Table_TRM_Fixtures[[#This Row],[Modified Baseline Fixture Watts]])</f>
        <v>32</v>
      </c>
    </row>
    <row r="85" spans="1:27" x14ac:dyDescent="0.2">
      <c r="A85" t="s">
        <v>353</v>
      </c>
      <c r="B85" t="s">
        <v>3364</v>
      </c>
      <c r="C85" t="s">
        <v>3365</v>
      </c>
      <c r="D85" t="s">
        <v>3366</v>
      </c>
      <c r="E85" t="s">
        <v>187</v>
      </c>
      <c r="F85" t="s">
        <v>186</v>
      </c>
      <c r="G85" t="s">
        <v>186</v>
      </c>
      <c r="H85">
        <v>33</v>
      </c>
      <c r="I85">
        <v>15</v>
      </c>
      <c r="J85" s="110">
        <v>83</v>
      </c>
      <c r="K85" t="s">
        <v>185</v>
      </c>
      <c r="L85">
        <f>IF(Table_TRM_Fixtures[[#This Row],[Technology]]="LED", Table_TRM_Fixtures[[#This Row],[Fixture Watts  (TRM Data)]], Table_TRM_Fixtures[[#This Row],[Lamp Watts  (TRM Data)]])</f>
        <v>33</v>
      </c>
      <c r="M85" t="str">
        <f>Table_TRM_Fixtures[[#This Row],[No. of Lamps  (TRM Data)]]</f>
        <v>N/A</v>
      </c>
      <c r="N85" t="s">
        <v>186</v>
      </c>
      <c r="O85" t="s">
        <v>186</v>
      </c>
      <c r="P85" t="s">
        <v>187</v>
      </c>
      <c r="S85" t="s">
        <v>352</v>
      </c>
      <c r="T85" t="str">
        <f>Table_TRM_Fixtures[[#This Row],[Fixture code  (TRM Data)]]</f>
        <v>LED033-FIXT</v>
      </c>
      <c r="U85" t="s">
        <v>2883</v>
      </c>
      <c r="V85" t="s">
        <v>185</v>
      </c>
      <c r="W85" t="s">
        <v>3120</v>
      </c>
      <c r="X85" t="s">
        <v>186</v>
      </c>
      <c r="AA85">
        <f>IF(Table_TRM_Fixtures[[#This Row],[Pre-EISA Baseline]]="Nominal", Table_TRM_Fixtures[[#This Row],[Fixture Watts  (TRM Data)]], Table_TRM_Fixtures[[#This Row],[Modified Baseline Fixture Watts]])</f>
        <v>33</v>
      </c>
    </row>
    <row r="86" spans="1:27" x14ac:dyDescent="0.2">
      <c r="A86" t="s">
        <v>355</v>
      </c>
      <c r="B86" t="s">
        <v>3367</v>
      </c>
      <c r="C86" t="s">
        <v>3368</v>
      </c>
      <c r="D86" t="s">
        <v>3369</v>
      </c>
      <c r="E86" t="s">
        <v>187</v>
      </c>
      <c r="F86" t="s">
        <v>186</v>
      </c>
      <c r="G86" t="s">
        <v>186</v>
      </c>
      <c r="H86">
        <v>34</v>
      </c>
      <c r="I86">
        <v>15</v>
      </c>
      <c r="J86" s="110">
        <v>84</v>
      </c>
      <c r="K86" t="s">
        <v>185</v>
      </c>
      <c r="L86">
        <f>IF(Table_TRM_Fixtures[[#This Row],[Technology]]="LED", Table_TRM_Fixtures[[#This Row],[Fixture Watts  (TRM Data)]], Table_TRM_Fixtures[[#This Row],[Lamp Watts  (TRM Data)]])</f>
        <v>34</v>
      </c>
      <c r="M86" t="str">
        <f>Table_TRM_Fixtures[[#This Row],[No. of Lamps  (TRM Data)]]</f>
        <v>N/A</v>
      </c>
      <c r="N86" t="s">
        <v>186</v>
      </c>
      <c r="O86" t="s">
        <v>186</v>
      </c>
      <c r="P86" t="s">
        <v>187</v>
      </c>
      <c r="S86" t="s">
        <v>354</v>
      </c>
      <c r="T86" t="str">
        <f>Table_TRM_Fixtures[[#This Row],[Fixture code  (TRM Data)]]</f>
        <v>LED034-FIXT</v>
      </c>
      <c r="U86" t="s">
        <v>2883</v>
      </c>
      <c r="V86" t="s">
        <v>185</v>
      </c>
      <c r="W86" t="s">
        <v>3120</v>
      </c>
      <c r="X86" t="s">
        <v>186</v>
      </c>
      <c r="AA86">
        <f>IF(Table_TRM_Fixtures[[#This Row],[Pre-EISA Baseline]]="Nominal", Table_TRM_Fixtures[[#This Row],[Fixture Watts  (TRM Data)]], Table_TRM_Fixtures[[#This Row],[Modified Baseline Fixture Watts]])</f>
        <v>34</v>
      </c>
    </row>
    <row r="87" spans="1:27" x14ac:dyDescent="0.2">
      <c r="A87" t="s">
        <v>357</v>
      </c>
      <c r="B87" t="s">
        <v>3370</v>
      </c>
      <c r="C87" t="s">
        <v>3371</v>
      </c>
      <c r="D87" t="s">
        <v>3372</v>
      </c>
      <c r="E87" t="s">
        <v>187</v>
      </c>
      <c r="F87" t="s">
        <v>186</v>
      </c>
      <c r="G87" t="s">
        <v>186</v>
      </c>
      <c r="H87">
        <v>35</v>
      </c>
      <c r="I87">
        <v>15</v>
      </c>
      <c r="J87" s="110">
        <v>85</v>
      </c>
      <c r="K87" t="s">
        <v>185</v>
      </c>
      <c r="L87">
        <f>IF(Table_TRM_Fixtures[[#This Row],[Technology]]="LED", Table_TRM_Fixtures[[#This Row],[Fixture Watts  (TRM Data)]], Table_TRM_Fixtures[[#This Row],[Lamp Watts  (TRM Data)]])</f>
        <v>35</v>
      </c>
      <c r="M87" t="str">
        <f>Table_TRM_Fixtures[[#This Row],[No. of Lamps  (TRM Data)]]</f>
        <v>N/A</v>
      </c>
      <c r="N87" t="s">
        <v>186</v>
      </c>
      <c r="O87" t="s">
        <v>186</v>
      </c>
      <c r="P87" t="s">
        <v>187</v>
      </c>
      <c r="S87" t="s">
        <v>356</v>
      </c>
      <c r="T87" t="str">
        <f>Table_TRM_Fixtures[[#This Row],[Fixture code  (TRM Data)]]</f>
        <v>LED035-FIXT</v>
      </c>
      <c r="U87" t="s">
        <v>2883</v>
      </c>
      <c r="V87" t="s">
        <v>185</v>
      </c>
      <c r="W87" t="s">
        <v>3120</v>
      </c>
      <c r="X87" t="s">
        <v>186</v>
      </c>
      <c r="AA87">
        <f>IF(Table_TRM_Fixtures[[#This Row],[Pre-EISA Baseline]]="Nominal", Table_TRM_Fixtures[[#This Row],[Fixture Watts  (TRM Data)]], Table_TRM_Fixtures[[#This Row],[Modified Baseline Fixture Watts]])</f>
        <v>35</v>
      </c>
    </row>
    <row r="88" spans="1:27" x14ac:dyDescent="0.2">
      <c r="A88" t="s">
        <v>359</v>
      </c>
      <c r="B88" t="s">
        <v>3373</v>
      </c>
      <c r="C88" t="s">
        <v>3374</v>
      </c>
      <c r="D88" t="s">
        <v>3375</v>
      </c>
      <c r="E88" t="s">
        <v>187</v>
      </c>
      <c r="F88" t="s">
        <v>186</v>
      </c>
      <c r="G88" t="s">
        <v>186</v>
      </c>
      <c r="H88">
        <v>36</v>
      </c>
      <c r="I88">
        <v>15</v>
      </c>
      <c r="J88" s="110">
        <v>86</v>
      </c>
      <c r="K88" t="s">
        <v>185</v>
      </c>
      <c r="L88">
        <f>IF(Table_TRM_Fixtures[[#This Row],[Technology]]="LED", Table_TRM_Fixtures[[#This Row],[Fixture Watts  (TRM Data)]], Table_TRM_Fixtures[[#This Row],[Lamp Watts  (TRM Data)]])</f>
        <v>36</v>
      </c>
      <c r="M88" t="str">
        <f>Table_TRM_Fixtures[[#This Row],[No. of Lamps  (TRM Data)]]</f>
        <v>N/A</v>
      </c>
      <c r="N88" t="s">
        <v>186</v>
      </c>
      <c r="O88" t="s">
        <v>186</v>
      </c>
      <c r="P88" t="s">
        <v>187</v>
      </c>
      <c r="S88" t="s">
        <v>358</v>
      </c>
      <c r="T88" t="str">
        <f>Table_TRM_Fixtures[[#This Row],[Fixture code  (TRM Data)]]</f>
        <v>LED036-FIXT</v>
      </c>
      <c r="U88" t="s">
        <v>2883</v>
      </c>
      <c r="V88" t="s">
        <v>185</v>
      </c>
      <c r="W88" t="s">
        <v>3120</v>
      </c>
      <c r="X88" t="s">
        <v>186</v>
      </c>
      <c r="AA88">
        <f>IF(Table_TRM_Fixtures[[#This Row],[Pre-EISA Baseline]]="Nominal", Table_TRM_Fixtures[[#This Row],[Fixture Watts  (TRM Data)]], Table_TRM_Fixtures[[#This Row],[Modified Baseline Fixture Watts]])</f>
        <v>36</v>
      </c>
    </row>
    <row r="89" spans="1:27" x14ac:dyDescent="0.2">
      <c r="A89" t="s">
        <v>361</v>
      </c>
      <c r="B89" t="s">
        <v>3376</v>
      </c>
      <c r="C89" t="s">
        <v>3377</v>
      </c>
      <c r="D89" t="s">
        <v>3378</v>
      </c>
      <c r="E89" t="s">
        <v>187</v>
      </c>
      <c r="F89" t="s">
        <v>186</v>
      </c>
      <c r="G89" t="s">
        <v>186</v>
      </c>
      <c r="H89">
        <v>37</v>
      </c>
      <c r="I89">
        <v>15</v>
      </c>
      <c r="J89" s="110">
        <v>87</v>
      </c>
      <c r="K89" t="s">
        <v>185</v>
      </c>
      <c r="L89">
        <f>IF(Table_TRM_Fixtures[[#This Row],[Technology]]="LED", Table_TRM_Fixtures[[#This Row],[Fixture Watts  (TRM Data)]], Table_TRM_Fixtures[[#This Row],[Lamp Watts  (TRM Data)]])</f>
        <v>37</v>
      </c>
      <c r="M89" t="str">
        <f>Table_TRM_Fixtures[[#This Row],[No. of Lamps  (TRM Data)]]</f>
        <v>N/A</v>
      </c>
      <c r="N89" t="s">
        <v>186</v>
      </c>
      <c r="O89" t="s">
        <v>186</v>
      </c>
      <c r="P89" t="s">
        <v>187</v>
      </c>
      <c r="S89" t="s">
        <v>360</v>
      </c>
      <c r="T89" t="str">
        <f>Table_TRM_Fixtures[[#This Row],[Fixture code  (TRM Data)]]</f>
        <v>LED037-FIXT</v>
      </c>
      <c r="U89" t="s">
        <v>2883</v>
      </c>
      <c r="V89" t="s">
        <v>185</v>
      </c>
      <c r="W89" t="s">
        <v>3120</v>
      </c>
      <c r="X89" t="s">
        <v>186</v>
      </c>
      <c r="AA89">
        <f>IF(Table_TRM_Fixtures[[#This Row],[Pre-EISA Baseline]]="Nominal", Table_TRM_Fixtures[[#This Row],[Fixture Watts  (TRM Data)]], Table_TRM_Fixtures[[#This Row],[Modified Baseline Fixture Watts]])</f>
        <v>37</v>
      </c>
    </row>
    <row r="90" spans="1:27" x14ac:dyDescent="0.2">
      <c r="A90" t="s">
        <v>363</v>
      </c>
      <c r="B90" t="s">
        <v>3379</v>
      </c>
      <c r="C90" t="s">
        <v>3380</v>
      </c>
      <c r="D90" t="s">
        <v>3381</v>
      </c>
      <c r="E90" t="s">
        <v>187</v>
      </c>
      <c r="F90" t="s">
        <v>186</v>
      </c>
      <c r="G90" t="s">
        <v>186</v>
      </c>
      <c r="H90">
        <v>38</v>
      </c>
      <c r="I90">
        <v>15</v>
      </c>
      <c r="J90" s="110">
        <v>88</v>
      </c>
      <c r="K90" t="s">
        <v>185</v>
      </c>
      <c r="L90">
        <f>IF(Table_TRM_Fixtures[[#This Row],[Technology]]="LED", Table_TRM_Fixtures[[#This Row],[Fixture Watts  (TRM Data)]], Table_TRM_Fixtures[[#This Row],[Lamp Watts  (TRM Data)]])</f>
        <v>38</v>
      </c>
      <c r="M90" t="str">
        <f>Table_TRM_Fixtures[[#This Row],[No. of Lamps  (TRM Data)]]</f>
        <v>N/A</v>
      </c>
      <c r="N90" t="s">
        <v>186</v>
      </c>
      <c r="O90" t="s">
        <v>186</v>
      </c>
      <c r="P90" t="s">
        <v>187</v>
      </c>
      <c r="S90" t="s">
        <v>362</v>
      </c>
      <c r="T90" t="str">
        <f>Table_TRM_Fixtures[[#This Row],[Fixture code  (TRM Data)]]</f>
        <v>LED038-FIXT</v>
      </c>
      <c r="U90" t="s">
        <v>2883</v>
      </c>
      <c r="V90" t="s">
        <v>185</v>
      </c>
      <c r="W90" t="s">
        <v>3120</v>
      </c>
      <c r="X90" t="s">
        <v>186</v>
      </c>
      <c r="AA90">
        <f>IF(Table_TRM_Fixtures[[#This Row],[Pre-EISA Baseline]]="Nominal", Table_TRM_Fixtures[[#This Row],[Fixture Watts  (TRM Data)]], Table_TRM_Fixtures[[#This Row],[Modified Baseline Fixture Watts]])</f>
        <v>38</v>
      </c>
    </row>
    <row r="91" spans="1:27" x14ac:dyDescent="0.2">
      <c r="A91" t="s">
        <v>365</v>
      </c>
      <c r="B91" t="s">
        <v>3382</v>
      </c>
      <c r="C91" t="s">
        <v>3383</v>
      </c>
      <c r="D91" t="s">
        <v>3384</v>
      </c>
      <c r="E91" t="s">
        <v>187</v>
      </c>
      <c r="F91" t="s">
        <v>186</v>
      </c>
      <c r="G91" t="s">
        <v>186</v>
      </c>
      <c r="H91">
        <v>39</v>
      </c>
      <c r="I91">
        <v>15</v>
      </c>
      <c r="J91" s="110">
        <v>89</v>
      </c>
      <c r="K91" t="s">
        <v>185</v>
      </c>
      <c r="L91">
        <f>IF(Table_TRM_Fixtures[[#This Row],[Technology]]="LED", Table_TRM_Fixtures[[#This Row],[Fixture Watts  (TRM Data)]], Table_TRM_Fixtures[[#This Row],[Lamp Watts  (TRM Data)]])</f>
        <v>39</v>
      </c>
      <c r="M91" t="str">
        <f>Table_TRM_Fixtures[[#This Row],[No. of Lamps  (TRM Data)]]</f>
        <v>N/A</v>
      </c>
      <c r="N91" t="s">
        <v>186</v>
      </c>
      <c r="O91" t="s">
        <v>186</v>
      </c>
      <c r="P91" t="s">
        <v>187</v>
      </c>
      <c r="S91" t="s">
        <v>364</v>
      </c>
      <c r="T91" t="str">
        <f>Table_TRM_Fixtures[[#This Row],[Fixture code  (TRM Data)]]</f>
        <v>LED039-FIXT</v>
      </c>
      <c r="U91" t="s">
        <v>2883</v>
      </c>
      <c r="V91" t="s">
        <v>185</v>
      </c>
      <c r="W91" t="s">
        <v>3120</v>
      </c>
      <c r="X91" t="s">
        <v>186</v>
      </c>
      <c r="AA91">
        <f>IF(Table_TRM_Fixtures[[#This Row],[Pre-EISA Baseline]]="Nominal", Table_TRM_Fixtures[[#This Row],[Fixture Watts  (TRM Data)]], Table_TRM_Fixtures[[#This Row],[Modified Baseline Fixture Watts]])</f>
        <v>39</v>
      </c>
    </row>
    <row r="92" spans="1:27" x14ac:dyDescent="0.2">
      <c r="A92" t="s">
        <v>367</v>
      </c>
      <c r="B92" t="s">
        <v>3385</v>
      </c>
      <c r="C92" t="s">
        <v>3386</v>
      </c>
      <c r="D92" t="s">
        <v>3387</v>
      </c>
      <c r="E92" t="s">
        <v>187</v>
      </c>
      <c r="F92" t="s">
        <v>186</v>
      </c>
      <c r="G92" t="s">
        <v>186</v>
      </c>
      <c r="H92">
        <v>40</v>
      </c>
      <c r="I92">
        <v>15</v>
      </c>
      <c r="J92" s="110">
        <v>90</v>
      </c>
      <c r="K92" t="s">
        <v>185</v>
      </c>
      <c r="L92">
        <f>IF(Table_TRM_Fixtures[[#This Row],[Technology]]="LED", Table_TRM_Fixtures[[#This Row],[Fixture Watts  (TRM Data)]], Table_TRM_Fixtures[[#This Row],[Lamp Watts  (TRM Data)]])</f>
        <v>40</v>
      </c>
      <c r="M92" t="str">
        <f>Table_TRM_Fixtures[[#This Row],[No. of Lamps  (TRM Data)]]</f>
        <v>N/A</v>
      </c>
      <c r="N92" t="s">
        <v>186</v>
      </c>
      <c r="O92" t="s">
        <v>186</v>
      </c>
      <c r="P92" t="s">
        <v>187</v>
      </c>
      <c r="S92" t="s">
        <v>366</v>
      </c>
      <c r="T92" t="str">
        <f>Table_TRM_Fixtures[[#This Row],[Fixture code  (TRM Data)]]</f>
        <v>LED040-FIXT</v>
      </c>
      <c r="U92" t="s">
        <v>2883</v>
      </c>
      <c r="V92" t="s">
        <v>185</v>
      </c>
      <c r="W92" t="s">
        <v>3120</v>
      </c>
      <c r="X92" t="s">
        <v>186</v>
      </c>
      <c r="AA92">
        <f>IF(Table_TRM_Fixtures[[#This Row],[Pre-EISA Baseline]]="Nominal", Table_TRM_Fixtures[[#This Row],[Fixture Watts  (TRM Data)]], Table_TRM_Fixtures[[#This Row],[Modified Baseline Fixture Watts]])</f>
        <v>40</v>
      </c>
    </row>
    <row r="93" spans="1:27" x14ac:dyDescent="0.2">
      <c r="A93" t="s">
        <v>369</v>
      </c>
      <c r="B93" t="s">
        <v>3388</v>
      </c>
      <c r="C93" t="s">
        <v>3389</v>
      </c>
      <c r="D93" t="s">
        <v>3390</v>
      </c>
      <c r="E93" t="s">
        <v>187</v>
      </c>
      <c r="F93" t="s">
        <v>186</v>
      </c>
      <c r="G93" t="s">
        <v>186</v>
      </c>
      <c r="H93">
        <v>41</v>
      </c>
      <c r="I93">
        <v>15</v>
      </c>
      <c r="J93" s="110">
        <v>91</v>
      </c>
      <c r="K93" t="s">
        <v>185</v>
      </c>
      <c r="L93">
        <f>IF(Table_TRM_Fixtures[[#This Row],[Technology]]="LED", Table_TRM_Fixtures[[#This Row],[Fixture Watts  (TRM Data)]], Table_TRM_Fixtures[[#This Row],[Lamp Watts  (TRM Data)]])</f>
        <v>41</v>
      </c>
      <c r="M93" t="str">
        <f>Table_TRM_Fixtures[[#This Row],[No. of Lamps  (TRM Data)]]</f>
        <v>N/A</v>
      </c>
      <c r="N93" t="s">
        <v>186</v>
      </c>
      <c r="O93" t="s">
        <v>186</v>
      </c>
      <c r="P93" t="s">
        <v>187</v>
      </c>
      <c r="S93" t="s">
        <v>368</v>
      </c>
      <c r="T93" t="str">
        <f>Table_TRM_Fixtures[[#This Row],[Fixture code  (TRM Data)]]</f>
        <v>LED041-FIXT</v>
      </c>
      <c r="U93" t="s">
        <v>2883</v>
      </c>
      <c r="V93" t="s">
        <v>185</v>
      </c>
      <c r="W93" t="s">
        <v>3120</v>
      </c>
      <c r="X93" t="s">
        <v>186</v>
      </c>
      <c r="AA93">
        <f>IF(Table_TRM_Fixtures[[#This Row],[Pre-EISA Baseline]]="Nominal", Table_TRM_Fixtures[[#This Row],[Fixture Watts  (TRM Data)]], Table_TRM_Fixtures[[#This Row],[Modified Baseline Fixture Watts]])</f>
        <v>41</v>
      </c>
    </row>
    <row r="94" spans="1:27" x14ac:dyDescent="0.2">
      <c r="A94" t="s">
        <v>371</v>
      </c>
      <c r="B94" t="s">
        <v>3391</v>
      </c>
      <c r="C94" t="s">
        <v>3392</v>
      </c>
      <c r="D94" t="s">
        <v>3393</v>
      </c>
      <c r="E94" t="s">
        <v>187</v>
      </c>
      <c r="F94" t="s">
        <v>186</v>
      </c>
      <c r="G94" t="s">
        <v>186</v>
      </c>
      <c r="H94">
        <v>42</v>
      </c>
      <c r="I94">
        <v>15</v>
      </c>
      <c r="J94" s="110">
        <v>92</v>
      </c>
      <c r="K94" t="s">
        <v>185</v>
      </c>
      <c r="L94">
        <f>IF(Table_TRM_Fixtures[[#This Row],[Technology]]="LED", Table_TRM_Fixtures[[#This Row],[Fixture Watts  (TRM Data)]], Table_TRM_Fixtures[[#This Row],[Lamp Watts  (TRM Data)]])</f>
        <v>42</v>
      </c>
      <c r="M94" t="str">
        <f>Table_TRM_Fixtures[[#This Row],[No. of Lamps  (TRM Data)]]</f>
        <v>N/A</v>
      </c>
      <c r="N94" t="s">
        <v>186</v>
      </c>
      <c r="O94" t="s">
        <v>186</v>
      </c>
      <c r="P94" t="s">
        <v>187</v>
      </c>
      <c r="S94" t="s">
        <v>370</v>
      </c>
      <c r="T94" t="str">
        <f>Table_TRM_Fixtures[[#This Row],[Fixture code  (TRM Data)]]</f>
        <v>LED042-FIXT</v>
      </c>
      <c r="U94" t="s">
        <v>2883</v>
      </c>
      <c r="V94" t="s">
        <v>185</v>
      </c>
      <c r="W94" t="s">
        <v>3120</v>
      </c>
      <c r="X94" t="s">
        <v>186</v>
      </c>
      <c r="AA94">
        <f>IF(Table_TRM_Fixtures[[#This Row],[Pre-EISA Baseline]]="Nominal", Table_TRM_Fixtures[[#This Row],[Fixture Watts  (TRM Data)]], Table_TRM_Fixtures[[#This Row],[Modified Baseline Fixture Watts]])</f>
        <v>42</v>
      </c>
    </row>
    <row r="95" spans="1:27" x14ac:dyDescent="0.2">
      <c r="A95" t="s">
        <v>373</v>
      </c>
      <c r="B95" t="s">
        <v>3394</v>
      </c>
      <c r="C95" t="s">
        <v>3395</v>
      </c>
      <c r="D95" t="s">
        <v>3396</v>
      </c>
      <c r="E95" t="s">
        <v>187</v>
      </c>
      <c r="F95" t="s">
        <v>186</v>
      </c>
      <c r="G95" t="s">
        <v>186</v>
      </c>
      <c r="H95">
        <v>43</v>
      </c>
      <c r="I95">
        <v>15</v>
      </c>
      <c r="J95" s="110">
        <v>93</v>
      </c>
      <c r="K95" t="s">
        <v>185</v>
      </c>
      <c r="L95">
        <f>IF(Table_TRM_Fixtures[[#This Row],[Technology]]="LED", Table_TRM_Fixtures[[#This Row],[Fixture Watts  (TRM Data)]], Table_TRM_Fixtures[[#This Row],[Lamp Watts  (TRM Data)]])</f>
        <v>43</v>
      </c>
      <c r="M95" t="str">
        <f>Table_TRM_Fixtures[[#This Row],[No. of Lamps  (TRM Data)]]</f>
        <v>N/A</v>
      </c>
      <c r="N95" t="s">
        <v>186</v>
      </c>
      <c r="O95" t="s">
        <v>186</v>
      </c>
      <c r="P95" t="s">
        <v>187</v>
      </c>
      <c r="S95" t="s">
        <v>372</v>
      </c>
      <c r="T95" t="str">
        <f>Table_TRM_Fixtures[[#This Row],[Fixture code  (TRM Data)]]</f>
        <v>LED043-FIXT</v>
      </c>
      <c r="U95" t="s">
        <v>2883</v>
      </c>
      <c r="V95" t="s">
        <v>185</v>
      </c>
      <c r="W95" t="s">
        <v>3120</v>
      </c>
      <c r="X95" t="s">
        <v>186</v>
      </c>
      <c r="AA95">
        <f>IF(Table_TRM_Fixtures[[#This Row],[Pre-EISA Baseline]]="Nominal", Table_TRM_Fixtures[[#This Row],[Fixture Watts  (TRM Data)]], Table_TRM_Fixtures[[#This Row],[Modified Baseline Fixture Watts]])</f>
        <v>43</v>
      </c>
    </row>
    <row r="96" spans="1:27" x14ac:dyDescent="0.2">
      <c r="A96" t="s">
        <v>375</v>
      </c>
      <c r="B96" t="s">
        <v>3397</v>
      </c>
      <c r="C96" t="s">
        <v>3398</v>
      </c>
      <c r="D96" t="s">
        <v>3399</v>
      </c>
      <c r="E96" t="s">
        <v>187</v>
      </c>
      <c r="F96" t="s">
        <v>186</v>
      </c>
      <c r="G96" t="s">
        <v>186</v>
      </c>
      <c r="H96">
        <v>44</v>
      </c>
      <c r="I96">
        <v>15</v>
      </c>
      <c r="J96" s="110">
        <v>94</v>
      </c>
      <c r="K96" t="s">
        <v>185</v>
      </c>
      <c r="L96">
        <f>IF(Table_TRM_Fixtures[[#This Row],[Technology]]="LED", Table_TRM_Fixtures[[#This Row],[Fixture Watts  (TRM Data)]], Table_TRM_Fixtures[[#This Row],[Lamp Watts  (TRM Data)]])</f>
        <v>44</v>
      </c>
      <c r="M96" t="str">
        <f>Table_TRM_Fixtures[[#This Row],[No. of Lamps  (TRM Data)]]</f>
        <v>N/A</v>
      </c>
      <c r="N96" t="s">
        <v>186</v>
      </c>
      <c r="O96" t="s">
        <v>186</v>
      </c>
      <c r="P96" t="s">
        <v>187</v>
      </c>
      <c r="S96" t="s">
        <v>374</v>
      </c>
      <c r="T96" t="str">
        <f>Table_TRM_Fixtures[[#This Row],[Fixture code  (TRM Data)]]</f>
        <v>LED044-FIXT</v>
      </c>
      <c r="U96" t="s">
        <v>2883</v>
      </c>
      <c r="V96" t="s">
        <v>185</v>
      </c>
      <c r="W96" t="s">
        <v>3120</v>
      </c>
      <c r="X96" t="s">
        <v>186</v>
      </c>
      <c r="AA96">
        <f>IF(Table_TRM_Fixtures[[#This Row],[Pre-EISA Baseline]]="Nominal", Table_TRM_Fixtures[[#This Row],[Fixture Watts  (TRM Data)]], Table_TRM_Fixtures[[#This Row],[Modified Baseline Fixture Watts]])</f>
        <v>44</v>
      </c>
    </row>
    <row r="97" spans="1:27" x14ac:dyDescent="0.2">
      <c r="A97" t="s">
        <v>377</v>
      </c>
      <c r="B97" t="s">
        <v>3400</v>
      </c>
      <c r="C97" t="s">
        <v>3401</v>
      </c>
      <c r="D97" t="s">
        <v>3402</v>
      </c>
      <c r="E97" t="s">
        <v>187</v>
      </c>
      <c r="F97" t="s">
        <v>186</v>
      </c>
      <c r="G97" t="s">
        <v>186</v>
      </c>
      <c r="H97">
        <v>45</v>
      </c>
      <c r="I97">
        <v>15</v>
      </c>
      <c r="J97" s="110">
        <v>95</v>
      </c>
      <c r="K97" t="s">
        <v>185</v>
      </c>
      <c r="L97">
        <f>IF(Table_TRM_Fixtures[[#This Row],[Technology]]="LED", Table_TRM_Fixtures[[#This Row],[Fixture Watts  (TRM Data)]], Table_TRM_Fixtures[[#This Row],[Lamp Watts  (TRM Data)]])</f>
        <v>45</v>
      </c>
      <c r="M97" t="str">
        <f>Table_TRM_Fixtures[[#This Row],[No. of Lamps  (TRM Data)]]</f>
        <v>N/A</v>
      </c>
      <c r="N97" t="s">
        <v>186</v>
      </c>
      <c r="O97" t="s">
        <v>186</v>
      </c>
      <c r="P97" t="s">
        <v>187</v>
      </c>
      <c r="S97" t="s">
        <v>376</v>
      </c>
      <c r="T97" t="str">
        <f>Table_TRM_Fixtures[[#This Row],[Fixture code  (TRM Data)]]</f>
        <v>LED045-FIXT</v>
      </c>
      <c r="U97" t="s">
        <v>2883</v>
      </c>
      <c r="V97" t="s">
        <v>185</v>
      </c>
      <c r="W97" t="s">
        <v>3120</v>
      </c>
      <c r="X97" t="s">
        <v>186</v>
      </c>
      <c r="AA97">
        <f>IF(Table_TRM_Fixtures[[#This Row],[Pre-EISA Baseline]]="Nominal", Table_TRM_Fixtures[[#This Row],[Fixture Watts  (TRM Data)]], Table_TRM_Fixtures[[#This Row],[Modified Baseline Fixture Watts]])</f>
        <v>45</v>
      </c>
    </row>
    <row r="98" spans="1:27" x14ac:dyDescent="0.2">
      <c r="A98" t="s">
        <v>379</v>
      </c>
      <c r="B98" t="s">
        <v>3403</v>
      </c>
      <c r="C98" t="s">
        <v>3404</v>
      </c>
      <c r="D98" t="s">
        <v>3405</v>
      </c>
      <c r="E98" t="s">
        <v>187</v>
      </c>
      <c r="F98" t="s">
        <v>186</v>
      </c>
      <c r="G98" t="s">
        <v>186</v>
      </c>
      <c r="H98">
        <v>46</v>
      </c>
      <c r="I98">
        <v>15</v>
      </c>
      <c r="J98" s="110">
        <v>96</v>
      </c>
      <c r="K98" t="s">
        <v>185</v>
      </c>
      <c r="L98">
        <f>IF(Table_TRM_Fixtures[[#This Row],[Technology]]="LED", Table_TRM_Fixtures[[#This Row],[Fixture Watts  (TRM Data)]], Table_TRM_Fixtures[[#This Row],[Lamp Watts  (TRM Data)]])</f>
        <v>46</v>
      </c>
      <c r="M98" t="str">
        <f>Table_TRM_Fixtures[[#This Row],[No. of Lamps  (TRM Data)]]</f>
        <v>N/A</v>
      </c>
      <c r="N98" t="s">
        <v>186</v>
      </c>
      <c r="O98" t="s">
        <v>186</v>
      </c>
      <c r="P98" t="s">
        <v>187</v>
      </c>
      <c r="S98" t="s">
        <v>378</v>
      </c>
      <c r="T98" t="str">
        <f>Table_TRM_Fixtures[[#This Row],[Fixture code  (TRM Data)]]</f>
        <v>LED046-FIXT</v>
      </c>
      <c r="U98" t="s">
        <v>2883</v>
      </c>
      <c r="V98" t="s">
        <v>185</v>
      </c>
      <c r="W98" t="s">
        <v>3120</v>
      </c>
      <c r="X98" t="s">
        <v>186</v>
      </c>
      <c r="AA98">
        <f>IF(Table_TRM_Fixtures[[#This Row],[Pre-EISA Baseline]]="Nominal", Table_TRM_Fixtures[[#This Row],[Fixture Watts  (TRM Data)]], Table_TRM_Fixtures[[#This Row],[Modified Baseline Fixture Watts]])</f>
        <v>46</v>
      </c>
    </row>
    <row r="99" spans="1:27" x14ac:dyDescent="0.2">
      <c r="A99" t="s">
        <v>381</v>
      </c>
      <c r="B99" t="s">
        <v>3406</v>
      </c>
      <c r="C99" t="s">
        <v>3407</v>
      </c>
      <c r="D99" t="s">
        <v>3408</v>
      </c>
      <c r="E99" t="s">
        <v>187</v>
      </c>
      <c r="F99" t="s">
        <v>186</v>
      </c>
      <c r="G99" t="s">
        <v>186</v>
      </c>
      <c r="H99">
        <v>47</v>
      </c>
      <c r="I99">
        <v>15</v>
      </c>
      <c r="J99" s="110">
        <v>97</v>
      </c>
      <c r="K99" t="s">
        <v>185</v>
      </c>
      <c r="L99">
        <f>IF(Table_TRM_Fixtures[[#This Row],[Technology]]="LED", Table_TRM_Fixtures[[#This Row],[Fixture Watts  (TRM Data)]], Table_TRM_Fixtures[[#This Row],[Lamp Watts  (TRM Data)]])</f>
        <v>47</v>
      </c>
      <c r="M99" t="str">
        <f>Table_TRM_Fixtures[[#This Row],[No. of Lamps  (TRM Data)]]</f>
        <v>N/A</v>
      </c>
      <c r="N99" t="s">
        <v>186</v>
      </c>
      <c r="O99" t="s">
        <v>186</v>
      </c>
      <c r="P99" t="s">
        <v>187</v>
      </c>
      <c r="S99" t="s">
        <v>380</v>
      </c>
      <c r="T99" t="str">
        <f>Table_TRM_Fixtures[[#This Row],[Fixture code  (TRM Data)]]</f>
        <v>LED047-FIXT</v>
      </c>
      <c r="U99" t="s">
        <v>2883</v>
      </c>
      <c r="V99" t="s">
        <v>185</v>
      </c>
      <c r="W99" t="s">
        <v>3120</v>
      </c>
      <c r="X99" t="s">
        <v>186</v>
      </c>
      <c r="AA99">
        <f>IF(Table_TRM_Fixtures[[#This Row],[Pre-EISA Baseline]]="Nominal", Table_TRM_Fixtures[[#This Row],[Fixture Watts  (TRM Data)]], Table_TRM_Fixtures[[#This Row],[Modified Baseline Fixture Watts]])</f>
        <v>47</v>
      </c>
    </row>
    <row r="100" spans="1:27" x14ac:dyDescent="0.2">
      <c r="A100" t="s">
        <v>383</v>
      </c>
      <c r="B100" t="s">
        <v>3409</v>
      </c>
      <c r="C100" t="s">
        <v>3410</v>
      </c>
      <c r="D100" t="s">
        <v>3411</v>
      </c>
      <c r="E100" t="s">
        <v>187</v>
      </c>
      <c r="F100" t="s">
        <v>186</v>
      </c>
      <c r="G100" t="s">
        <v>186</v>
      </c>
      <c r="H100">
        <v>48</v>
      </c>
      <c r="I100">
        <v>15</v>
      </c>
      <c r="J100" s="110">
        <v>98</v>
      </c>
      <c r="K100" t="s">
        <v>185</v>
      </c>
      <c r="L100">
        <f>IF(Table_TRM_Fixtures[[#This Row],[Technology]]="LED", Table_TRM_Fixtures[[#This Row],[Fixture Watts  (TRM Data)]], Table_TRM_Fixtures[[#This Row],[Lamp Watts  (TRM Data)]])</f>
        <v>48</v>
      </c>
      <c r="M100" t="str">
        <f>Table_TRM_Fixtures[[#This Row],[No. of Lamps  (TRM Data)]]</f>
        <v>N/A</v>
      </c>
      <c r="N100" t="s">
        <v>186</v>
      </c>
      <c r="O100" t="s">
        <v>186</v>
      </c>
      <c r="P100" t="s">
        <v>187</v>
      </c>
      <c r="S100" t="s">
        <v>382</v>
      </c>
      <c r="T100" t="str">
        <f>Table_TRM_Fixtures[[#This Row],[Fixture code  (TRM Data)]]</f>
        <v>LED048-FIXT</v>
      </c>
      <c r="U100" t="s">
        <v>2883</v>
      </c>
      <c r="V100" t="s">
        <v>185</v>
      </c>
      <c r="W100" t="s">
        <v>3120</v>
      </c>
      <c r="X100" t="s">
        <v>186</v>
      </c>
      <c r="AA100">
        <f>IF(Table_TRM_Fixtures[[#This Row],[Pre-EISA Baseline]]="Nominal", Table_TRM_Fixtures[[#This Row],[Fixture Watts  (TRM Data)]], Table_TRM_Fixtures[[#This Row],[Modified Baseline Fixture Watts]])</f>
        <v>48</v>
      </c>
    </row>
    <row r="101" spans="1:27" x14ac:dyDescent="0.2">
      <c r="A101" t="s">
        <v>385</v>
      </c>
      <c r="B101" t="s">
        <v>3412</v>
      </c>
      <c r="C101" t="s">
        <v>3413</v>
      </c>
      <c r="D101" t="s">
        <v>3414</v>
      </c>
      <c r="E101" t="s">
        <v>187</v>
      </c>
      <c r="F101" t="s">
        <v>186</v>
      </c>
      <c r="G101" t="s">
        <v>186</v>
      </c>
      <c r="H101">
        <v>49</v>
      </c>
      <c r="I101">
        <v>15</v>
      </c>
      <c r="J101" s="110">
        <v>99</v>
      </c>
      <c r="K101" t="s">
        <v>185</v>
      </c>
      <c r="L101">
        <f>IF(Table_TRM_Fixtures[[#This Row],[Technology]]="LED", Table_TRM_Fixtures[[#This Row],[Fixture Watts  (TRM Data)]], Table_TRM_Fixtures[[#This Row],[Lamp Watts  (TRM Data)]])</f>
        <v>49</v>
      </c>
      <c r="M101" t="str">
        <f>Table_TRM_Fixtures[[#This Row],[No. of Lamps  (TRM Data)]]</f>
        <v>N/A</v>
      </c>
      <c r="N101" t="s">
        <v>186</v>
      </c>
      <c r="O101" t="s">
        <v>186</v>
      </c>
      <c r="P101" t="s">
        <v>187</v>
      </c>
      <c r="S101" t="s">
        <v>384</v>
      </c>
      <c r="T101" t="str">
        <f>Table_TRM_Fixtures[[#This Row],[Fixture code  (TRM Data)]]</f>
        <v>LED049-FIXT</v>
      </c>
      <c r="U101" t="s">
        <v>2883</v>
      </c>
      <c r="V101" t="s">
        <v>185</v>
      </c>
      <c r="W101" t="s">
        <v>3120</v>
      </c>
      <c r="X101" t="s">
        <v>186</v>
      </c>
      <c r="AA101">
        <f>IF(Table_TRM_Fixtures[[#This Row],[Pre-EISA Baseline]]="Nominal", Table_TRM_Fixtures[[#This Row],[Fixture Watts  (TRM Data)]], Table_TRM_Fixtures[[#This Row],[Modified Baseline Fixture Watts]])</f>
        <v>49</v>
      </c>
    </row>
    <row r="102" spans="1:27" x14ac:dyDescent="0.2">
      <c r="A102" t="s">
        <v>387</v>
      </c>
      <c r="B102" t="s">
        <v>3415</v>
      </c>
      <c r="C102" t="s">
        <v>3416</v>
      </c>
      <c r="D102" t="s">
        <v>3417</v>
      </c>
      <c r="E102" t="s">
        <v>187</v>
      </c>
      <c r="F102" t="s">
        <v>186</v>
      </c>
      <c r="G102" t="s">
        <v>186</v>
      </c>
      <c r="H102">
        <v>50</v>
      </c>
      <c r="I102">
        <v>15</v>
      </c>
      <c r="J102" s="110">
        <v>100</v>
      </c>
      <c r="K102" t="s">
        <v>185</v>
      </c>
      <c r="L102">
        <f>IF(Table_TRM_Fixtures[[#This Row],[Technology]]="LED", Table_TRM_Fixtures[[#This Row],[Fixture Watts  (TRM Data)]], Table_TRM_Fixtures[[#This Row],[Lamp Watts  (TRM Data)]])</f>
        <v>50</v>
      </c>
      <c r="M102" t="str">
        <f>Table_TRM_Fixtures[[#This Row],[No. of Lamps  (TRM Data)]]</f>
        <v>N/A</v>
      </c>
      <c r="N102" t="s">
        <v>186</v>
      </c>
      <c r="O102" t="s">
        <v>186</v>
      </c>
      <c r="P102" t="s">
        <v>187</v>
      </c>
      <c r="S102" t="s">
        <v>386</v>
      </c>
      <c r="T102" t="str">
        <f>Table_TRM_Fixtures[[#This Row],[Fixture code  (TRM Data)]]</f>
        <v>LED050-FIXT</v>
      </c>
      <c r="U102" t="s">
        <v>2883</v>
      </c>
      <c r="V102" t="s">
        <v>185</v>
      </c>
      <c r="W102" t="s">
        <v>3120</v>
      </c>
      <c r="X102" t="s">
        <v>186</v>
      </c>
      <c r="AA102">
        <f>IF(Table_TRM_Fixtures[[#This Row],[Pre-EISA Baseline]]="Nominal", Table_TRM_Fixtures[[#This Row],[Fixture Watts  (TRM Data)]], Table_TRM_Fixtures[[#This Row],[Modified Baseline Fixture Watts]])</f>
        <v>50</v>
      </c>
    </row>
    <row r="103" spans="1:27" x14ac:dyDescent="0.2">
      <c r="A103" t="s">
        <v>389</v>
      </c>
      <c r="B103" t="s">
        <v>3418</v>
      </c>
      <c r="C103" t="s">
        <v>3419</v>
      </c>
      <c r="D103" t="s">
        <v>3420</v>
      </c>
      <c r="E103" t="s">
        <v>187</v>
      </c>
      <c r="F103" t="s">
        <v>186</v>
      </c>
      <c r="G103" t="s">
        <v>186</v>
      </c>
      <c r="H103">
        <v>51</v>
      </c>
      <c r="I103">
        <v>15</v>
      </c>
      <c r="J103" s="110">
        <v>101</v>
      </c>
      <c r="K103" t="s">
        <v>185</v>
      </c>
      <c r="L103">
        <f>IF(Table_TRM_Fixtures[[#This Row],[Technology]]="LED", Table_TRM_Fixtures[[#This Row],[Fixture Watts  (TRM Data)]], Table_TRM_Fixtures[[#This Row],[Lamp Watts  (TRM Data)]])</f>
        <v>51</v>
      </c>
      <c r="M103" t="str">
        <f>Table_TRM_Fixtures[[#This Row],[No. of Lamps  (TRM Data)]]</f>
        <v>N/A</v>
      </c>
      <c r="N103" t="s">
        <v>186</v>
      </c>
      <c r="O103" t="s">
        <v>186</v>
      </c>
      <c r="P103" t="s">
        <v>187</v>
      </c>
      <c r="S103" t="s">
        <v>388</v>
      </c>
      <c r="T103" t="str">
        <f>Table_TRM_Fixtures[[#This Row],[Fixture code  (TRM Data)]]</f>
        <v>LED051-FIXT</v>
      </c>
      <c r="U103" t="s">
        <v>2883</v>
      </c>
      <c r="V103" t="s">
        <v>185</v>
      </c>
      <c r="W103" t="s">
        <v>3120</v>
      </c>
      <c r="X103" t="s">
        <v>186</v>
      </c>
      <c r="AA103">
        <f>IF(Table_TRM_Fixtures[[#This Row],[Pre-EISA Baseline]]="Nominal", Table_TRM_Fixtures[[#This Row],[Fixture Watts  (TRM Data)]], Table_TRM_Fixtures[[#This Row],[Modified Baseline Fixture Watts]])</f>
        <v>51</v>
      </c>
    </row>
    <row r="104" spans="1:27" x14ac:dyDescent="0.2">
      <c r="A104" t="s">
        <v>391</v>
      </c>
      <c r="B104" t="s">
        <v>3421</v>
      </c>
      <c r="C104" t="s">
        <v>3422</v>
      </c>
      <c r="D104" t="s">
        <v>3423</v>
      </c>
      <c r="E104" t="s">
        <v>187</v>
      </c>
      <c r="F104" t="s">
        <v>186</v>
      </c>
      <c r="G104" t="s">
        <v>186</v>
      </c>
      <c r="H104">
        <v>52</v>
      </c>
      <c r="I104">
        <v>15</v>
      </c>
      <c r="J104" s="110">
        <v>102</v>
      </c>
      <c r="K104" t="s">
        <v>185</v>
      </c>
      <c r="L104">
        <f>IF(Table_TRM_Fixtures[[#This Row],[Technology]]="LED", Table_TRM_Fixtures[[#This Row],[Fixture Watts  (TRM Data)]], Table_TRM_Fixtures[[#This Row],[Lamp Watts  (TRM Data)]])</f>
        <v>52</v>
      </c>
      <c r="M104" t="str">
        <f>Table_TRM_Fixtures[[#This Row],[No. of Lamps  (TRM Data)]]</f>
        <v>N/A</v>
      </c>
      <c r="N104" t="s">
        <v>186</v>
      </c>
      <c r="O104" t="s">
        <v>186</v>
      </c>
      <c r="P104" t="s">
        <v>187</v>
      </c>
      <c r="S104" t="s">
        <v>390</v>
      </c>
      <c r="T104" t="str">
        <f>Table_TRM_Fixtures[[#This Row],[Fixture code  (TRM Data)]]</f>
        <v>LED052-FIXT</v>
      </c>
      <c r="U104" t="s">
        <v>2883</v>
      </c>
      <c r="V104" t="s">
        <v>185</v>
      </c>
      <c r="W104" t="s">
        <v>3120</v>
      </c>
      <c r="X104" t="s">
        <v>186</v>
      </c>
      <c r="AA104">
        <f>IF(Table_TRM_Fixtures[[#This Row],[Pre-EISA Baseline]]="Nominal", Table_TRM_Fixtures[[#This Row],[Fixture Watts  (TRM Data)]], Table_TRM_Fixtures[[#This Row],[Modified Baseline Fixture Watts]])</f>
        <v>52</v>
      </c>
    </row>
    <row r="105" spans="1:27" x14ac:dyDescent="0.2">
      <c r="A105" t="s">
        <v>393</v>
      </c>
      <c r="B105" t="s">
        <v>3424</v>
      </c>
      <c r="C105" t="s">
        <v>3425</v>
      </c>
      <c r="D105" t="s">
        <v>3426</v>
      </c>
      <c r="E105" t="s">
        <v>187</v>
      </c>
      <c r="F105" t="s">
        <v>186</v>
      </c>
      <c r="G105" t="s">
        <v>186</v>
      </c>
      <c r="H105">
        <v>53</v>
      </c>
      <c r="I105">
        <v>15</v>
      </c>
      <c r="J105" s="110">
        <v>103</v>
      </c>
      <c r="K105" t="s">
        <v>185</v>
      </c>
      <c r="L105">
        <f>IF(Table_TRM_Fixtures[[#This Row],[Technology]]="LED", Table_TRM_Fixtures[[#This Row],[Fixture Watts  (TRM Data)]], Table_TRM_Fixtures[[#This Row],[Lamp Watts  (TRM Data)]])</f>
        <v>53</v>
      </c>
      <c r="M105" t="str">
        <f>Table_TRM_Fixtures[[#This Row],[No. of Lamps  (TRM Data)]]</f>
        <v>N/A</v>
      </c>
      <c r="N105" t="s">
        <v>186</v>
      </c>
      <c r="O105" t="s">
        <v>186</v>
      </c>
      <c r="P105" t="s">
        <v>187</v>
      </c>
      <c r="S105" t="s">
        <v>392</v>
      </c>
      <c r="T105" t="str">
        <f>Table_TRM_Fixtures[[#This Row],[Fixture code  (TRM Data)]]</f>
        <v>LED053-FIXT</v>
      </c>
      <c r="U105" t="s">
        <v>2883</v>
      </c>
      <c r="V105" t="s">
        <v>185</v>
      </c>
      <c r="W105" t="s">
        <v>3120</v>
      </c>
      <c r="X105" t="s">
        <v>186</v>
      </c>
      <c r="AA105">
        <f>IF(Table_TRM_Fixtures[[#This Row],[Pre-EISA Baseline]]="Nominal", Table_TRM_Fixtures[[#This Row],[Fixture Watts  (TRM Data)]], Table_TRM_Fixtures[[#This Row],[Modified Baseline Fixture Watts]])</f>
        <v>53</v>
      </c>
    </row>
    <row r="106" spans="1:27" x14ac:dyDescent="0.2">
      <c r="A106" t="s">
        <v>395</v>
      </c>
      <c r="B106" t="s">
        <v>3427</v>
      </c>
      <c r="C106" t="s">
        <v>3428</v>
      </c>
      <c r="D106" t="s">
        <v>3429</v>
      </c>
      <c r="E106" t="s">
        <v>187</v>
      </c>
      <c r="F106" t="s">
        <v>186</v>
      </c>
      <c r="G106" t="s">
        <v>186</v>
      </c>
      <c r="H106">
        <v>54</v>
      </c>
      <c r="I106">
        <v>15</v>
      </c>
      <c r="J106" s="110">
        <v>104</v>
      </c>
      <c r="K106" t="s">
        <v>185</v>
      </c>
      <c r="L106">
        <f>IF(Table_TRM_Fixtures[[#This Row],[Technology]]="LED", Table_TRM_Fixtures[[#This Row],[Fixture Watts  (TRM Data)]], Table_TRM_Fixtures[[#This Row],[Lamp Watts  (TRM Data)]])</f>
        <v>54</v>
      </c>
      <c r="M106" t="str">
        <f>Table_TRM_Fixtures[[#This Row],[No. of Lamps  (TRM Data)]]</f>
        <v>N/A</v>
      </c>
      <c r="N106" t="s">
        <v>186</v>
      </c>
      <c r="O106" t="s">
        <v>186</v>
      </c>
      <c r="P106" t="s">
        <v>187</v>
      </c>
      <c r="S106" t="s">
        <v>394</v>
      </c>
      <c r="T106" t="str">
        <f>Table_TRM_Fixtures[[#This Row],[Fixture code  (TRM Data)]]</f>
        <v>LED054-FIXT</v>
      </c>
      <c r="U106" t="s">
        <v>2883</v>
      </c>
      <c r="V106" t="s">
        <v>185</v>
      </c>
      <c r="W106" t="s">
        <v>3120</v>
      </c>
      <c r="X106" t="s">
        <v>186</v>
      </c>
      <c r="AA106">
        <f>IF(Table_TRM_Fixtures[[#This Row],[Pre-EISA Baseline]]="Nominal", Table_TRM_Fixtures[[#This Row],[Fixture Watts  (TRM Data)]], Table_TRM_Fixtures[[#This Row],[Modified Baseline Fixture Watts]])</f>
        <v>54</v>
      </c>
    </row>
    <row r="107" spans="1:27" x14ac:dyDescent="0.2">
      <c r="A107" t="s">
        <v>397</v>
      </c>
      <c r="B107" t="s">
        <v>3430</v>
      </c>
      <c r="C107" t="s">
        <v>3431</v>
      </c>
      <c r="D107" t="s">
        <v>3432</v>
      </c>
      <c r="E107" t="s">
        <v>187</v>
      </c>
      <c r="F107" t="s">
        <v>186</v>
      </c>
      <c r="G107" t="s">
        <v>186</v>
      </c>
      <c r="H107">
        <v>55</v>
      </c>
      <c r="I107">
        <v>15</v>
      </c>
      <c r="J107" s="110">
        <v>105</v>
      </c>
      <c r="K107" t="s">
        <v>185</v>
      </c>
      <c r="L107">
        <f>IF(Table_TRM_Fixtures[[#This Row],[Technology]]="LED", Table_TRM_Fixtures[[#This Row],[Fixture Watts  (TRM Data)]], Table_TRM_Fixtures[[#This Row],[Lamp Watts  (TRM Data)]])</f>
        <v>55</v>
      </c>
      <c r="M107" t="str">
        <f>Table_TRM_Fixtures[[#This Row],[No. of Lamps  (TRM Data)]]</f>
        <v>N/A</v>
      </c>
      <c r="N107" t="s">
        <v>186</v>
      </c>
      <c r="O107" t="s">
        <v>186</v>
      </c>
      <c r="P107" t="s">
        <v>187</v>
      </c>
      <c r="S107" t="s">
        <v>396</v>
      </c>
      <c r="T107" t="str">
        <f>Table_TRM_Fixtures[[#This Row],[Fixture code  (TRM Data)]]</f>
        <v>LED055-FIXT</v>
      </c>
      <c r="U107" t="s">
        <v>2883</v>
      </c>
      <c r="V107" t="s">
        <v>185</v>
      </c>
      <c r="W107" t="s">
        <v>3120</v>
      </c>
      <c r="X107" t="s">
        <v>186</v>
      </c>
      <c r="AA107">
        <f>IF(Table_TRM_Fixtures[[#This Row],[Pre-EISA Baseline]]="Nominal", Table_TRM_Fixtures[[#This Row],[Fixture Watts  (TRM Data)]], Table_TRM_Fixtures[[#This Row],[Modified Baseline Fixture Watts]])</f>
        <v>55</v>
      </c>
    </row>
    <row r="108" spans="1:27" x14ac:dyDescent="0.2">
      <c r="A108" t="s">
        <v>399</v>
      </c>
      <c r="B108" t="s">
        <v>3433</v>
      </c>
      <c r="C108" t="s">
        <v>3434</v>
      </c>
      <c r="D108" t="s">
        <v>3435</v>
      </c>
      <c r="E108" t="s">
        <v>187</v>
      </c>
      <c r="F108" t="s">
        <v>186</v>
      </c>
      <c r="G108" t="s">
        <v>186</v>
      </c>
      <c r="H108">
        <v>56</v>
      </c>
      <c r="I108">
        <v>15</v>
      </c>
      <c r="J108" s="110">
        <v>106</v>
      </c>
      <c r="K108" t="s">
        <v>185</v>
      </c>
      <c r="L108">
        <f>IF(Table_TRM_Fixtures[[#This Row],[Technology]]="LED", Table_TRM_Fixtures[[#This Row],[Fixture Watts  (TRM Data)]], Table_TRM_Fixtures[[#This Row],[Lamp Watts  (TRM Data)]])</f>
        <v>56</v>
      </c>
      <c r="M108" t="str">
        <f>Table_TRM_Fixtures[[#This Row],[No. of Lamps  (TRM Data)]]</f>
        <v>N/A</v>
      </c>
      <c r="N108" t="s">
        <v>186</v>
      </c>
      <c r="O108" t="s">
        <v>186</v>
      </c>
      <c r="P108" t="s">
        <v>187</v>
      </c>
      <c r="S108" t="s">
        <v>398</v>
      </c>
      <c r="T108" t="str">
        <f>Table_TRM_Fixtures[[#This Row],[Fixture code  (TRM Data)]]</f>
        <v>LED056-FIXT</v>
      </c>
      <c r="U108" t="s">
        <v>2883</v>
      </c>
      <c r="V108" t="s">
        <v>185</v>
      </c>
      <c r="W108" t="s">
        <v>3120</v>
      </c>
      <c r="X108" t="s">
        <v>186</v>
      </c>
      <c r="AA108">
        <f>IF(Table_TRM_Fixtures[[#This Row],[Pre-EISA Baseline]]="Nominal", Table_TRM_Fixtures[[#This Row],[Fixture Watts  (TRM Data)]], Table_TRM_Fixtures[[#This Row],[Modified Baseline Fixture Watts]])</f>
        <v>56</v>
      </c>
    </row>
    <row r="109" spans="1:27" x14ac:dyDescent="0.2">
      <c r="A109" t="s">
        <v>401</v>
      </c>
      <c r="B109" t="s">
        <v>3436</v>
      </c>
      <c r="C109" t="s">
        <v>3437</v>
      </c>
      <c r="D109" t="s">
        <v>3438</v>
      </c>
      <c r="E109" t="s">
        <v>187</v>
      </c>
      <c r="F109" t="s">
        <v>186</v>
      </c>
      <c r="G109" t="s">
        <v>186</v>
      </c>
      <c r="H109">
        <v>57</v>
      </c>
      <c r="I109">
        <v>15</v>
      </c>
      <c r="J109" s="110">
        <v>107</v>
      </c>
      <c r="K109" t="s">
        <v>185</v>
      </c>
      <c r="L109">
        <f>IF(Table_TRM_Fixtures[[#This Row],[Technology]]="LED", Table_TRM_Fixtures[[#This Row],[Fixture Watts  (TRM Data)]], Table_TRM_Fixtures[[#This Row],[Lamp Watts  (TRM Data)]])</f>
        <v>57</v>
      </c>
      <c r="M109" t="str">
        <f>Table_TRM_Fixtures[[#This Row],[No. of Lamps  (TRM Data)]]</f>
        <v>N/A</v>
      </c>
      <c r="N109" t="s">
        <v>186</v>
      </c>
      <c r="O109" t="s">
        <v>186</v>
      </c>
      <c r="P109" t="s">
        <v>187</v>
      </c>
      <c r="S109" t="s">
        <v>400</v>
      </c>
      <c r="T109" t="str">
        <f>Table_TRM_Fixtures[[#This Row],[Fixture code  (TRM Data)]]</f>
        <v>LED057-FIXT</v>
      </c>
      <c r="U109" t="s">
        <v>2883</v>
      </c>
      <c r="V109" t="s">
        <v>185</v>
      </c>
      <c r="W109" t="s">
        <v>3120</v>
      </c>
      <c r="X109" t="s">
        <v>186</v>
      </c>
      <c r="AA109">
        <f>IF(Table_TRM_Fixtures[[#This Row],[Pre-EISA Baseline]]="Nominal", Table_TRM_Fixtures[[#This Row],[Fixture Watts  (TRM Data)]], Table_TRM_Fixtures[[#This Row],[Modified Baseline Fixture Watts]])</f>
        <v>57</v>
      </c>
    </row>
    <row r="110" spans="1:27" x14ac:dyDescent="0.2">
      <c r="A110" t="s">
        <v>403</v>
      </c>
      <c r="B110" t="s">
        <v>3439</v>
      </c>
      <c r="C110" t="s">
        <v>3440</v>
      </c>
      <c r="D110" t="s">
        <v>3441</v>
      </c>
      <c r="E110" t="s">
        <v>187</v>
      </c>
      <c r="F110" t="s">
        <v>186</v>
      </c>
      <c r="G110" t="s">
        <v>186</v>
      </c>
      <c r="H110">
        <v>58</v>
      </c>
      <c r="I110">
        <v>15</v>
      </c>
      <c r="J110" s="110">
        <v>108</v>
      </c>
      <c r="K110" t="s">
        <v>185</v>
      </c>
      <c r="L110">
        <f>IF(Table_TRM_Fixtures[[#This Row],[Technology]]="LED", Table_TRM_Fixtures[[#This Row],[Fixture Watts  (TRM Data)]], Table_TRM_Fixtures[[#This Row],[Lamp Watts  (TRM Data)]])</f>
        <v>58</v>
      </c>
      <c r="M110" t="str">
        <f>Table_TRM_Fixtures[[#This Row],[No. of Lamps  (TRM Data)]]</f>
        <v>N/A</v>
      </c>
      <c r="N110" t="s">
        <v>186</v>
      </c>
      <c r="O110" t="s">
        <v>186</v>
      </c>
      <c r="P110" t="s">
        <v>187</v>
      </c>
      <c r="S110" t="s">
        <v>402</v>
      </c>
      <c r="T110" t="str">
        <f>Table_TRM_Fixtures[[#This Row],[Fixture code  (TRM Data)]]</f>
        <v>LED058-FIXT</v>
      </c>
      <c r="U110" t="s">
        <v>2883</v>
      </c>
      <c r="V110" t="s">
        <v>185</v>
      </c>
      <c r="W110" t="s">
        <v>3120</v>
      </c>
      <c r="X110" t="s">
        <v>186</v>
      </c>
      <c r="AA110">
        <f>IF(Table_TRM_Fixtures[[#This Row],[Pre-EISA Baseline]]="Nominal", Table_TRM_Fixtures[[#This Row],[Fixture Watts  (TRM Data)]], Table_TRM_Fixtures[[#This Row],[Modified Baseline Fixture Watts]])</f>
        <v>58</v>
      </c>
    </row>
    <row r="111" spans="1:27" x14ac:dyDescent="0.2">
      <c r="A111" t="s">
        <v>405</v>
      </c>
      <c r="B111" t="s">
        <v>3442</v>
      </c>
      <c r="C111" t="s">
        <v>3443</v>
      </c>
      <c r="D111" t="s">
        <v>3444</v>
      </c>
      <c r="E111" t="s">
        <v>187</v>
      </c>
      <c r="F111" t="s">
        <v>186</v>
      </c>
      <c r="G111" t="s">
        <v>186</v>
      </c>
      <c r="H111">
        <v>59</v>
      </c>
      <c r="I111">
        <v>15</v>
      </c>
      <c r="J111" s="110">
        <v>109</v>
      </c>
      <c r="K111" t="s">
        <v>185</v>
      </c>
      <c r="L111">
        <f>IF(Table_TRM_Fixtures[[#This Row],[Technology]]="LED", Table_TRM_Fixtures[[#This Row],[Fixture Watts  (TRM Data)]], Table_TRM_Fixtures[[#This Row],[Lamp Watts  (TRM Data)]])</f>
        <v>59</v>
      </c>
      <c r="M111" t="str">
        <f>Table_TRM_Fixtures[[#This Row],[No. of Lamps  (TRM Data)]]</f>
        <v>N/A</v>
      </c>
      <c r="N111" t="s">
        <v>186</v>
      </c>
      <c r="O111" t="s">
        <v>186</v>
      </c>
      <c r="P111" t="s">
        <v>187</v>
      </c>
      <c r="S111" t="s">
        <v>404</v>
      </c>
      <c r="T111" t="str">
        <f>Table_TRM_Fixtures[[#This Row],[Fixture code  (TRM Data)]]</f>
        <v>LED059-FIXT</v>
      </c>
      <c r="U111" t="s">
        <v>2883</v>
      </c>
      <c r="V111" t="s">
        <v>185</v>
      </c>
      <c r="W111" t="s">
        <v>3120</v>
      </c>
      <c r="X111" t="s">
        <v>186</v>
      </c>
      <c r="AA111">
        <f>IF(Table_TRM_Fixtures[[#This Row],[Pre-EISA Baseline]]="Nominal", Table_TRM_Fixtures[[#This Row],[Fixture Watts  (TRM Data)]], Table_TRM_Fixtures[[#This Row],[Modified Baseline Fixture Watts]])</f>
        <v>59</v>
      </c>
    </row>
    <row r="112" spans="1:27" x14ac:dyDescent="0.2">
      <c r="A112" t="s">
        <v>407</v>
      </c>
      <c r="B112" t="s">
        <v>3445</v>
      </c>
      <c r="C112" t="s">
        <v>3446</v>
      </c>
      <c r="D112" t="s">
        <v>3447</v>
      </c>
      <c r="E112" t="s">
        <v>187</v>
      </c>
      <c r="F112" t="s">
        <v>186</v>
      </c>
      <c r="G112" t="s">
        <v>186</v>
      </c>
      <c r="H112">
        <v>60</v>
      </c>
      <c r="I112">
        <v>15</v>
      </c>
      <c r="J112" s="110">
        <v>110</v>
      </c>
      <c r="K112" t="s">
        <v>185</v>
      </c>
      <c r="L112">
        <f>IF(Table_TRM_Fixtures[[#This Row],[Technology]]="LED", Table_TRM_Fixtures[[#This Row],[Fixture Watts  (TRM Data)]], Table_TRM_Fixtures[[#This Row],[Lamp Watts  (TRM Data)]])</f>
        <v>60</v>
      </c>
      <c r="M112" t="str">
        <f>Table_TRM_Fixtures[[#This Row],[No. of Lamps  (TRM Data)]]</f>
        <v>N/A</v>
      </c>
      <c r="N112" t="s">
        <v>186</v>
      </c>
      <c r="O112" t="s">
        <v>186</v>
      </c>
      <c r="P112" t="s">
        <v>187</v>
      </c>
      <c r="S112" t="s">
        <v>406</v>
      </c>
      <c r="T112" t="str">
        <f>Table_TRM_Fixtures[[#This Row],[Fixture code  (TRM Data)]]</f>
        <v>LED060-FIXT</v>
      </c>
      <c r="U112" t="s">
        <v>2883</v>
      </c>
      <c r="V112" t="s">
        <v>185</v>
      </c>
      <c r="W112" t="s">
        <v>3120</v>
      </c>
      <c r="X112" t="s">
        <v>186</v>
      </c>
      <c r="AA112">
        <f>IF(Table_TRM_Fixtures[[#This Row],[Pre-EISA Baseline]]="Nominal", Table_TRM_Fixtures[[#This Row],[Fixture Watts  (TRM Data)]], Table_TRM_Fixtures[[#This Row],[Modified Baseline Fixture Watts]])</f>
        <v>60</v>
      </c>
    </row>
    <row r="113" spans="1:27" x14ac:dyDescent="0.2">
      <c r="A113" t="s">
        <v>409</v>
      </c>
      <c r="B113" t="s">
        <v>3448</v>
      </c>
      <c r="C113" t="s">
        <v>3449</v>
      </c>
      <c r="D113" t="s">
        <v>3450</v>
      </c>
      <c r="E113" t="s">
        <v>187</v>
      </c>
      <c r="F113" t="s">
        <v>186</v>
      </c>
      <c r="G113" t="s">
        <v>186</v>
      </c>
      <c r="H113">
        <v>61</v>
      </c>
      <c r="I113">
        <v>15</v>
      </c>
      <c r="J113" s="110">
        <v>111</v>
      </c>
      <c r="K113" t="s">
        <v>185</v>
      </c>
      <c r="L113">
        <f>IF(Table_TRM_Fixtures[[#This Row],[Technology]]="LED", Table_TRM_Fixtures[[#This Row],[Fixture Watts  (TRM Data)]], Table_TRM_Fixtures[[#This Row],[Lamp Watts  (TRM Data)]])</f>
        <v>61</v>
      </c>
      <c r="M113" t="str">
        <f>Table_TRM_Fixtures[[#This Row],[No. of Lamps  (TRM Data)]]</f>
        <v>N/A</v>
      </c>
      <c r="N113" t="s">
        <v>186</v>
      </c>
      <c r="O113" t="s">
        <v>186</v>
      </c>
      <c r="P113" t="s">
        <v>187</v>
      </c>
      <c r="S113" t="s">
        <v>408</v>
      </c>
      <c r="T113" t="str">
        <f>Table_TRM_Fixtures[[#This Row],[Fixture code  (TRM Data)]]</f>
        <v>LED061-FIXT</v>
      </c>
      <c r="U113" t="s">
        <v>2883</v>
      </c>
      <c r="V113" t="s">
        <v>185</v>
      </c>
      <c r="W113" t="s">
        <v>3120</v>
      </c>
      <c r="X113" t="s">
        <v>186</v>
      </c>
      <c r="AA113">
        <f>IF(Table_TRM_Fixtures[[#This Row],[Pre-EISA Baseline]]="Nominal", Table_TRM_Fixtures[[#This Row],[Fixture Watts  (TRM Data)]], Table_TRM_Fixtures[[#This Row],[Modified Baseline Fixture Watts]])</f>
        <v>61</v>
      </c>
    </row>
    <row r="114" spans="1:27" x14ac:dyDescent="0.2">
      <c r="A114" t="s">
        <v>411</v>
      </c>
      <c r="B114" t="s">
        <v>3451</v>
      </c>
      <c r="C114" t="s">
        <v>3452</v>
      </c>
      <c r="D114" t="s">
        <v>3453</v>
      </c>
      <c r="E114" t="s">
        <v>187</v>
      </c>
      <c r="F114" t="s">
        <v>186</v>
      </c>
      <c r="G114" t="s">
        <v>186</v>
      </c>
      <c r="H114">
        <v>62</v>
      </c>
      <c r="I114">
        <v>15</v>
      </c>
      <c r="J114" s="110">
        <v>112</v>
      </c>
      <c r="K114" t="s">
        <v>185</v>
      </c>
      <c r="L114">
        <f>IF(Table_TRM_Fixtures[[#This Row],[Technology]]="LED", Table_TRM_Fixtures[[#This Row],[Fixture Watts  (TRM Data)]], Table_TRM_Fixtures[[#This Row],[Lamp Watts  (TRM Data)]])</f>
        <v>62</v>
      </c>
      <c r="M114" t="str">
        <f>Table_TRM_Fixtures[[#This Row],[No. of Lamps  (TRM Data)]]</f>
        <v>N/A</v>
      </c>
      <c r="N114" t="s">
        <v>186</v>
      </c>
      <c r="O114" t="s">
        <v>186</v>
      </c>
      <c r="P114" t="s">
        <v>187</v>
      </c>
      <c r="S114" t="s">
        <v>410</v>
      </c>
      <c r="T114" t="str">
        <f>Table_TRM_Fixtures[[#This Row],[Fixture code  (TRM Data)]]</f>
        <v>LED062-FIXT</v>
      </c>
      <c r="U114" t="s">
        <v>2883</v>
      </c>
      <c r="V114" t="s">
        <v>185</v>
      </c>
      <c r="W114" t="s">
        <v>3120</v>
      </c>
      <c r="X114" t="s">
        <v>186</v>
      </c>
      <c r="AA114">
        <f>IF(Table_TRM_Fixtures[[#This Row],[Pre-EISA Baseline]]="Nominal", Table_TRM_Fixtures[[#This Row],[Fixture Watts  (TRM Data)]], Table_TRM_Fixtures[[#This Row],[Modified Baseline Fixture Watts]])</f>
        <v>62</v>
      </c>
    </row>
    <row r="115" spans="1:27" x14ac:dyDescent="0.2">
      <c r="A115" t="s">
        <v>413</v>
      </c>
      <c r="B115" t="s">
        <v>3454</v>
      </c>
      <c r="C115" t="s">
        <v>3455</v>
      </c>
      <c r="D115" t="s">
        <v>3456</v>
      </c>
      <c r="E115" t="s">
        <v>187</v>
      </c>
      <c r="F115" t="s">
        <v>186</v>
      </c>
      <c r="G115" t="s">
        <v>186</v>
      </c>
      <c r="H115">
        <v>63</v>
      </c>
      <c r="I115">
        <v>15</v>
      </c>
      <c r="J115" s="110">
        <v>113</v>
      </c>
      <c r="K115" t="s">
        <v>185</v>
      </c>
      <c r="L115">
        <f>IF(Table_TRM_Fixtures[[#This Row],[Technology]]="LED", Table_TRM_Fixtures[[#This Row],[Fixture Watts  (TRM Data)]], Table_TRM_Fixtures[[#This Row],[Lamp Watts  (TRM Data)]])</f>
        <v>63</v>
      </c>
      <c r="M115" t="str">
        <f>Table_TRM_Fixtures[[#This Row],[No. of Lamps  (TRM Data)]]</f>
        <v>N/A</v>
      </c>
      <c r="N115" t="s">
        <v>186</v>
      </c>
      <c r="O115" t="s">
        <v>186</v>
      </c>
      <c r="P115" t="s">
        <v>187</v>
      </c>
      <c r="S115" t="s">
        <v>412</v>
      </c>
      <c r="T115" t="str">
        <f>Table_TRM_Fixtures[[#This Row],[Fixture code  (TRM Data)]]</f>
        <v>LED063-FIXT</v>
      </c>
      <c r="U115" t="s">
        <v>2883</v>
      </c>
      <c r="V115" t="s">
        <v>185</v>
      </c>
      <c r="W115" t="s">
        <v>3120</v>
      </c>
      <c r="X115" t="s">
        <v>186</v>
      </c>
      <c r="AA115">
        <f>IF(Table_TRM_Fixtures[[#This Row],[Pre-EISA Baseline]]="Nominal", Table_TRM_Fixtures[[#This Row],[Fixture Watts  (TRM Data)]], Table_TRM_Fixtures[[#This Row],[Modified Baseline Fixture Watts]])</f>
        <v>63</v>
      </c>
    </row>
    <row r="116" spans="1:27" x14ac:dyDescent="0.2">
      <c r="A116" t="s">
        <v>415</v>
      </c>
      <c r="B116" t="s">
        <v>3457</v>
      </c>
      <c r="C116" t="s">
        <v>3458</v>
      </c>
      <c r="D116" t="s">
        <v>3459</v>
      </c>
      <c r="E116" t="s">
        <v>187</v>
      </c>
      <c r="F116" t="s">
        <v>186</v>
      </c>
      <c r="G116" t="s">
        <v>186</v>
      </c>
      <c r="H116">
        <v>64</v>
      </c>
      <c r="I116">
        <v>15</v>
      </c>
      <c r="J116" s="110">
        <v>114</v>
      </c>
      <c r="K116" t="s">
        <v>185</v>
      </c>
      <c r="L116">
        <f>IF(Table_TRM_Fixtures[[#This Row],[Technology]]="LED", Table_TRM_Fixtures[[#This Row],[Fixture Watts  (TRM Data)]], Table_TRM_Fixtures[[#This Row],[Lamp Watts  (TRM Data)]])</f>
        <v>64</v>
      </c>
      <c r="M116" t="str">
        <f>Table_TRM_Fixtures[[#This Row],[No. of Lamps  (TRM Data)]]</f>
        <v>N/A</v>
      </c>
      <c r="N116" t="s">
        <v>186</v>
      </c>
      <c r="O116" t="s">
        <v>186</v>
      </c>
      <c r="P116" t="s">
        <v>187</v>
      </c>
      <c r="S116" t="s">
        <v>414</v>
      </c>
      <c r="T116" t="str">
        <f>Table_TRM_Fixtures[[#This Row],[Fixture code  (TRM Data)]]</f>
        <v>LED064-FIXT</v>
      </c>
      <c r="U116" t="s">
        <v>2883</v>
      </c>
      <c r="V116" t="s">
        <v>185</v>
      </c>
      <c r="W116" t="s">
        <v>3120</v>
      </c>
      <c r="X116" t="s">
        <v>186</v>
      </c>
      <c r="AA116">
        <f>IF(Table_TRM_Fixtures[[#This Row],[Pre-EISA Baseline]]="Nominal", Table_TRM_Fixtures[[#This Row],[Fixture Watts  (TRM Data)]], Table_TRM_Fixtures[[#This Row],[Modified Baseline Fixture Watts]])</f>
        <v>64</v>
      </c>
    </row>
    <row r="117" spans="1:27" x14ac:dyDescent="0.2">
      <c r="A117" t="s">
        <v>417</v>
      </c>
      <c r="B117" t="s">
        <v>3460</v>
      </c>
      <c r="C117" t="s">
        <v>3461</v>
      </c>
      <c r="D117" t="s">
        <v>3462</v>
      </c>
      <c r="E117" t="s">
        <v>187</v>
      </c>
      <c r="F117" t="s">
        <v>186</v>
      </c>
      <c r="G117" t="s">
        <v>186</v>
      </c>
      <c r="H117">
        <v>65</v>
      </c>
      <c r="I117">
        <v>15</v>
      </c>
      <c r="J117" s="110">
        <v>115</v>
      </c>
      <c r="K117" t="s">
        <v>185</v>
      </c>
      <c r="L117">
        <f>IF(Table_TRM_Fixtures[[#This Row],[Technology]]="LED", Table_TRM_Fixtures[[#This Row],[Fixture Watts  (TRM Data)]], Table_TRM_Fixtures[[#This Row],[Lamp Watts  (TRM Data)]])</f>
        <v>65</v>
      </c>
      <c r="M117" t="str">
        <f>Table_TRM_Fixtures[[#This Row],[No. of Lamps  (TRM Data)]]</f>
        <v>N/A</v>
      </c>
      <c r="N117" t="s">
        <v>186</v>
      </c>
      <c r="O117" t="s">
        <v>186</v>
      </c>
      <c r="P117" t="s">
        <v>187</v>
      </c>
      <c r="S117" t="s">
        <v>416</v>
      </c>
      <c r="T117" t="str">
        <f>Table_TRM_Fixtures[[#This Row],[Fixture code  (TRM Data)]]</f>
        <v>LED065-FIXT</v>
      </c>
      <c r="U117" t="s">
        <v>2883</v>
      </c>
      <c r="V117" t="s">
        <v>185</v>
      </c>
      <c r="W117" t="s">
        <v>3120</v>
      </c>
      <c r="X117" t="s">
        <v>186</v>
      </c>
      <c r="AA117">
        <f>IF(Table_TRM_Fixtures[[#This Row],[Pre-EISA Baseline]]="Nominal", Table_TRM_Fixtures[[#This Row],[Fixture Watts  (TRM Data)]], Table_TRM_Fixtures[[#This Row],[Modified Baseline Fixture Watts]])</f>
        <v>65</v>
      </c>
    </row>
    <row r="118" spans="1:27" x14ac:dyDescent="0.2">
      <c r="A118" t="s">
        <v>419</v>
      </c>
      <c r="B118" t="s">
        <v>3463</v>
      </c>
      <c r="C118" t="s">
        <v>3464</v>
      </c>
      <c r="D118" t="s">
        <v>3465</v>
      </c>
      <c r="E118" t="s">
        <v>187</v>
      </c>
      <c r="F118" t="s">
        <v>186</v>
      </c>
      <c r="G118" t="s">
        <v>186</v>
      </c>
      <c r="H118">
        <v>66</v>
      </c>
      <c r="I118">
        <v>15</v>
      </c>
      <c r="J118" s="110">
        <v>116</v>
      </c>
      <c r="K118" t="s">
        <v>185</v>
      </c>
      <c r="L118">
        <f>IF(Table_TRM_Fixtures[[#This Row],[Technology]]="LED", Table_TRM_Fixtures[[#This Row],[Fixture Watts  (TRM Data)]], Table_TRM_Fixtures[[#This Row],[Lamp Watts  (TRM Data)]])</f>
        <v>66</v>
      </c>
      <c r="M118" t="str">
        <f>Table_TRM_Fixtures[[#This Row],[No. of Lamps  (TRM Data)]]</f>
        <v>N/A</v>
      </c>
      <c r="N118" t="s">
        <v>186</v>
      </c>
      <c r="O118" t="s">
        <v>186</v>
      </c>
      <c r="P118" t="s">
        <v>187</v>
      </c>
      <c r="S118" t="s">
        <v>418</v>
      </c>
      <c r="T118" t="str">
        <f>Table_TRM_Fixtures[[#This Row],[Fixture code  (TRM Data)]]</f>
        <v>LED066-FIXT</v>
      </c>
      <c r="U118" t="s">
        <v>2883</v>
      </c>
      <c r="V118" t="s">
        <v>185</v>
      </c>
      <c r="W118" t="s">
        <v>3120</v>
      </c>
      <c r="X118" t="s">
        <v>186</v>
      </c>
      <c r="AA118">
        <f>IF(Table_TRM_Fixtures[[#This Row],[Pre-EISA Baseline]]="Nominal", Table_TRM_Fixtures[[#This Row],[Fixture Watts  (TRM Data)]], Table_TRM_Fixtures[[#This Row],[Modified Baseline Fixture Watts]])</f>
        <v>66</v>
      </c>
    </row>
    <row r="119" spans="1:27" x14ac:dyDescent="0.2">
      <c r="A119" t="s">
        <v>421</v>
      </c>
      <c r="B119" t="s">
        <v>3466</v>
      </c>
      <c r="C119" t="s">
        <v>3467</v>
      </c>
      <c r="D119" t="s">
        <v>3468</v>
      </c>
      <c r="E119" t="s">
        <v>187</v>
      </c>
      <c r="F119" t="s">
        <v>186</v>
      </c>
      <c r="G119" t="s">
        <v>186</v>
      </c>
      <c r="H119">
        <v>67</v>
      </c>
      <c r="I119">
        <v>15</v>
      </c>
      <c r="J119" s="110">
        <v>117</v>
      </c>
      <c r="K119" t="s">
        <v>185</v>
      </c>
      <c r="L119">
        <f>IF(Table_TRM_Fixtures[[#This Row],[Technology]]="LED", Table_TRM_Fixtures[[#This Row],[Fixture Watts  (TRM Data)]], Table_TRM_Fixtures[[#This Row],[Lamp Watts  (TRM Data)]])</f>
        <v>67</v>
      </c>
      <c r="M119" t="str">
        <f>Table_TRM_Fixtures[[#This Row],[No. of Lamps  (TRM Data)]]</f>
        <v>N/A</v>
      </c>
      <c r="N119" t="s">
        <v>186</v>
      </c>
      <c r="O119" t="s">
        <v>186</v>
      </c>
      <c r="P119" t="s">
        <v>187</v>
      </c>
      <c r="S119" t="s">
        <v>420</v>
      </c>
      <c r="T119" t="str">
        <f>Table_TRM_Fixtures[[#This Row],[Fixture code  (TRM Data)]]</f>
        <v>LED067-FIXT</v>
      </c>
      <c r="U119" t="s">
        <v>2883</v>
      </c>
      <c r="V119" t="s">
        <v>185</v>
      </c>
      <c r="W119" t="s">
        <v>3120</v>
      </c>
      <c r="X119" t="s">
        <v>186</v>
      </c>
      <c r="AA119">
        <f>IF(Table_TRM_Fixtures[[#This Row],[Pre-EISA Baseline]]="Nominal", Table_TRM_Fixtures[[#This Row],[Fixture Watts  (TRM Data)]], Table_TRM_Fixtures[[#This Row],[Modified Baseline Fixture Watts]])</f>
        <v>67</v>
      </c>
    </row>
    <row r="120" spans="1:27" x14ac:dyDescent="0.2">
      <c r="A120" t="s">
        <v>423</v>
      </c>
      <c r="B120" t="s">
        <v>3469</v>
      </c>
      <c r="C120" t="s">
        <v>3470</v>
      </c>
      <c r="D120" t="s">
        <v>3471</v>
      </c>
      <c r="E120" t="s">
        <v>187</v>
      </c>
      <c r="F120" t="s">
        <v>186</v>
      </c>
      <c r="G120" t="s">
        <v>186</v>
      </c>
      <c r="H120">
        <v>68</v>
      </c>
      <c r="I120">
        <v>15</v>
      </c>
      <c r="J120" s="110">
        <v>118</v>
      </c>
      <c r="K120" t="s">
        <v>185</v>
      </c>
      <c r="L120">
        <f>IF(Table_TRM_Fixtures[[#This Row],[Technology]]="LED", Table_TRM_Fixtures[[#This Row],[Fixture Watts  (TRM Data)]], Table_TRM_Fixtures[[#This Row],[Lamp Watts  (TRM Data)]])</f>
        <v>68</v>
      </c>
      <c r="M120" t="str">
        <f>Table_TRM_Fixtures[[#This Row],[No. of Lamps  (TRM Data)]]</f>
        <v>N/A</v>
      </c>
      <c r="N120" t="s">
        <v>186</v>
      </c>
      <c r="O120" t="s">
        <v>186</v>
      </c>
      <c r="P120" t="s">
        <v>187</v>
      </c>
      <c r="S120" t="s">
        <v>422</v>
      </c>
      <c r="T120" t="str">
        <f>Table_TRM_Fixtures[[#This Row],[Fixture code  (TRM Data)]]</f>
        <v>LED068-FIXT</v>
      </c>
      <c r="U120" t="s">
        <v>2883</v>
      </c>
      <c r="V120" t="s">
        <v>185</v>
      </c>
      <c r="W120" t="s">
        <v>3120</v>
      </c>
      <c r="X120" t="s">
        <v>186</v>
      </c>
      <c r="AA120">
        <f>IF(Table_TRM_Fixtures[[#This Row],[Pre-EISA Baseline]]="Nominal", Table_TRM_Fixtures[[#This Row],[Fixture Watts  (TRM Data)]], Table_TRM_Fixtures[[#This Row],[Modified Baseline Fixture Watts]])</f>
        <v>68</v>
      </c>
    </row>
    <row r="121" spans="1:27" x14ac:dyDescent="0.2">
      <c r="A121" t="s">
        <v>425</v>
      </c>
      <c r="B121" t="s">
        <v>3472</v>
      </c>
      <c r="C121" t="s">
        <v>3473</v>
      </c>
      <c r="D121" t="s">
        <v>3474</v>
      </c>
      <c r="E121" t="s">
        <v>187</v>
      </c>
      <c r="F121" t="s">
        <v>186</v>
      </c>
      <c r="G121" t="s">
        <v>186</v>
      </c>
      <c r="H121">
        <v>69</v>
      </c>
      <c r="I121">
        <v>15</v>
      </c>
      <c r="J121" s="110">
        <v>119</v>
      </c>
      <c r="K121" t="s">
        <v>185</v>
      </c>
      <c r="L121">
        <f>IF(Table_TRM_Fixtures[[#This Row],[Technology]]="LED", Table_TRM_Fixtures[[#This Row],[Fixture Watts  (TRM Data)]], Table_TRM_Fixtures[[#This Row],[Lamp Watts  (TRM Data)]])</f>
        <v>69</v>
      </c>
      <c r="M121" t="str">
        <f>Table_TRM_Fixtures[[#This Row],[No. of Lamps  (TRM Data)]]</f>
        <v>N/A</v>
      </c>
      <c r="N121" t="s">
        <v>186</v>
      </c>
      <c r="O121" t="s">
        <v>186</v>
      </c>
      <c r="P121" t="s">
        <v>187</v>
      </c>
      <c r="S121" t="s">
        <v>424</v>
      </c>
      <c r="T121" t="str">
        <f>Table_TRM_Fixtures[[#This Row],[Fixture code  (TRM Data)]]</f>
        <v>LED069-FIXT</v>
      </c>
      <c r="U121" t="s">
        <v>2883</v>
      </c>
      <c r="V121" t="s">
        <v>185</v>
      </c>
      <c r="W121" t="s">
        <v>3120</v>
      </c>
      <c r="X121" t="s">
        <v>186</v>
      </c>
      <c r="AA121">
        <f>IF(Table_TRM_Fixtures[[#This Row],[Pre-EISA Baseline]]="Nominal", Table_TRM_Fixtures[[#This Row],[Fixture Watts  (TRM Data)]], Table_TRM_Fixtures[[#This Row],[Modified Baseline Fixture Watts]])</f>
        <v>69</v>
      </c>
    </row>
    <row r="122" spans="1:27" x14ac:dyDescent="0.2">
      <c r="A122" t="s">
        <v>427</v>
      </c>
      <c r="B122" t="s">
        <v>3475</v>
      </c>
      <c r="C122" t="s">
        <v>3476</v>
      </c>
      <c r="D122" t="s">
        <v>3477</v>
      </c>
      <c r="E122" t="s">
        <v>187</v>
      </c>
      <c r="F122" t="s">
        <v>186</v>
      </c>
      <c r="G122" t="s">
        <v>186</v>
      </c>
      <c r="H122">
        <v>70</v>
      </c>
      <c r="I122">
        <v>15</v>
      </c>
      <c r="J122" s="110">
        <v>120</v>
      </c>
      <c r="K122" t="s">
        <v>185</v>
      </c>
      <c r="L122">
        <f>IF(Table_TRM_Fixtures[[#This Row],[Technology]]="LED", Table_TRM_Fixtures[[#This Row],[Fixture Watts  (TRM Data)]], Table_TRM_Fixtures[[#This Row],[Lamp Watts  (TRM Data)]])</f>
        <v>70</v>
      </c>
      <c r="M122" t="str">
        <f>Table_TRM_Fixtures[[#This Row],[No. of Lamps  (TRM Data)]]</f>
        <v>N/A</v>
      </c>
      <c r="N122" t="s">
        <v>186</v>
      </c>
      <c r="O122" t="s">
        <v>186</v>
      </c>
      <c r="P122" t="s">
        <v>187</v>
      </c>
      <c r="S122" t="s">
        <v>426</v>
      </c>
      <c r="T122" t="str">
        <f>Table_TRM_Fixtures[[#This Row],[Fixture code  (TRM Data)]]</f>
        <v>LED070-FIXT</v>
      </c>
      <c r="U122" t="s">
        <v>2883</v>
      </c>
      <c r="V122" t="s">
        <v>185</v>
      </c>
      <c r="W122" t="s">
        <v>3120</v>
      </c>
      <c r="X122" t="s">
        <v>186</v>
      </c>
      <c r="AA122">
        <f>IF(Table_TRM_Fixtures[[#This Row],[Pre-EISA Baseline]]="Nominal", Table_TRM_Fixtures[[#This Row],[Fixture Watts  (TRM Data)]], Table_TRM_Fixtures[[#This Row],[Modified Baseline Fixture Watts]])</f>
        <v>70</v>
      </c>
    </row>
    <row r="123" spans="1:27" x14ac:dyDescent="0.2">
      <c r="A123" t="s">
        <v>429</v>
      </c>
      <c r="B123" t="s">
        <v>3478</v>
      </c>
      <c r="C123" t="s">
        <v>3479</v>
      </c>
      <c r="D123" t="s">
        <v>3480</v>
      </c>
      <c r="E123" t="s">
        <v>187</v>
      </c>
      <c r="F123" t="s">
        <v>186</v>
      </c>
      <c r="G123" t="s">
        <v>186</v>
      </c>
      <c r="H123">
        <v>71</v>
      </c>
      <c r="I123">
        <v>15</v>
      </c>
      <c r="J123" s="110">
        <v>121</v>
      </c>
      <c r="K123" t="s">
        <v>185</v>
      </c>
      <c r="L123">
        <f>IF(Table_TRM_Fixtures[[#This Row],[Technology]]="LED", Table_TRM_Fixtures[[#This Row],[Fixture Watts  (TRM Data)]], Table_TRM_Fixtures[[#This Row],[Lamp Watts  (TRM Data)]])</f>
        <v>71</v>
      </c>
      <c r="M123" t="str">
        <f>Table_TRM_Fixtures[[#This Row],[No. of Lamps  (TRM Data)]]</f>
        <v>N/A</v>
      </c>
      <c r="N123" t="s">
        <v>186</v>
      </c>
      <c r="O123" t="s">
        <v>186</v>
      </c>
      <c r="P123" t="s">
        <v>187</v>
      </c>
      <c r="S123" t="s">
        <v>428</v>
      </c>
      <c r="T123" t="str">
        <f>Table_TRM_Fixtures[[#This Row],[Fixture code  (TRM Data)]]</f>
        <v>LED071-FIXT</v>
      </c>
      <c r="U123" t="s">
        <v>2883</v>
      </c>
      <c r="V123" t="s">
        <v>185</v>
      </c>
      <c r="W123" t="s">
        <v>3120</v>
      </c>
      <c r="X123" t="s">
        <v>186</v>
      </c>
      <c r="AA123">
        <f>IF(Table_TRM_Fixtures[[#This Row],[Pre-EISA Baseline]]="Nominal", Table_TRM_Fixtures[[#This Row],[Fixture Watts  (TRM Data)]], Table_TRM_Fixtures[[#This Row],[Modified Baseline Fixture Watts]])</f>
        <v>71</v>
      </c>
    </row>
    <row r="124" spans="1:27" x14ac:dyDescent="0.2">
      <c r="A124" t="s">
        <v>431</v>
      </c>
      <c r="B124" t="s">
        <v>3481</v>
      </c>
      <c r="C124" t="s">
        <v>3482</v>
      </c>
      <c r="D124" t="s">
        <v>3483</v>
      </c>
      <c r="E124" t="s">
        <v>187</v>
      </c>
      <c r="F124" t="s">
        <v>186</v>
      </c>
      <c r="G124" t="s">
        <v>186</v>
      </c>
      <c r="H124">
        <v>72</v>
      </c>
      <c r="I124">
        <v>15</v>
      </c>
      <c r="J124" s="110">
        <v>122</v>
      </c>
      <c r="K124" t="s">
        <v>185</v>
      </c>
      <c r="L124">
        <f>IF(Table_TRM_Fixtures[[#This Row],[Technology]]="LED", Table_TRM_Fixtures[[#This Row],[Fixture Watts  (TRM Data)]], Table_TRM_Fixtures[[#This Row],[Lamp Watts  (TRM Data)]])</f>
        <v>72</v>
      </c>
      <c r="M124" t="str">
        <f>Table_TRM_Fixtures[[#This Row],[No. of Lamps  (TRM Data)]]</f>
        <v>N/A</v>
      </c>
      <c r="N124" t="s">
        <v>186</v>
      </c>
      <c r="O124" t="s">
        <v>186</v>
      </c>
      <c r="P124" t="s">
        <v>187</v>
      </c>
      <c r="S124" t="s">
        <v>430</v>
      </c>
      <c r="T124" t="str">
        <f>Table_TRM_Fixtures[[#This Row],[Fixture code  (TRM Data)]]</f>
        <v>LED072-FIXT</v>
      </c>
      <c r="U124" t="s">
        <v>2883</v>
      </c>
      <c r="V124" t="s">
        <v>185</v>
      </c>
      <c r="W124" t="s">
        <v>3120</v>
      </c>
      <c r="X124" t="s">
        <v>186</v>
      </c>
      <c r="AA124">
        <f>IF(Table_TRM_Fixtures[[#This Row],[Pre-EISA Baseline]]="Nominal", Table_TRM_Fixtures[[#This Row],[Fixture Watts  (TRM Data)]], Table_TRM_Fixtures[[#This Row],[Modified Baseline Fixture Watts]])</f>
        <v>72</v>
      </c>
    </row>
    <row r="125" spans="1:27" x14ac:dyDescent="0.2">
      <c r="A125" t="s">
        <v>433</v>
      </c>
      <c r="B125" t="s">
        <v>3484</v>
      </c>
      <c r="C125" t="s">
        <v>3485</v>
      </c>
      <c r="D125" t="s">
        <v>3486</v>
      </c>
      <c r="E125" t="s">
        <v>187</v>
      </c>
      <c r="F125" t="s">
        <v>186</v>
      </c>
      <c r="G125" t="s">
        <v>186</v>
      </c>
      <c r="H125">
        <v>73</v>
      </c>
      <c r="I125">
        <v>15</v>
      </c>
      <c r="J125" s="110">
        <v>123</v>
      </c>
      <c r="K125" t="s">
        <v>185</v>
      </c>
      <c r="L125">
        <f>IF(Table_TRM_Fixtures[[#This Row],[Technology]]="LED", Table_TRM_Fixtures[[#This Row],[Fixture Watts  (TRM Data)]], Table_TRM_Fixtures[[#This Row],[Lamp Watts  (TRM Data)]])</f>
        <v>73</v>
      </c>
      <c r="M125" t="str">
        <f>Table_TRM_Fixtures[[#This Row],[No. of Lamps  (TRM Data)]]</f>
        <v>N/A</v>
      </c>
      <c r="N125" t="s">
        <v>186</v>
      </c>
      <c r="O125" t="s">
        <v>186</v>
      </c>
      <c r="P125" t="s">
        <v>187</v>
      </c>
      <c r="S125" t="s">
        <v>432</v>
      </c>
      <c r="T125" t="str">
        <f>Table_TRM_Fixtures[[#This Row],[Fixture code  (TRM Data)]]</f>
        <v>LED073-FIXT</v>
      </c>
      <c r="U125" t="s">
        <v>2883</v>
      </c>
      <c r="V125" t="s">
        <v>185</v>
      </c>
      <c r="W125" t="s">
        <v>3120</v>
      </c>
      <c r="X125" t="s">
        <v>186</v>
      </c>
      <c r="AA125">
        <f>IF(Table_TRM_Fixtures[[#This Row],[Pre-EISA Baseline]]="Nominal", Table_TRM_Fixtures[[#This Row],[Fixture Watts  (TRM Data)]], Table_TRM_Fixtures[[#This Row],[Modified Baseline Fixture Watts]])</f>
        <v>73</v>
      </c>
    </row>
    <row r="126" spans="1:27" x14ac:dyDescent="0.2">
      <c r="A126" t="s">
        <v>435</v>
      </c>
      <c r="B126" t="s">
        <v>3487</v>
      </c>
      <c r="C126" t="s">
        <v>3488</v>
      </c>
      <c r="D126" t="s">
        <v>3489</v>
      </c>
      <c r="E126" t="s">
        <v>187</v>
      </c>
      <c r="F126" t="s">
        <v>186</v>
      </c>
      <c r="G126" t="s">
        <v>186</v>
      </c>
      <c r="H126">
        <v>74</v>
      </c>
      <c r="I126">
        <v>15</v>
      </c>
      <c r="J126" s="110">
        <v>124</v>
      </c>
      <c r="K126" t="s">
        <v>185</v>
      </c>
      <c r="L126">
        <f>IF(Table_TRM_Fixtures[[#This Row],[Technology]]="LED", Table_TRM_Fixtures[[#This Row],[Fixture Watts  (TRM Data)]], Table_TRM_Fixtures[[#This Row],[Lamp Watts  (TRM Data)]])</f>
        <v>74</v>
      </c>
      <c r="M126" t="str">
        <f>Table_TRM_Fixtures[[#This Row],[No. of Lamps  (TRM Data)]]</f>
        <v>N/A</v>
      </c>
      <c r="N126" t="s">
        <v>186</v>
      </c>
      <c r="O126" t="s">
        <v>186</v>
      </c>
      <c r="P126" t="s">
        <v>187</v>
      </c>
      <c r="S126" t="s">
        <v>434</v>
      </c>
      <c r="T126" t="str">
        <f>Table_TRM_Fixtures[[#This Row],[Fixture code  (TRM Data)]]</f>
        <v>LED074-FIXT</v>
      </c>
      <c r="U126" t="s">
        <v>2883</v>
      </c>
      <c r="V126" t="s">
        <v>185</v>
      </c>
      <c r="W126" t="s">
        <v>3120</v>
      </c>
      <c r="X126" t="s">
        <v>186</v>
      </c>
      <c r="AA126">
        <f>IF(Table_TRM_Fixtures[[#This Row],[Pre-EISA Baseline]]="Nominal", Table_TRM_Fixtures[[#This Row],[Fixture Watts  (TRM Data)]], Table_TRM_Fixtures[[#This Row],[Modified Baseline Fixture Watts]])</f>
        <v>74</v>
      </c>
    </row>
    <row r="127" spans="1:27" x14ac:dyDescent="0.2">
      <c r="A127" t="s">
        <v>437</v>
      </c>
      <c r="B127" t="s">
        <v>3490</v>
      </c>
      <c r="C127" t="s">
        <v>3491</v>
      </c>
      <c r="D127" t="s">
        <v>3492</v>
      </c>
      <c r="E127" t="s">
        <v>187</v>
      </c>
      <c r="F127" t="s">
        <v>186</v>
      </c>
      <c r="G127" t="s">
        <v>186</v>
      </c>
      <c r="H127">
        <v>75</v>
      </c>
      <c r="I127">
        <v>15</v>
      </c>
      <c r="J127" s="110">
        <v>125</v>
      </c>
      <c r="K127" t="s">
        <v>185</v>
      </c>
      <c r="L127">
        <f>IF(Table_TRM_Fixtures[[#This Row],[Technology]]="LED", Table_TRM_Fixtures[[#This Row],[Fixture Watts  (TRM Data)]], Table_TRM_Fixtures[[#This Row],[Lamp Watts  (TRM Data)]])</f>
        <v>75</v>
      </c>
      <c r="M127" t="str">
        <f>Table_TRM_Fixtures[[#This Row],[No. of Lamps  (TRM Data)]]</f>
        <v>N/A</v>
      </c>
      <c r="N127" t="s">
        <v>186</v>
      </c>
      <c r="O127" t="s">
        <v>186</v>
      </c>
      <c r="P127" t="s">
        <v>187</v>
      </c>
      <c r="S127" t="s">
        <v>436</v>
      </c>
      <c r="T127" t="str">
        <f>Table_TRM_Fixtures[[#This Row],[Fixture code  (TRM Data)]]</f>
        <v>LED075-FIXT</v>
      </c>
      <c r="U127" t="s">
        <v>2883</v>
      </c>
      <c r="V127" t="s">
        <v>185</v>
      </c>
      <c r="W127" t="s">
        <v>3120</v>
      </c>
      <c r="X127" t="s">
        <v>186</v>
      </c>
      <c r="AA127">
        <f>IF(Table_TRM_Fixtures[[#This Row],[Pre-EISA Baseline]]="Nominal", Table_TRM_Fixtures[[#This Row],[Fixture Watts  (TRM Data)]], Table_TRM_Fixtures[[#This Row],[Modified Baseline Fixture Watts]])</f>
        <v>75</v>
      </c>
    </row>
    <row r="128" spans="1:27" x14ac:dyDescent="0.2">
      <c r="A128" t="s">
        <v>439</v>
      </c>
      <c r="B128" t="s">
        <v>3493</v>
      </c>
      <c r="C128" t="s">
        <v>3494</v>
      </c>
      <c r="D128" t="s">
        <v>3495</v>
      </c>
      <c r="E128" t="s">
        <v>187</v>
      </c>
      <c r="F128" t="s">
        <v>186</v>
      </c>
      <c r="G128" t="s">
        <v>186</v>
      </c>
      <c r="H128">
        <v>76</v>
      </c>
      <c r="I128">
        <v>15</v>
      </c>
      <c r="J128" s="110">
        <v>126</v>
      </c>
      <c r="K128" t="s">
        <v>185</v>
      </c>
      <c r="L128">
        <f>IF(Table_TRM_Fixtures[[#This Row],[Technology]]="LED", Table_TRM_Fixtures[[#This Row],[Fixture Watts  (TRM Data)]], Table_TRM_Fixtures[[#This Row],[Lamp Watts  (TRM Data)]])</f>
        <v>76</v>
      </c>
      <c r="M128" t="str">
        <f>Table_TRM_Fixtures[[#This Row],[No. of Lamps  (TRM Data)]]</f>
        <v>N/A</v>
      </c>
      <c r="N128" t="s">
        <v>186</v>
      </c>
      <c r="O128" t="s">
        <v>186</v>
      </c>
      <c r="P128" t="s">
        <v>187</v>
      </c>
      <c r="S128" t="s">
        <v>438</v>
      </c>
      <c r="T128" t="str">
        <f>Table_TRM_Fixtures[[#This Row],[Fixture code  (TRM Data)]]</f>
        <v>LED076-FIXT</v>
      </c>
      <c r="U128" t="s">
        <v>2883</v>
      </c>
      <c r="V128" t="s">
        <v>185</v>
      </c>
      <c r="W128" t="s">
        <v>3120</v>
      </c>
      <c r="X128" t="s">
        <v>186</v>
      </c>
      <c r="AA128">
        <f>IF(Table_TRM_Fixtures[[#This Row],[Pre-EISA Baseline]]="Nominal", Table_TRM_Fixtures[[#This Row],[Fixture Watts  (TRM Data)]], Table_TRM_Fixtures[[#This Row],[Modified Baseline Fixture Watts]])</f>
        <v>76</v>
      </c>
    </row>
    <row r="129" spans="1:27" x14ac:dyDescent="0.2">
      <c r="A129" t="s">
        <v>441</v>
      </c>
      <c r="B129" t="s">
        <v>3496</v>
      </c>
      <c r="C129" t="s">
        <v>3497</v>
      </c>
      <c r="D129" t="s">
        <v>3498</v>
      </c>
      <c r="E129" t="s">
        <v>187</v>
      </c>
      <c r="F129" t="s">
        <v>186</v>
      </c>
      <c r="G129" t="s">
        <v>186</v>
      </c>
      <c r="H129">
        <v>77</v>
      </c>
      <c r="I129">
        <v>15</v>
      </c>
      <c r="J129" s="110">
        <v>127</v>
      </c>
      <c r="K129" t="s">
        <v>185</v>
      </c>
      <c r="L129">
        <f>IF(Table_TRM_Fixtures[[#This Row],[Technology]]="LED", Table_TRM_Fixtures[[#This Row],[Fixture Watts  (TRM Data)]], Table_TRM_Fixtures[[#This Row],[Lamp Watts  (TRM Data)]])</f>
        <v>77</v>
      </c>
      <c r="M129" t="str">
        <f>Table_TRM_Fixtures[[#This Row],[No. of Lamps  (TRM Data)]]</f>
        <v>N/A</v>
      </c>
      <c r="N129" t="s">
        <v>186</v>
      </c>
      <c r="O129" t="s">
        <v>186</v>
      </c>
      <c r="P129" t="s">
        <v>187</v>
      </c>
      <c r="S129" t="s">
        <v>440</v>
      </c>
      <c r="T129" t="str">
        <f>Table_TRM_Fixtures[[#This Row],[Fixture code  (TRM Data)]]</f>
        <v>LED077-FIXT</v>
      </c>
      <c r="U129" t="s">
        <v>2883</v>
      </c>
      <c r="V129" t="s">
        <v>185</v>
      </c>
      <c r="W129" t="s">
        <v>3120</v>
      </c>
      <c r="X129" t="s">
        <v>186</v>
      </c>
      <c r="AA129">
        <f>IF(Table_TRM_Fixtures[[#This Row],[Pre-EISA Baseline]]="Nominal", Table_TRM_Fixtures[[#This Row],[Fixture Watts  (TRM Data)]], Table_TRM_Fixtures[[#This Row],[Modified Baseline Fixture Watts]])</f>
        <v>77</v>
      </c>
    </row>
    <row r="130" spans="1:27" x14ac:dyDescent="0.2">
      <c r="A130" t="s">
        <v>443</v>
      </c>
      <c r="B130" t="s">
        <v>3499</v>
      </c>
      <c r="C130" t="s">
        <v>3500</v>
      </c>
      <c r="D130" t="s">
        <v>3501</v>
      </c>
      <c r="E130" t="s">
        <v>187</v>
      </c>
      <c r="F130" t="s">
        <v>186</v>
      </c>
      <c r="G130" t="s">
        <v>186</v>
      </c>
      <c r="H130">
        <v>78</v>
      </c>
      <c r="I130">
        <v>15</v>
      </c>
      <c r="J130" s="110">
        <v>128</v>
      </c>
      <c r="K130" t="s">
        <v>185</v>
      </c>
      <c r="L130">
        <f>IF(Table_TRM_Fixtures[[#This Row],[Technology]]="LED", Table_TRM_Fixtures[[#This Row],[Fixture Watts  (TRM Data)]], Table_TRM_Fixtures[[#This Row],[Lamp Watts  (TRM Data)]])</f>
        <v>78</v>
      </c>
      <c r="M130" t="str">
        <f>Table_TRM_Fixtures[[#This Row],[No. of Lamps  (TRM Data)]]</f>
        <v>N/A</v>
      </c>
      <c r="N130" t="s">
        <v>186</v>
      </c>
      <c r="O130" t="s">
        <v>186</v>
      </c>
      <c r="P130" t="s">
        <v>187</v>
      </c>
      <c r="S130" t="s">
        <v>442</v>
      </c>
      <c r="T130" t="str">
        <f>Table_TRM_Fixtures[[#This Row],[Fixture code  (TRM Data)]]</f>
        <v>LED078-FIXT</v>
      </c>
      <c r="U130" t="s">
        <v>2883</v>
      </c>
      <c r="V130" t="s">
        <v>185</v>
      </c>
      <c r="W130" t="s">
        <v>3120</v>
      </c>
      <c r="X130" t="s">
        <v>186</v>
      </c>
      <c r="AA130">
        <f>IF(Table_TRM_Fixtures[[#This Row],[Pre-EISA Baseline]]="Nominal", Table_TRM_Fixtures[[#This Row],[Fixture Watts  (TRM Data)]], Table_TRM_Fixtures[[#This Row],[Modified Baseline Fixture Watts]])</f>
        <v>78</v>
      </c>
    </row>
    <row r="131" spans="1:27" x14ac:dyDescent="0.2">
      <c r="A131" t="s">
        <v>445</v>
      </c>
      <c r="B131" t="s">
        <v>3502</v>
      </c>
      <c r="C131" t="s">
        <v>3503</v>
      </c>
      <c r="D131" t="s">
        <v>3504</v>
      </c>
      <c r="E131" t="s">
        <v>187</v>
      </c>
      <c r="F131" t="s">
        <v>186</v>
      </c>
      <c r="G131" t="s">
        <v>186</v>
      </c>
      <c r="H131">
        <v>79</v>
      </c>
      <c r="I131">
        <v>15</v>
      </c>
      <c r="J131" s="110">
        <v>129</v>
      </c>
      <c r="K131" t="s">
        <v>185</v>
      </c>
      <c r="L131">
        <f>IF(Table_TRM_Fixtures[[#This Row],[Technology]]="LED", Table_TRM_Fixtures[[#This Row],[Fixture Watts  (TRM Data)]], Table_TRM_Fixtures[[#This Row],[Lamp Watts  (TRM Data)]])</f>
        <v>79</v>
      </c>
      <c r="M131" t="str">
        <f>Table_TRM_Fixtures[[#This Row],[No. of Lamps  (TRM Data)]]</f>
        <v>N/A</v>
      </c>
      <c r="N131" t="s">
        <v>186</v>
      </c>
      <c r="O131" t="s">
        <v>186</v>
      </c>
      <c r="P131" t="s">
        <v>187</v>
      </c>
      <c r="S131" t="s">
        <v>444</v>
      </c>
      <c r="T131" t="str">
        <f>Table_TRM_Fixtures[[#This Row],[Fixture code  (TRM Data)]]</f>
        <v>LED079-FIXT</v>
      </c>
      <c r="U131" t="s">
        <v>2883</v>
      </c>
      <c r="V131" t="s">
        <v>185</v>
      </c>
      <c r="W131" t="s">
        <v>3120</v>
      </c>
      <c r="X131" t="s">
        <v>186</v>
      </c>
      <c r="AA131">
        <f>IF(Table_TRM_Fixtures[[#This Row],[Pre-EISA Baseline]]="Nominal", Table_TRM_Fixtures[[#This Row],[Fixture Watts  (TRM Data)]], Table_TRM_Fixtures[[#This Row],[Modified Baseline Fixture Watts]])</f>
        <v>79</v>
      </c>
    </row>
    <row r="132" spans="1:27" x14ac:dyDescent="0.2">
      <c r="A132" t="s">
        <v>447</v>
      </c>
      <c r="B132" t="s">
        <v>3505</v>
      </c>
      <c r="C132" t="s">
        <v>3506</v>
      </c>
      <c r="D132" t="s">
        <v>3507</v>
      </c>
      <c r="E132" t="s">
        <v>187</v>
      </c>
      <c r="F132" t="s">
        <v>186</v>
      </c>
      <c r="G132" t="s">
        <v>186</v>
      </c>
      <c r="H132">
        <v>80</v>
      </c>
      <c r="I132">
        <v>15</v>
      </c>
      <c r="J132" s="110">
        <v>130</v>
      </c>
      <c r="K132" t="s">
        <v>185</v>
      </c>
      <c r="L132">
        <f>IF(Table_TRM_Fixtures[[#This Row],[Technology]]="LED", Table_TRM_Fixtures[[#This Row],[Fixture Watts  (TRM Data)]], Table_TRM_Fixtures[[#This Row],[Lamp Watts  (TRM Data)]])</f>
        <v>80</v>
      </c>
      <c r="M132" t="str">
        <f>Table_TRM_Fixtures[[#This Row],[No. of Lamps  (TRM Data)]]</f>
        <v>N/A</v>
      </c>
      <c r="N132" t="s">
        <v>186</v>
      </c>
      <c r="O132" t="s">
        <v>186</v>
      </c>
      <c r="P132" t="s">
        <v>187</v>
      </c>
      <c r="S132" t="s">
        <v>446</v>
      </c>
      <c r="T132" t="str">
        <f>Table_TRM_Fixtures[[#This Row],[Fixture code  (TRM Data)]]</f>
        <v>LED080-FIXT</v>
      </c>
      <c r="U132" t="s">
        <v>2883</v>
      </c>
      <c r="V132" t="s">
        <v>185</v>
      </c>
      <c r="W132" t="s">
        <v>3120</v>
      </c>
      <c r="X132" t="s">
        <v>186</v>
      </c>
      <c r="AA132">
        <f>IF(Table_TRM_Fixtures[[#This Row],[Pre-EISA Baseline]]="Nominal", Table_TRM_Fixtures[[#This Row],[Fixture Watts  (TRM Data)]], Table_TRM_Fixtures[[#This Row],[Modified Baseline Fixture Watts]])</f>
        <v>80</v>
      </c>
    </row>
    <row r="133" spans="1:27" x14ac:dyDescent="0.2">
      <c r="A133" t="s">
        <v>449</v>
      </c>
      <c r="B133" t="s">
        <v>3508</v>
      </c>
      <c r="C133" t="s">
        <v>3509</v>
      </c>
      <c r="D133" t="s">
        <v>3510</v>
      </c>
      <c r="E133" t="s">
        <v>187</v>
      </c>
      <c r="F133" t="s">
        <v>186</v>
      </c>
      <c r="G133" t="s">
        <v>186</v>
      </c>
      <c r="H133">
        <v>81</v>
      </c>
      <c r="I133">
        <v>15</v>
      </c>
      <c r="J133" s="110">
        <v>131</v>
      </c>
      <c r="K133" t="s">
        <v>185</v>
      </c>
      <c r="L133">
        <f>IF(Table_TRM_Fixtures[[#This Row],[Technology]]="LED", Table_TRM_Fixtures[[#This Row],[Fixture Watts  (TRM Data)]], Table_TRM_Fixtures[[#This Row],[Lamp Watts  (TRM Data)]])</f>
        <v>81</v>
      </c>
      <c r="M133" t="str">
        <f>Table_TRM_Fixtures[[#This Row],[No. of Lamps  (TRM Data)]]</f>
        <v>N/A</v>
      </c>
      <c r="N133" t="s">
        <v>186</v>
      </c>
      <c r="O133" t="s">
        <v>186</v>
      </c>
      <c r="P133" t="s">
        <v>187</v>
      </c>
      <c r="S133" t="s">
        <v>448</v>
      </c>
      <c r="T133" t="str">
        <f>Table_TRM_Fixtures[[#This Row],[Fixture code  (TRM Data)]]</f>
        <v>LED081-FIXT</v>
      </c>
      <c r="U133" t="s">
        <v>2883</v>
      </c>
      <c r="V133" t="s">
        <v>185</v>
      </c>
      <c r="W133" t="s">
        <v>3120</v>
      </c>
      <c r="X133" t="s">
        <v>186</v>
      </c>
      <c r="AA133">
        <f>IF(Table_TRM_Fixtures[[#This Row],[Pre-EISA Baseline]]="Nominal", Table_TRM_Fixtures[[#This Row],[Fixture Watts  (TRM Data)]], Table_TRM_Fixtures[[#This Row],[Modified Baseline Fixture Watts]])</f>
        <v>81</v>
      </c>
    </row>
    <row r="134" spans="1:27" x14ac:dyDescent="0.2">
      <c r="A134" t="s">
        <v>451</v>
      </c>
      <c r="B134" t="s">
        <v>3511</v>
      </c>
      <c r="C134" t="s">
        <v>3512</v>
      </c>
      <c r="D134" t="s">
        <v>3513</v>
      </c>
      <c r="E134" t="s">
        <v>187</v>
      </c>
      <c r="F134" t="s">
        <v>186</v>
      </c>
      <c r="G134" t="s">
        <v>186</v>
      </c>
      <c r="H134">
        <v>82</v>
      </c>
      <c r="I134">
        <v>15</v>
      </c>
      <c r="J134" s="110">
        <v>132</v>
      </c>
      <c r="K134" t="s">
        <v>185</v>
      </c>
      <c r="L134">
        <f>IF(Table_TRM_Fixtures[[#This Row],[Technology]]="LED", Table_TRM_Fixtures[[#This Row],[Fixture Watts  (TRM Data)]], Table_TRM_Fixtures[[#This Row],[Lamp Watts  (TRM Data)]])</f>
        <v>82</v>
      </c>
      <c r="M134" t="str">
        <f>Table_TRM_Fixtures[[#This Row],[No. of Lamps  (TRM Data)]]</f>
        <v>N/A</v>
      </c>
      <c r="N134" t="s">
        <v>186</v>
      </c>
      <c r="O134" t="s">
        <v>186</v>
      </c>
      <c r="P134" t="s">
        <v>187</v>
      </c>
      <c r="S134" t="s">
        <v>450</v>
      </c>
      <c r="T134" t="str">
        <f>Table_TRM_Fixtures[[#This Row],[Fixture code  (TRM Data)]]</f>
        <v>LED082-FIXT</v>
      </c>
      <c r="U134" t="s">
        <v>2883</v>
      </c>
      <c r="V134" t="s">
        <v>185</v>
      </c>
      <c r="W134" t="s">
        <v>3120</v>
      </c>
      <c r="X134" t="s">
        <v>186</v>
      </c>
      <c r="AA134">
        <f>IF(Table_TRM_Fixtures[[#This Row],[Pre-EISA Baseline]]="Nominal", Table_TRM_Fixtures[[#This Row],[Fixture Watts  (TRM Data)]], Table_TRM_Fixtures[[#This Row],[Modified Baseline Fixture Watts]])</f>
        <v>82</v>
      </c>
    </row>
    <row r="135" spans="1:27" x14ac:dyDescent="0.2">
      <c r="A135" t="s">
        <v>453</v>
      </c>
      <c r="B135" t="s">
        <v>3514</v>
      </c>
      <c r="C135" t="s">
        <v>3515</v>
      </c>
      <c r="D135" t="s">
        <v>3516</v>
      </c>
      <c r="E135" t="s">
        <v>187</v>
      </c>
      <c r="F135" t="s">
        <v>186</v>
      </c>
      <c r="G135" t="s">
        <v>186</v>
      </c>
      <c r="H135">
        <v>83</v>
      </c>
      <c r="I135">
        <v>15</v>
      </c>
      <c r="J135" s="110">
        <v>133</v>
      </c>
      <c r="K135" t="s">
        <v>185</v>
      </c>
      <c r="L135">
        <f>IF(Table_TRM_Fixtures[[#This Row],[Technology]]="LED", Table_TRM_Fixtures[[#This Row],[Fixture Watts  (TRM Data)]], Table_TRM_Fixtures[[#This Row],[Lamp Watts  (TRM Data)]])</f>
        <v>83</v>
      </c>
      <c r="M135" t="str">
        <f>Table_TRM_Fixtures[[#This Row],[No. of Lamps  (TRM Data)]]</f>
        <v>N/A</v>
      </c>
      <c r="N135" t="s">
        <v>186</v>
      </c>
      <c r="O135" t="s">
        <v>186</v>
      </c>
      <c r="P135" t="s">
        <v>187</v>
      </c>
      <c r="S135" t="s">
        <v>452</v>
      </c>
      <c r="T135" t="str">
        <f>Table_TRM_Fixtures[[#This Row],[Fixture code  (TRM Data)]]</f>
        <v>LED083-FIXT</v>
      </c>
      <c r="U135" t="s">
        <v>2883</v>
      </c>
      <c r="V135" t="s">
        <v>185</v>
      </c>
      <c r="W135" t="s">
        <v>3120</v>
      </c>
      <c r="X135" t="s">
        <v>186</v>
      </c>
      <c r="AA135">
        <f>IF(Table_TRM_Fixtures[[#This Row],[Pre-EISA Baseline]]="Nominal", Table_TRM_Fixtures[[#This Row],[Fixture Watts  (TRM Data)]], Table_TRM_Fixtures[[#This Row],[Modified Baseline Fixture Watts]])</f>
        <v>83</v>
      </c>
    </row>
    <row r="136" spans="1:27" x14ac:dyDescent="0.2">
      <c r="A136" t="s">
        <v>455</v>
      </c>
      <c r="B136" t="s">
        <v>3517</v>
      </c>
      <c r="C136" t="s">
        <v>3518</v>
      </c>
      <c r="D136" t="s">
        <v>3519</v>
      </c>
      <c r="E136" t="s">
        <v>187</v>
      </c>
      <c r="F136" t="s">
        <v>186</v>
      </c>
      <c r="G136" t="s">
        <v>186</v>
      </c>
      <c r="H136">
        <v>84</v>
      </c>
      <c r="I136">
        <v>15</v>
      </c>
      <c r="J136" s="110">
        <v>134</v>
      </c>
      <c r="K136" t="s">
        <v>185</v>
      </c>
      <c r="L136">
        <f>IF(Table_TRM_Fixtures[[#This Row],[Technology]]="LED", Table_TRM_Fixtures[[#This Row],[Fixture Watts  (TRM Data)]], Table_TRM_Fixtures[[#This Row],[Lamp Watts  (TRM Data)]])</f>
        <v>84</v>
      </c>
      <c r="M136" t="str">
        <f>Table_TRM_Fixtures[[#This Row],[No. of Lamps  (TRM Data)]]</f>
        <v>N/A</v>
      </c>
      <c r="N136" t="s">
        <v>186</v>
      </c>
      <c r="O136" t="s">
        <v>186</v>
      </c>
      <c r="P136" t="s">
        <v>187</v>
      </c>
      <c r="S136" t="s">
        <v>454</v>
      </c>
      <c r="T136" t="str">
        <f>Table_TRM_Fixtures[[#This Row],[Fixture code  (TRM Data)]]</f>
        <v>LED084-FIXT</v>
      </c>
      <c r="U136" t="s">
        <v>2883</v>
      </c>
      <c r="V136" t="s">
        <v>185</v>
      </c>
      <c r="W136" t="s">
        <v>3120</v>
      </c>
      <c r="X136" t="s">
        <v>186</v>
      </c>
      <c r="AA136">
        <f>IF(Table_TRM_Fixtures[[#This Row],[Pre-EISA Baseline]]="Nominal", Table_TRM_Fixtures[[#This Row],[Fixture Watts  (TRM Data)]], Table_TRM_Fixtures[[#This Row],[Modified Baseline Fixture Watts]])</f>
        <v>84</v>
      </c>
    </row>
    <row r="137" spans="1:27" x14ac:dyDescent="0.2">
      <c r="A137" t="s">
        <v>457</v>
      </c>
      <c r="B137" t="s">
        <v>3520</v>
      </c>
      <c r="C137" t="s">
        <v>3521</v>
      </c>
      <c r="D137" t="s">
        <v>3522</v>
      </c>
      <c r="E137" t="s">
        <v>187</v>
      </c>
      <c r="F137" t="s">
        <v>186</v>
      </c>
      <c r="G137" t="s">
        <v>186</v>
      </c>
      <c r="H137">
        <v>85</v>
      </c>
      <c r="I137">
        <v>15</v>
      </c>
      <c r="J137" s="110">
        <v>135</v>
      </c>
      <c r="K137" t="s">
        <v>185</v>
      </c>
      <c r="L137">
        <f>IF(Table_TRM_Fixtures[[#This Row],[Technology]]="LED", Table_TRM_Fixtures[[#This Row],[Fixture Watts  (TRM Data)]], Table_TRM_Fixtures[[#This Row],[Lamp Watts  (TRM Data)]])</f>
        <v>85</v>
      </c>
      <c r="M137" t="str">
        <f>Table_TRM_Fixtures[[#This Row],[No. of Lamps  (TRM Data)]]</f>
        <v>N/A</v>
      </c>
      <c r="N137" t="s">
        <v>186</v>
      </c>
      <c r="O137" t="s">
        <v>186</v>
      </c>
      <c r="P137" t="s">
        <v>187</v>
      </c>
      <c r="S137" t="s">
        <v>456</v>
      </c>
      <c r="T137" t="str">
        <f>Table_TRM_Fixtures[[#This Row],[Fixture code  (TRM Data)]]</f>
        <v>LED085-FIXT</v>
      </c>
      <c r="U137" t="s">
        <v>2883</v>
      </c>
      <c r="V137" t="s">
        <v>185</v>
      </c>
      <c r="W137" t="s">
        <v>3120</v>
      </c>
      <c r="X137" t="s">
        <v>186</v>
      </c>
      <c r="AA137">
        <f>IF(Table_TRM_Fixtures[[#This Row],[Pre-EISA Baseline]]="Nominal", Table_TRM_Fixtures[[#This Row],[Fixture Watts  (TRM Data)]], Table_TRM_Fixtures[[#This Row],[Modified Baseline Fixture Watts]])</f>
        <v>85</v>
      </c>
    </row>
    <row r="138" spans="1:27" x14ac:dyDescent="0.2">
      <c r="A138" t="s">
        <v>459</v>
      </c>
      <c r="B138" t="s">
        <v>3523</v>
      </c>
      <c r="C138" t="s">
        <v>3524</v>
      </c>
      <c r="D138" t="s">
        <v>3525</v>
      </c>
      <c r="E138" t="s">
        <v>187</v>
      </c>
      <c r="F138" t="s">
        <v>186</v>
      </c>
      <c r="G138" t="s">
        <v>186</v>
      </c>
      <c r="H138">
        <v>86</v>
      </c>
      <c r="I138">
        <v>15</v>
      </c>
      <c r="J138" s="110">
        <v>136</v>
      </c>
      <c r="K138" t="s">
        <v>185</v>
      </c>
      <c r="L138">
        <f>IF(Table_TRM_Fixtures[[#This Row],[Technology]]="LED", Table_TRM_Fixtures[[#This Row],[Fixture Watts  (TRM Data)]], Table_TRM_Fixtures[[#This Row],[Lamp Watts  (TRM Data)]])</f>
        <v>86</v>
      </c>
      <c r="M138" t="str">
        <f>Table_TRM_Fixtures[[#This Row],[No. of Lamps  (TRM Data)]]</f>
        <v>N/A</v>
      </c>
      <c r="N138" t="s">
        <v>186</v>
      </c>
      <c r="O138" t="s">
        <v>186</v>
      </c>
      <c r="P138" t="s">
        <v>187</v>
      </c>
      <c r="S138" t="s">
        <v>458</v>
      </c>
      <c r="T138" t="str">
        <f>Table_TRM_Fixtures[[#This Row],[Fixture code  (TRM Data)]]</f>
        <v>LED086-FIXT</v>
      </c>
      <c r="U138" t="s">
        <v>2883</v>
      </c>
      <c r="V138" t="s">
        <v>185</v>
      </c>
      <c r="W138" t="s">
        <v>3120</v>
      </c>
      <c r="X138" t="s">
        <v>186</v>
      </c>
      <c r="AA138">
        <f>IF(Table_TRM_Fixtures[[#This Row],[Pre-EISA Baseline]]="Nominal", Table_TRM_Fixtures[[#This Row],[Fixture Watts  (TRM Data)]], Table_TRM_Fixtures[[#This Row],[Modified Baseline Fixture Watts]])</f>
        <v>86</v>
      </c>
    </row>
    <row r="139" spans="1:27" x14ac:dyDescent="0.2">
      <c r="A139" t="s">
        <v>461</v>
      </c>
      <c r="B139" t="s">
        <v>3526</v>
      </c>
      <c r="C139" t="s">
        <v>3527</v>
      </c>
      <c r="D139" t="s">
        <v>3528</v>
      </c>
      <c r="E139" t="s">
        <v>187</v>
      </c>
      <c r="F139" t="s">
        <v>186</v>
      </c>
      <c r="G139" t="s">
        <v>186</v>
      </c>
      <c r="H139">
        <v>87</v>
      </c>
      <c r="I139">
        <v>15</v>
      </c>
      <c r="J139" s="110">
        <v>137</v>
      </c>
      <c r="K139" t="s">
        <v>185</v>
      </c>
      <c r="L139">
        <f>IF(Table_TRM_Fixtures[[#This Row],[Technology]]="LED", Table_TRM_Fixtures[[#This Row],[Fixture Watts  (TRM Data)]], Table_TRM_Fixtures[[#This Row],[Lamp Watts  (TRM Data)]])</f>
        <v>87</v>
      </c>
      <c r="M139" t="str">
        <f>Table_TRM_Fixtures[[#This Row],[No. of Lamps  (TRM Data)]]</f>
        <v>N/A</v>
      </c>
      <c r="N139" t="s">
        <v>186</v>
      </c>
      <c r="O139" t="s">
        <v>186</v>
      </c>
      <c r="P139" t="s">
        <v>187</v>
      </c>
      <c r="S139" t="s">
        <v>460</v>
      </c>
      <c r="T139" t="str">
        <f>Table_TRM_Fixtures[[#This Row],[Fixture code  (TRM Data)]]</f>
        <v>LED087-FIXT</v>
      </c>
      <c r="U139" t="s">
        <v>2883</v>
      </c>
      <c r="V139" t="s">
        <v>185</v>
      </c>
      <c r="W139" t="s">
        <v>3120</v>
      </c>
      <c r="X139" t="s">
        <v>186</v>
      </c>
      <c r="AA139">
        <f>IF(Table_TRM_Fixtures[[#This Row],[Pre-EISA Baseline]]="Nominal", Table_TRM_Fixtures[[#This Row],[Fixture Watts  (TRM Data)]], Table_TRM_Fixtures[[#This Row],[Modified Baseline Fixture Watts]])</f>
        <v>87</v>
      </c>
    </row>
    <row r="140" spans="1:27" x14ac:dyDescent="0.2">
      <c r="A140" t="s">
        <v>463</v>
      </c>
      <c r="B140" t="s">
        <v>3529</v>
      </c>
      <c r="C140" t="s">
        <v>3530</v>
      </c>
      <c r="D140" t="s">
        <v>3531</v>
      </c>
      <c r="E140" t="s">
        <v>187</v>
      </c>
      <c r="F140" t="s">
        <v>186</v>
      </c>
      <c r="G140" t="s">
        <v>186</v>
      </c>
      <c r="H140">
        <v>88</v>
      </c>
      <c r="I140">
        <v>15</v>
      </c>
      <c r="J140" s="110">
        <v>138</v>
      </c>
      <c r="K140" t="s">
        <v>185</v>
      </c>
      <c r="L140">
        <f>IF(Table_TRM_Fixtures[[#This Row],[Technology]]="LED", Table_TRM_Fixtures[[#This Row],[Fixture Watts  (TRM Data)]], Table_TRM_Fixtures[[#This Row],[Lamp Watts  (TRM Data)]])</f>
        <v>88</v>
      </c>
      <c r="M140" t="str">
        <f>Table_TRM_Fixtures[[#This Row],[No. of Lamps  (TRM Data)]]</f>
        <v>N/A</v>
      </c>
      <c r="N140" t="s">
        <v>186</v>
      </c>
      <c r="O140" t="s">
        <v>186</v>
      </c>
      <c r="P140" t="s">
        <v>187</v>
      </c>
      <c r="S140" t="s">
        <v>462</v>
      </c>
      <c r="T140" t="str">
        <f>Table_TRM_Fixtures[[#This Row],[Fixture code  (TRM Data)]]</f>
        <v>LED088-FIXT</v>
      </c>
      <c r="U140" t="s">
        <v>2883</v>
      </c>
      <c r="V140" t="s">
        <v>185</v>
      </c>
      <c r="W140" t="s">
        <v>3120</v>
      </c>
      <c r="X140" t="s">
        <v>186</v>
      </c>
      <c r="AA140">
        <f>IF(Table_TRM_Fixtures[[#This Row],[Pre-EISA Baseline]]="Nominal", Table_TRM_Fixtures[[#This Row],[Fixture Watts  (TRM Data)]], Table_TRM_Fixtures[[#This Row],[Modified Baseline Fixture Watts]])</f>
        <v>88</v>
      </c>
    </row>
    <row r="141" spans="1:27" x14ac:dyDescent="0.2">
      <c r="A141" t="s">
        <v>465</v>
      </c>
      <c r="B141" t="s">
        <v>3532</v>
      </c>
      <c r="C141" t="s">
        <v>3533</v>
      </c>
      <c r="D141" t="s">
        <v>3534</v>
      </c>
      <c r="E141" t="s">
        <v>187</v>
      </c>
      <c r="F141" t="s">
        <v>186</v>
      </c>
      <c r="G141" t="s">
        <v>186</v>
      </c>
      <c r="H141">
        <v>89</v>
      </c>
      <c r="I141">
        <v>15</v>
      </c>
      <c r="J141" s="110">
        <v>139</v>
      </c>
      <c r="K141" t="s">
        <v>185</v>
      </c>
      <c r="L141">
        <f>IF(Table_TRM_Fixtures[[#This Row],[Technology]]="LED", Table_TRM_Fixtures[[#This Row],[Fixture Watts  (TRM Data)]], Table_TRM_Fixtures[[#This Row],[Lamp Watts  (TRM Data)]])</f>
        <v>89</v>
      </c>
      <c r="M141" t="str">
        <f>Table_TRM_Fixtures[[#This Row],[No. of Lamps  (TRM Data)]]</f>
        <v>N/A</v>
      </c>
      <c r="N141" t="s">
        <v>186</v>
      </c>
      <c r="O141" t="s">
        <v>186</v>
      </c>
      <c r="P141" t="s">
        <v>187</v>
      </c>
      <c r="S141" t="s">
        <v>464</v>
      </c>
      <c r="T141" t="str">
        <f>Table_TRM_Fixtures[[#This Row],[Fixture code  (TRM Data)]]</f>
        <v>LED089-FIXT</v>
      </c>
      <c r="U141" t="s">
        <v>2883</v>
      </c>
      <c r="V141" t="s">
        <v>185</v>
      </c>
      <c r="W141" t="s">
        <v>3120</v>
      </c>
      <c r="X141" t="s">
        <v>186</v>
      </c>
      <c r="AA141">
        <f>IF(Table_TRM_Fixtures[[#This Row],[Pre-EISA Baseline]]="Nominal", Table_TRM_Fixtures[[#This Row],[Fixture Watts  (TRM Data)]], Table_TRM_Fixtures[[#This Row],[Modified Baseline Fixture Watts]])</f>
        <v>89</v>
      </c>
    </row>
    <row r="142" spans="1:27" x14ac:dyDescent="0.2">
      <c r="A142" t="s">
        <v>467</v>
      </c>
      <c r="B142" t="s">
        <v>3535</v>
      </c>
      <c r="C142" t="s">
        <v>3536</v>
      </c>
      <c r="D142" t="s">
        <v>3537</v>
      </c>
      <c r="E142" t="s">
        <v>187</v>
      </c>
      <c r="F142" t="s">
        <v>186</v>
      </c>
      <c r="G142" t="s">
        <v>186</v>
      </c>
      <c r="H142">
        <v>90</v>
      </c>
      <c r="I142">
        <v>15</v>
      </c>
      <c r="J142" s="110">
        <v>140</v>
      </c>
      <c r="K142" t="s">
        <v>185</v>
      </c>
      <c r="L142">
        <f>IF(Table_TRM_Fixtures[[#This Row],[Technology]]="LED", Table_TRM_Fixtures[[#This Row],[Fixture Watts  (TRM Data)]], Table_TRM_Fixtures[[#This Row],[Lamp Watts  (TRM Data)]])</f>
        <v>90</v>
      </c>
      <c r="M142" t="str">
        <f>Table_TRM_Fixtures[[#This Row],[No. of Lamps  (TRM Data)]]</f>
        <v>N/A</v>
      </c>
      <c r="N142" t="s">
        <v>186</v>
      </c>
      <c r="O142" t="s">
        <v>186</v>
      </c>
      <c r="P142" t="s">
        <v>187</v>
      </c>
      <c r="S142" t="s">
        <v>466</v>
      </c>
      <c r="T142" t="str">
        <f>Table_TRM_Fixtures[[#This Row],[Fixture code  (TRM Data)]]</f>
        <v>LED090-FIXT</v>
      </c>
      <c r="U142" t="s">
        <v>2883</v>
      </c>
      <c r="V142" t="s">
        <v>185</v>
      </c>
      <c r="W142" t="s">
        <v>3120</v>
      </c>
      <c r="X142" t="s">
        <v>186</v>
      </c>
      <c r="AA142">
        <f>IF(Table_TRM_Fixtures[[#This Row],[Pre-EISA Baseline]]="Nominal", Table_TRM_Fixtures[[#This Row],[Fixture Watts  (TRM Data)]], Table_TRM_Fixtures[[#This Row],[Modified Baseline Fixture Watts]])</f>
        <v>90</v>
      </c>
    </row>
    <row r="143" spans="1:27" x14ac:dyDescent="0.2">
      <c r="A143" t="s">
        <v>469</v>
      </c>
      <c r="B143" t="s">
        <v>3538</v>
      </c>
      <c r="C143" t="s">
        <v>3539</v>
      </c>
      <c r="D143" t="s">
        <v>3540</v>
      </c>
      <c r="E143" t="s">
        <v>187</v>
      </c>
      <c r="F143" t="s">
        <v>186</v>
      </c>
      <c r="G143" t="s">
        <v>186</v>
      </c>
      <c r="H143">
        <v>91</v>
      </c>
      <c r="I143">
        <v>15</v>
      </c>
      <c r="J143" s="110">
        <v>141</v>
      </c>
      <c r="K143" t="s">
        <v>185</v>
      </c>
      <c r="L143">
        <f>IF(Table_TRM_Fixtures[[#This Row],[Technology]]="LED", Table_TRM_Fixtures[[#This Row],[Fixture Watts  (TRM Data)]], Table_TRM_Fixtures[[#This Row],[Lamp Watts  (TRM Data)]])</f>
        <v>91</v>
      </c>
      <c r="M143" t="str">
        <f>Table_TRM_Fixtures[[#This Row],[No. of Lamps  (TRM Data)]]</f>
        <v>N/A</v>
      </c>
      <c r="N143" t="s">
        <v>186</v>
      </c>
      <c r="O143" t="s">
        <v>186</v>
      </c>
      <c r="P143" t="s">
        <v>187</v>
      </c>
      <c r="S143" t="s">
        <v>468</v>
      </c>
      <c r="T143" t="str">
        <f>Table_TRM_Fixtures[[#This Row],[Fixture code  (TRM Data)]]</f>
        <v>LED091-FIXT</v>
      </c>
      <c r="U143" t="s">
        <v>2883</v>
      </c>
      <c r="V143" t="s">
        <v>185</v>
      </c>
      <c r="W143" t="s">
        <v>3120</v>
      </c>
      <c r="X143" t="s">
        <v>186</v>
      </c>
      <c r="AA143">
        <f>IF(Table_TRM_Fixtures[[#This Row],[Pre-EISA Baseline]]="Nominal", Table_TRM_Fixtures[[#This Row],[Fixture Watts  (TRM Data)]], Table_TRM_Fixtures[[#This Row],[Modified Baseline Fixture Watts]])</f>
        <v>91</v>
      </c>
    </row>
    <row r="144" spans="1:27" x14ac:dyDescent="0.2">
      <c r="A144" t="s">
        <v>471</v>
      </c>
      <c r="B144" t="s">
        <v>3541</v>
      </c>
      <c r="C144" t="s">
        <v>3542</v>
      </c>
      <c r="D144" t="s">
        <v>3543</v>
      </c>
      <c r="E144" t="s">
        <v>187</v>
      </c>
      <c r="F144" t="s">
        <v>186</v>
      </c>
      <c r="G144" t="s">
        <v>186</v>
      </c>
      <c r="H144">
        <v>92</v>
      </c>
      <c r="I144">
        <v>15</v>
      </c>
      <c r="J144" s="110">
        <v>142</v>
      </c>
      <c r="K144" t="s">
        <v>185</v>
      </c>
      <c r="L144">
        <f>IF(Table_TRM_Fixtures[[#This Row],[Technology]]="LED", Table_TRM_Fixtures[[#This Row],[Fixture Watts  (TRM Data)]], Table_TRM_Fixtures[[#This Row],[Lamp Watts  (TRM Data)]])</f>
        <v>92</v>
      </c>
      <c r="M144" t="str">
        <f>Table_TRM_Fixtures[[#This Row],[No. of Lamps  (TRM Data)]]</f>
        <v>N/A</v>
      </c>
      <c r="N144" t="s">
        <v>186</v>
      </c>
      <c r="O144" t="s">
        <v>186</v>
      </c>
      <c r="P144" t="s">
        <v>187</v>
      </c>
      <c r="S144" t="s">
        <v>470</v>
      </c>
      <c r="T144" t="str">
        <f>Table_TRM_Fixtures[[#This Row],[Fixture code  (TRM Data)]]</f>
        <v>LED092-FIXT</v>
      </c>
      <c r="U144" t="s">
        <v>2883</v>
      </c>
      <c r="V144" t="s">
        <v>185</v>
      </c>
      <c r="W144" t="s">
        <v>3120</v>
      </c>
      <c r="X144" t="s">
        <v>186</v>
      </c>
      <c r="AA144">
        <f>IF(Table_TRM_Fixtures[[#This Row],[Pre-EISA Baseline]]="Nominal", Table_TRM_Fixtures[[#This Row],[Fixture Watts  (TRM Data)]], Table_TRM_Fixtures[[#This Row],[Modified Baseline Fixture Watts]])</f>
        <v>92</v>
      </c>
    </row>
    <row r="145" spans="1:27" x14ac:dyDescent="0.2">
      <c r="A145" t="s">
        <v>473</v>
      </c>
      <c r="B145" t="s">
        <v>3544</v>
      </c>
      <c r="C145" t="s">
        <v>3545</v>
      </c>
      <c r="D145" t="s">
        <v>3546</v>
      </c>
      <c r="E145" t="s">
        <v>187</v>
      </c>
      <c r="F145" t="s">
        <v>186</v>
      </c>
      <c r="G145" t="s">
        <v>186</v>
      </c>
      <c r="H145">
        <v>93</v>
      </c>
      <c r="I145">
        <v>15</v>
      </c>
      <c r="J145" s="110">
        <v>143</v>
      </c>
      <c r="K145" t="s">
        <v>185</v>
      </c>
      <c r="L145">
        <f>IF(Table_TRM_Fixtures[[#This Row],[Technology]]="LED", Table_TRM_Fixtures[[#This Row],[Fixture Watts  (TRM Data)]], Table_TRM_Fixtures[[#This Row],[Lamp Watts  (TRM Data)]])</f>
        <v>93</v>
      </c>
      <c r="M145" t="str">
        <f>Table_TRM_Fixtures[[#This Row],[No. of Lamps  (TRM Data)]]</f>
        <v>N/A</v>
      </c>
      <c r="N145" t="s">
        <v>186</v>
      </c>
      <c r="O145" t="s">
        <v>186</v>
      </c>
      <c r="P145" t="s">
        <v>187</v>
      </c>
      <c r="S145" t="s">
        <v>472</v>
      </c>
      <c r="T145" t="str">
        <f>Table_TRM_Fixtures[[#This Row],[Fixture code  (TRM Data)]]</f>
        <v>LED093-FIXT</v>
      </c>
      <c r="U145" t="s">
        <v>2883</v>
      </c>
      <c r="V145" t="s">
        <v>185</v>
      </c>
      <c r="W145" t="s">
        <v>3120</v>
      </c>
      <c r="X145" t="s">
        <v>186</v>
      </c>
      <c r="AA145">
        <f>IF(Table_TRM_Fixtures[[#This Row],[Pre-EISA Baseline]]="Nominal", Table_TRM_Fixtures[[#This Row],[Fixture Watts  (TRM Data)]], Table_TRM_Fixtures[[#This Row],[Modified Baseline Fixture Watts]])</f>
        <v>93</v>
      </c>
    </row>
    <row r="146" spans="1:27" x14ac:dyDescent="0.2">
      <c r="A146" t="s">
        <v>475</v>
      </c>
      <c r="B146" t="s">
        <v>3547</v>
      </c>
      <c r="C146" t="s">
        <v>3548</v>
      </c>
      <c r="D146" t="s">
        <v>3549</v>
      </c>
      <c r="E146" t="s">
        <v>187</v>
      </c>
      <c r="F146" t="s">
        <v>186</v>
      </c>
      <c r="G146" t="s">
        <v>186</v>
      </c>
      <c r="H146">
        <v>94</v>
      </c>
      <c r="I146">
        <v>15</v>
      </c>
      <c r="J146" s="110">
        <v>144</v>
      </c>
      <c r="K146" t="s">
        <v>185</v>
      </c>
      <c r="L146">
        <f>IF(Table_TRM_Fixtures[[#This Row],[Technology]]="LED", Table_TRM_Fixtures[[#This Row],[Fixture Watts  (TRM Data)]], Table_TRM_Fixtures[[#This Row],[Lamp Watts  (TRM Data)]])</f>
        <v>94</v>
      </c>
      <c r="M146" t="str">
        <f>Table_TRM_Fixtures[[#This Row],[No. of Lamps  (TRM Data)]]</f>
        <v>N/A</v>
      </c>
      <c r="N146" t="s">
        <v>186</v>
      </c>
      <c r="O146" t="s">
        <v>186</v>
      </c>
      <c r="P146" t="s">
        <v>187</v>
      </c>
      <c r="S146" t="s">
        <v>474</v>
      </c>
      <c r="T146" t="str">
        <f>Table_TRM_Fixtures[[#This Row],[Fixture code  (TRM Data)]]</f>
        <v>LED094-FIXT</v>
      </c>
      <c r="U146" t="s">
        <v>2883</v>
      </c>
      <c r="V146" t="s">
        <v>185</v>
      </c>
      <c r="W146" t="s">
        <v>3120</v>
      </c>
      <c r="X146" t="s">
        <v>186</v>
      </c>
      <c r="AA146">
        <f>IF(Table_TRM_Fixtures[[#This Row],[Pre-EISA Baseline]]="Nominal", Table_TRM_Fixtures[[#This Row],[Fixture Watts  (TRM Data)]], Table_TRM_Fixtures[[#This Row],[Modified Baseline Fixture Watts]])</f>
        <v>94</v>
      </c>
    </row>
    <row r="147" spans="1:27" x14ac:dyDescent="0.2">
      <c r="A147" t="s">
        <v>477</v>
      </c>
      <c r="B147" t="s">
        <v>3550</v>
      </c>
      <c r="C147" t="s">
        <v>3551</v>
      </c>
      <c r="D147" t="s">
        <v>3552</v>
      </c>
      <c r="E147" t="s">
        <v>187</v>
      </c>
      <c r="F147" t="s">
        <v>186</v>
      </c>
      <c r="G147" t="s">
        <v>186</v>
      </c>
      <c r="H147">
        <v>95</v>
      </c>
      <c r="I147">
        <v>15</v>
      </c>
      <c r="J147" s="110">
        <v>145</v>
      </c>
      <c r="K147" t="s">
        <v>185</v>
      </c>
      <c r="L147">
        <f>IF(Table_TRM_Fixtures[[#This Row],[Technology]]="LED", Table_TRM_Fixtures[[#This Row],[Fixture Watts  (TRM Data)]], Table_TRM_Fixtures[[#This Row],[Lamp Watts  (TRM Data)]])</f>
        <v>95</v>
      </c>
      <c r="M147" t="str">
        <f>Table_TRM_Fixtures[[#This Row],[No. of Lamps  (TRM Data)]]</f>
        <v>N/A</v>
      </c>
      <c r="N147" t="s">
        <v>186</v>
      </c>
      <c r="O147" t="s">
        <v>186</v>
      </c>
      <c r="P147" t="s">
        <v>187</v>
      </c>
      <c r="S147" t="s">
        <v>476</v>
      </c>
      <c r="T147" t="str">
        <f>Table_TRM_Fixtures[[#This Row],[Fixture code  (TRM Data)]]</f>
        <v>LED095-FIXT</v>
      </c>
      <c r="U147" t="s">
        <v>2883</v>
      </c>
      <c r="V147" t="s">
        <v>185</v>
      </c>
      <c r="W147" t="s">
        <v>3120</v>
      </c>
      <c r="X147" t="s">
        <v>186</v>
      </c>
      <c r="AA147">
        <f>IF(Table_TRM_Fixtures[[#This Row],[Pre-EISA Baseline]]="Nominal", Table_TRM_Fixtures[[#This Row],[Fixture Watts  (TRM Data)]], Table_TRM_Fixtures[[#This Row],[Modified Baseline Fixture Watts]])</f>
        <v>95</v>
      </c>
    </row>
    <row r="148" spans="1:27" x14ac:dyDescent="0.2">
      <c r="A148" t="s">
        <v>479</v>
      </c>
      <c r="B148" t="s">
        <v>3553</v>
      </c>
      <c r="C148" t="s">
        <v>3554</v>
      </c>
      <c r="D148" t="s">
        <v>3555</v>
      </c>
      <c r="E148" t="s">
        <v>187</v>
      </c>
      <c r="F148" t="s">
        <v>186</v>
      </c>
      <c r="G148" t="s">
        <v>186</v>
      </c>
      <c r="H148">
        <v>96</v>
      </c>
      <c r="I148">
        <v>15</v>
      </c>
      <c r="J148" s="110">
        <v>146</v>
      </c>
      <c r="K148" t="s">
        <v>185</v>
      </c>
      <c r="L148">
        <f>IF(Table_TRM_Fixtures[[#This Row],[Technology]]="LED", Table_TRM_Fixtures[[#This Row],[Fixture Watts  (TRM Data)]], Table_TRM_Fixtures[[#This Row],[Lamp Watts  (TRM Data)]])</f>
        <v>96</v>
      </c>
      <c r="M148" t="str">
        <f>Table_TRM_Fixtures[[#This Row],[No. of Lamps  (TRM Data)]]</f>
        <v>N/A</v>
      </c>
      <c r="N148" t="s">
        <v>186</v>
      </c>
      <c r="O148" t="s">
        <v>186</v>
      </c>
      <c r="P148" t="s">
        <v>187</v>
      </c>
      <c r="S148" t="s">
        <v>478</v>
      </c>
      <c r="T148" t="str">
        <f>Table_TRM_Fixtures[[#This Row],[Fixture code  (TRM Data)]]</f>
        <v>LED096-FIXT</v>
      </c>
      <c r="U148" t="s">
        <v>2883</v>
      </c>
      <c r="V148" t="s">
        <v>185</v>
      </c>
      <c r="W148" t="s">
        <v>3120</v>
      </c>
      <c r="X148" t="s">
        <v>186</v>
      </c>
      <c r="AA148">
        <f>IF(Table_TRM_Fixtures[[#This Row],[Pre-EISA Baseline]]="Nominal", Table_TRM_Fixtures[[#This Row],[Fixture Watts  (TRM Data)]], Table_TRM_Fixtures[[#This Row],[Modified Baseline Fixture Watts]])</f>
        <v>96</v>
      </c>
    </row>
    <row r="149" spans="1:27" x14ac:dyDescent="0.2">
      <c r="A149" t="s">
        <v>481</v>
      </c>
      <c r="B149" t="s">
        <v>3556</v>
      </c>
      <c r="C149" t="s">
        <v>3557</v>
      </c>
      <c r="D149" t="s">
        <v>3558</v>
      </c>
      <c r="E149" t="s">
        <v>187</v>
      </c>
      <c r="F149" t="s">
        <v>186</v>
      </c>
      <c r="G149" t="s">
        <v>186</v>
      </c>
      <c r="H149">
        <v>97</v>
      </c>
      <c r="I149">
        <v>15</v>
      </c>
      <c r="J149" s="110">
        <v>147</v>
      </c>
      <c r="K149" t="s">
        <v>185</v>
      </c>
      <c r="L149">
        <f>IF(Table_TRM_Fixtures[[#This Row],[Technology]]="LED", Table_TRM_Fixtures[[#This Row],[Fixture Watts  (TRM Data)]], Table_TRM_Fixtures[[#This Row],[Lamp Watts  (TRM Data)]])</f>
        <v>97</v>
      </c>
      <c r="M149" t="str">
        <f>Table_TRM_Fixtures[[#This Row],[No. of Lamps  (TRM Data)]]</f>
        <v>N/A</v>
      </c>
      <c r="N149" t="s">
        <v>186</v>
      </c>
      <c r="O149" t="s">
        <v>186</v>
      </c>
      <c r="P149" t="s">
        <v>187</v>
      </c>
      <c r="S149" t="s">
        <v>480</v>
      </c>
      <c r="T149" t="str">
        <f>Table_TRM_Fixtures[[#This Row],[Fixture code  (TRM Data)]]</f>
        <v>LED097-FIXT</v>
      </c>
      <c r="U149" t="s">
        <v>2883</v>
      </c>
      <c r="V149" t="s">
        <v>185</v>
      </c>
      <c r="W149" t="s">
        <v>3120</v>
      </c>
      <c r="X149" t="s">
        <v>186</v>
      </c>
      <c r="AA149">
        <f>IF(Table_TRM_Fixtures[[#This Row],[Pre-EISA Baseline]]="Nominal", Table_TRM_Fixtures[[#This Row],[Fixture Watts  (TRM Data)]], Table_TRM_Fixtures[[#This Row],[Modified Baseline Fixture Watts]])</f>
        <v>97</v>
      </c>
    </row>
    <row r="150" spans="1:27" x14ac:dyDescent="0.2">
      <c r="A150" t="s">
        <v>483</v>
      </c>
      <c r="B150" t="s">
        <v>3559</v>
      </c>
      <c r="C150" t="s">
        <v>3560</v>
      </c>
      <c r="D150" t="s">
        <v>3561</v>
      </c>
      <c r="E150" t="s">
        <v>187</v>
      </c>
      <c r="F150" t="s">
        <v>186</v>
      </c>
      <c r="G150" t="s">
        <v>186</v>
      </c>
      <c r="H150">
        <v>98</v>
      </c>
      <c r="I150">
        <v>15</v>
      </c>
      <c r="J150" s="110">
        <v>148</v>
      </c>
      <c r="K150" t="s">
        <v>185</v>
      </c>
      <c r="L150">
        <f>IF(Table_TRM_Fixtures[[#This Row],[Technology]]="LED", Table_TRM_Fixtures[[#This Row],[Fixture Watts  (TRM Data)]], Table_TRM_Fixtures[[#This Row],[Lamp Watts  (TRM Data)]])</f>
        <v>98</v>
      </c>
      <c r="M150" t="str">
        <f>Table_TRM_Fixtures[[#This Row],[No. of Lamps  (TRM Data)]]</f>
        <v>N/A</v>
      </c>
      <c r="N150" t="s">
        <v>186</v>
      </c>
      <c r="O150" t="s">
        <v>186</v>
      </c>
      <c r="P150" t="s">
        <v>187</v>
      </c>
      <c r="S150" t="s">
        <v>482</v>
      </c>
      <c r="T150" t="str">
        <f>Table_TRM_Fixtures[[#This Row],[Fixture code  (TRM Data)]]</f>
        <v>LED098-FIXT</v>
      </c>
      <c r="U150" t="s">
        <v>2883</v>
      </c>
      <c r="V150" t="s">
        <v>185</v>
      </c>
      <c r="W150" t="s">
        <v>3120</v>
      </c>
      <c r="X150" t="s">
        <v>186</v>
      </c>
      <c r="AA150">
        <f>IF(Table_TRM_Fixtures[[#This Row],[Pre-EISA Baseline]]="Nominal", Table_TRM_Fixtures[[#This Row],[Fixture Watts  (TRM Data)]], Table_TRM_Fixtures[[#This Row],[Modified Baseline Fixture Watts]])</f>
        <v>98</v>
      </c>
    </row>
    <row r="151" spans="1:27" x14ac:dyDescent="0.2">
      <c r="A151" t="s">
        <v>485</v>
      </c>
      <c r="B151" t="s">
        <v>3562</v>
      </c>
      <c r="C151" t="s">
        <v>3563</v>
      </c>
      <c r="D151" t="s">
        <v>3564</v>
      </c>
      <c r="E151" t="s">
        <v>187</v>
      </c>
      <c r="F151" t="s">
        <v>186</v>
      </c>
      <c r="G151" t="s">
        <v>186</v>
      </c>
      <c r="H151">
        <v>99</v>
      </c>
      <c r="I151">
        <v>15</v>
      </c>
      <c r="J151" s="110">
        <v>149</v>
      </c>
      <c r="K151" t="s">
        <v>185</v>
      </c>
      <c r="L151">
        <f>IF(Table_TRM_Fixtures[[#This Row],[Technology]]="LED", Table_TRM_Fixtures[[#This Row],[Fixture Watts  (TRM Data)]], Table_TRM_Fixtures[[#This Row],[Lamp Watts  (TRM Data)]])</f>
        <v>99</v>
      </c>
      <c r="M151" t="str">
        <f>Table_TRM_Fixtures[[#This Row],[No. of Lamps  (TRM Data)]]</f>
        <v>N/A</v>
      </c>
      <c r="N151" t="s">
        <v>186</v>
      </c>
      <c r="O151" t="s">
        <v>186</v>
      </c>
      <c r="P151" t="s">
        <v>187</v>
      </c>
      <c r="S151" t="s">
        <v>484</v>
      </c>
      <c r="T151" t="str">
        <f>Table_TRM_Fixtures[[#This Row],[Fixture code  (TRM Data)]]</f>
        <v>LED099-FIXT</v>
      </c>
      <c r="U151" t="s">
        <v>2883</v>
      </c>
      <c r="V151" t="s">
        <v>185</v>
      </c>
      <c r="W151" t="s">
        <v>3120</v>
      </c>
      <c r="X151" t="s">
        <v>186</v>
      </c>
      <c r="AA151">
        <f>IF(Table_TRM_Fixtures[[#This Row],[Pre-EISA Baseline]]="Nominal", Table_TRM_Fixtures[[#This Row],[Fixture Watts  (TRM Data)]], Table_TRM_Fixtures[[#This Row],[Modified Baseline Fixture Watts]])</f>
        <v>99</v>
      </c>
    </row>
    <row r="152" spans="1:27" x14ac:dyDescent="0.2">
      <c r="A152" t="s">
        <v>487</v>
      </c>
      <c r="B152" t="s">
        <v>3565</v>
      </c>
      <c r="C152" t="s">
        <v>3566</v>
      </c>
      <c r="D152" t="s">
        <v>3567</v>
      </c>
      <c r="E152" t="s">
        <v>187</v>
      </c>
      <c r="F152" t="s">
        <v>186</v>
      </c>
      <c r="G152" t="s">
        <v>186</v>
      </c>
      <c r="H152">
        <v>100</v>
      </c>
      <c r="I152">
        <v>15</v>
      </c>
      <c r="J152" s="110">
        <v>150</v>
      </c>
      <c r="K152" t="s">
        <v>185</v>
      </c>
      <c r="L152">
        <f>IF(Table_TRM_Fixtures[[#This Row],[Technology]]="LED", Table_TRM_Fixtures[[#This Row],[Fixture Watts  (TRM Data)]], Table_TRM_Fixtures[[#This Row],[Lamp Watts  (TRM Data)]])</f>
        <v>100</v>
      </c>
      <c r="M152" t="str">
        <f>Table_TRM_Fixtures[[#This Row],[No. of Lamps  (TRM Data)]]</f>
        <v>N/A</v>
      </c>
      <c r="N152" t="s">
        <v>186</v>
      </c>
      <c r="O152" t="s">
        <v>186</v>
      </c>
      <c r="P152" t="s">
        <v>187</v>
      </c>
      <c r="S152" t="s">
        <v>486</v>
      </c>
      <c r="T152" t="str">
        <f>Table_TRM_Fixtures[[#This Row],[Fixture code  (TRM Data)]]</f>
        <v>LED100-FIXT</v>
      </c>
      <c r="U152" t="s">
        <v>2883</v>
      </c>
      <c r="V152" t="s">
        <v>185</v>
      </c>
      <c r="W152" t="s">
        <v>3120</v>
      </c>
      <c r="X152" t="s">
        <v>186</v>
      </c>
      <c r="AA152">
        <f>IF(Table_TRM_Fixtures[[#This Row],[Pre-EISA Baseline]]="Nominal", Table_TRM_Fixtures[[#This Row],[Fixture Watts  (TRM Data)]], Table_TRM_Fixtures[[#This Row],[Modified Baseline Fixture Watts]])</f>
        <v>100</v>
      </c>
    </row>
    <row r="153" spans="1:27" x14ac:dyDescent="0.2">
      <c r="A153" t="s">
        <v>489</v>
      </c>
      <c r="B153" t="s">
        <v>3568</v>
      </c>
      <c r="C153" t="s">
        <v>3569</v>
      </c>
      <c r="D153" t="s">
        <v>3570</v>
      </c>
      <c r="E153" t="s">
        <v>187</v>
      </c>
      <c r="F153" t="s">
        <v>186</v>
      </c>
      <c r="G153" t="s">
        <v>186</v>
      </c>
      <c r="H153">
        <v>101</v>
      </c>
      <c r="I153">
        <v>15</v>
      </c>
      <c r="J153" s="110">
        <v>151</v>
      </c>
      <c r="K153" t="s">
        <v>185</v>
      </c>
      <c r="L153">
        <f>IF(Table_TRM_Fixtures[[#This Row],[Technology]]="LED", Table_TRM_Fixtures[[#This Row],[Fixture Watts  (TRM Data)]], Table_TRM_Fixtures[[#This Row],[Lamp Watts  (TRM Data)]])</f>
        <v>101</v>
      </c>
      <c r="M153" t="str">
        <f>Table_TRM_Fixtures[[#This Row],[No. of Lamps  (TRM Data)]]</f>
        <v>N/A</v>
      </c>
      <c r="N153" t="s">
        <v>186</v>
      </c>
      <c r="O153" t="s">
        <v>186</v>
      </c>
      <c r="P153" t="s">
        <v>187</v>
      </c>
      <c r="S153" t="s">
        <v>488</v>
      </c>
      <c r="T153" t="str">
        <f>Table_TRM_Fixtures[[#This Row],[Fixture code  (TRM Data)]]</f>
        <v>LED101-FIXT</v>
      </c>
      <c r="U153" t="s">
        <v>2883</v>
      </c>
      <c r="V153" t="s">
        <v>185</v>
      </c>
      <c r="W153" t="s">
        <v>3120</v>
      </c>
      <c r="X153" t="s">
        <v>186</v>
      </c>
      <c r="AA153">
        <f>IF(Table_TRM_Fixtures[[#This Row],[Pre-EISA Baseline]]="Nominal", Table_TRM_Fixtures[[#This Row],[Fixture Watts  (TRM Data)]], Table_TRM_Fixtures[[#This Row],[Modified Baseline Fixture Watts]])</f>
        <v>101</v>
      </c>
    </row>
    <row r="154" spans="1:27" x14ac:dyDescent="0.2">
      <c r="A154" t="s">
        <v>491</v>
      </c>
      <c r="B154" t="s">
        <v>3571</v>
      </c>
      <c r="C154" t="s">
        <v>3572</v>
      </c>
      <c r="D154" t="s">
        <v>3573</v>
      </c>
      <c r="E154" t="s">
        <v>187</v>
      </c>
      <c r="F154" t="s">
        <v>186</v>
      </c>
      <c r="G154" t="s">
        <v>186</v>
      </c>
      <c r="H154">
        <v>102</v>
      </c>
      <c r="I154">
        <v>15</v>
      </c>
      <c r="J154" s="110">
        <v>152</v>
      </c>
      <c r="K154" t="s">
        <v>185</v>
      </c>
      <c r="L154">
        <f>IF(Table_TRM_Fixtures[[#This Row],[Technology]]="LED", Table_TRM_Fixtures[[#This Row],[Fixture Watts  (TRM Data)]], Table_TRM_Fixtures[[#This Row],[Lamp Watts  (TRM Data)]])</f>
        <v>102</v>
      </c>
      <c r="M154" t="str">
        <f>Table_TRM_Fixtures[[#This Row],[No. of Lamps  (TRM Data)]]</f>
        <v>N/A</v>
      </c>
      <c r="N154" t="s">
        <v>186</v>
      </c>
      <c r="O154" t="s">
        <v>186</v>
      </c>
      <c r="P154" t="s">
        <v>187</v>
      </c>
      <c r="S154" t="s">
        <v>490</v>
      </c>
      <c r="T154" t="str">
        <f>Table_TRM_Fixtures[[#This Row],[Fixture code  (TRM Data)]]</f>
        <v>LED102-FIXT</v>
      </c>
      <c r="U154" t="s">
        <v>2883</v>
      </c>
      <c r="V154" t="s">
        <v>185</v>
      </c>
      <c r="W154" t="s">
        <v>3120</v>
      </c>
      <c r="X154" t="s">
        <v>186</v>
      </c>
      <c r="AA154">
        <f>IF(Table_TRM_Fixtures[[#This Row],[Pre-EISA Baseline]]="Nominal", Table_TRM_Fixtures[[#This Row],[Fixture Watts  (TRM Data)]], Table_TRM_Fixtures[[#This Row],[Modified Baseline Fixture Watts]])</f>
        <v>102</v>
      </c>
    </row>
    <row r="155" spans="1:27" x14ac:dyDescent="0.2">
      <c r="A155" t="s">
        <v>493</v>
      </c>
      <c r="B155" t="s">
        <v>3574</v>
      </c>
      <c r="C155" t="s">
        <v>3575</v>
      </c>
      <c r="D155" t="s">
        <v>3576</v>
      </c>
      <c r="E155" t="s">
        <v>187</v>
      </c>
      <c r="F155" t="s">
        <v>186</v>
      </c>
      <c r="G155" t="s">
        <v>186</v>
      </c>
      <c r="H155">
        <v>103</v>
      </c>
      <c r="I155">
        <v>15</v>
      </c>
      <c r="J155" s="110">
        <v>153</v>
      </c>
      <c r="K155" t="s">
        <v>185</v>
      </c>
      <c r="L155">
        <f>IF(Table_TRM_Fixtures[[#This Row],[Technology]]="LED", Table_TRM_Fixtures[[#This Row],[Fixture Watts  (TRM Data)]], Table_TRM_Fixtures[[#This Row],[Lamp Watts  (TRM Data)]])</f>
        <v>103</v>
      </c>
      <c r="M155" t="str">
        <f>Table_TRM_Fixtures[[#This Row],[No. of Lamps  (TRM Data)]]</f>
        <v>N/A</v>
      </c>
      <c r="N155" t="s">
        <v>186</v>
      </c>
      <c r="O155" t="s">
        <v>186</v>
      </c>
      <c r="P155" t="s">
        <v>187</v>
      </c>
      <c r="S155" t="s">
        <v>492</v>
      </c>
      <c r="T155" t="str">
        <f>Table_TRM_Fixtures[[#This Row],[Fixture code  (TRM Data)]]</f>
        <v>LED103-FIXT</v>
      </c>
      <c r="U155" t="s">
        <v>2883</v>
      </c>
      <c r="V155" t="s">
        <v>185</v>
      </c>
      <c r="W155" t="s">
        <v>3120</v>
      </c>
      <c r="X155" t="s">
        <v>186</v>
      </c>
      <c r="AA155">
        <f>IF(Table_TRM_Fixtures[[#This Row],[Pre-EISA Baseline]]="Nominal", Table_TRM_Fixtures[[#This Row],[Fixture Watts  (TRM Data)]], Table_TRM_Fixtures[[#This Row],[Modified Baseline Fixture Watts]])</f>
        <v>103</v>
      </c>
    </row>
    <row r="156" spans="1:27" x14ac:dyDescent="0.2">
      <c r="A156" t="s">
        <v>495</v>
      </c>
      <c r="B156" t="s">
        <v>3577</v>
      </c>
      <c r="C156" t="s">
        <v>3578</v>
      </c>
      <c r="D156" t="s">
        <v>3579</v>
      </c>
      <c r="E156" t="s">
        <v>187</v>
      </c>
      <c r="F156" t="s">
        <v>186</v>
      </c>
      <c r="G156" t="s">
        <v>186</v>
      </c>
      <c r="H156">
        <v>104</v>
      </c>
      <c r="I156">
        <v>15</v>
      </c>
      <c r="J156" s="110">
        <v>154</v>
      </c>
      <c r="K156" t="s">
        <v>185</v>
      </c>
      <c r="L156">
        <f>IF(Table_TRM_Fixtures[[#This Row],[Technology]]="LED", Table_TRM_Fixtures[[#This Row],[Fixture Watts  (TRM Data)]], Table_TRM_Fixtures[[#This Row],[Lamp Watts  (TRM Data)]])</f>
        <v>104</v>
      </c>
      <c r="M156" t="str">
        <f>Table_TRM_Fixtures[[#This Row],[No. of Lamps  (TRM Data)]]</f>
        <v>N/A</v>
      </c>
      <c r="N156" t="s">
        <v>186</v>
      </c>
      <c r="O156" t="s">
        <v>186</v>
      </c>
      <c r="P156" t="s">
        <v>187</v>
      </c>
      <c r="S156" t="s">
        <v>494</v>
      </c>
      <c r="T156" t="str">
        <f>Table_TRM_Fixtures[[#This Row],[Fixture code  (TRM Data)]]</f>
        <v>LED104-FIXT</v>
      </c>
      <c r="U156" t="s">
        <v>2883</v>
      </c>
      <c r="V156" t="s">
        <v>185</v>
      </c>
      <c r="W156" t="s">
        <v>3120</v>
      </c>
      <c r="X156" t="s">
        <v>186</v>
      </c>
      <c r="AA156">
        <f>IF(Table_TRM_Fixtures[[#This Row],[Pre-EISA Baseline]]="Nominal", Table_TRM_Fixtures[[#This Row],[Fixture Watts  (TRM Data)]], Table_TRM_Fixtures[[#This Row],[Modified Baseline Fixture Watts]])</f>
        <v>104</v>
      </c>
    </row>
    <row r="157" spans="1:27" x14ac:dyDescent="0.2">
      <c r="A157" t="s">
        <v>497</v>
      </c>
      <c r="B157" t="s">
        <v>3580</v>
      </c>
      <c r="C157" t="s">
        <v>3581</v>
      </c>
      <c r="D157" t="s">
        <v>3582</v>
      </c>
      <c r="E157" t="s">
        <v>187</v>
      </c>
      <c r="F157" t="s">
        <v>186</v>
      </c>
      <c r="G157" t="s">
        <v>186</v>
      </c>
      <c r="H157">
        <v>105</v>
      </c>
      <c r="I157">
        <v>15</v>
      </c>
      <c r="J157" s="110">
        <v>155</v>
      </c>
      <c r="K157" t="s">
        <v>185</v>
      </c>
      <c r="L157">
        <f>IF(Table_TRM_Fixtures[[#This Row],[Technology]]="LED", Table_TRM_Fixtures[[#This Row],[Fixture Watts  (TRM Data)]], Table_TRM_Fixtures[[#This Row],[Lamp Watts  (TRM Data)]])</f>
        <v>105</v>
      </c>
      <c r="M157" t="str">
        <f>Table_TRM_Fixtures[[#This Row],[No. of Lamps  (TRM Data)]]</f>
        <v>N/A</v>
      </c>
      <c r="N157" t="s">
        <v>186</v>
      </c>
      <c r="O157" t="s">
        <v>186</v>
      </c>
      <c r="P157" t="s">
        <v>187</v>
      </c>
      <c r="S157" t="s">
        <v>496</v>
      </c>
      <c r="T157" t="str">
        <f>Table_TRM_Fixtures[[#This Row],[Fixture code  (TRM Data)]]</f>
        <v>LED105-FIXT</v>
      </c>
      <c r="U157" t="s">
        <v>2883</v>
      </c>
      <c r="V157" t="s">
        <v>185</v>
      </c>
      <c r="W157" t="s">
        <v>3120</v>
      </c>
      <c r="X157" t="s">
        <v>186</v>
      </c>
      <c r="AA157">
        <f>IF(Table_TRM_Fixtures[[#This Row],[Pre-EISA Baseline]]="Nominal", Table_TRM_Fixtures[[#This Row],[Fixture Watts  (TRM Data)]], Table_TRM_Fixtures[[#This Row],[Modified Baseline Fixture Watts]])</f>
        <v>105</v>
      </c>
    </row>
    <row r="158" spans="1:27" x14ac:dyDescent="0.2">
      <c r="A158" t="s">
        <v>499</v>
      </c>
      <c r="B158" t="s">
        <v>3583</v>
      </c>
      <c r="C158" t="s">
        <v>3584</v>
      </c>
      <c r="D158" t="s">
        <v>3585</v>
      </c>
      <c r="E158" t="s">
        <v>187</v>
      </c>
      <c r="F158" t="s">
        <v>186</v>
      </c>
      <c r="G158" t="s">
        <v>186</v>
      </c>
      <c r="H158">
        <v>106</v>
      </c>
      <c r="I158">
        <v>15</v>
      </c>
      <c r="J158" s="110">
        <v>156</v>
      </c>
      <c r="K158" t="s">
        <v>185</v>
      </c>
      <c r="L158">
        <f>IF(Table_TRM_Fixtures[[#This Row],[Technology]]="LED", Table_TRM_Fixtures[[#This Row],[Fixture Watts  (TRM Data)]], Table_TRM_Fixtures[[#This Row],[Lamp Watts  (TRM Data)]])</f>
        <v>106</v>
      </c>
      <c r="M158" t="str">
        <f>Table_TRM_Fixtures[[#This Row],[No. of Lamps  (TRM Data)]]</f>
        <v>N/A</v>
      </c>
      <c r="N158" t="s">
        <v>186</v>
      </c>
      <c r="O158" t="s">
        <v>186</v>
      </c>
      <c r="P158" t="s">
        <v>187</v>
      </c>
      <c r="S158" t="s">
        <v>498</v>
      </c>
      <c r="T158" t="str">
        <f>Table_TRM_Fixtures[[#This Row],[Fixture code  (TRM Data)]]</f>
        <v>LED106-FIXT</v>
      </c>
      <c r="U158" t="s">
        <v>2883</v>
      </c>
      <c r="V158" t="s">
        <v>185</v>
      </c>
      <c r="W158" t="s">
        <v>3120</v>
      </c>
      <c r="X158" t="s">
        <v>186</v>
      </c>
      <c r="AA158">
        <f>IF(Table_TRM_Fixtures[[#This Row],[Pre-EISA Baseline]]="Nominal", Table_TRM_Fixtures[[#This Row],[Fixture Watts  (TRM Data)]], Table_TRM_Fixtures[[#This Row],[Modified Baseline Fixture Watts]])</f>
        <v>106</v>
      </c>
    </row>
    <row r="159" spans="1:27" x14ac:dyDescent="0.2">
      <c r="A159" t="s">
        <v>501</v>
      </c>
      <c r="B159" t="s">
        <v>3586</v>
      </c>
      <c r="C159" t="s">
        <v>3587</v>
      </c>
      <c r="D159" t="s">
        <v>3588</v>
      </c>
      <c r="E159" t="s">
        <v>187</v>
      </c>
      <c r="F159" t="s">
        <v>186</v>
      </c>
      <c r="G159" t="s">
        <v>186</v>
      </c>
      <c r="H159">
        <v>107</v>
      </c>
      <c r="I159">
        <v>15</v>
      </c>
      <c r="J159" s="110">
        <v>157</v>
      </c>
      <c r="K159" t="s">
        <v>185</v>
      </c>
      <c r="L159">
        <f>IF(Table_TRM_Fixtures[[#This Row],[Technology]]="LED", Table_TRM_Fixtures[[#This Row],[Fixture Watts  (TRM Data)]], Table_TRM_Fixtures[[#This Row],[Lamp Watts  (TRM Data)]])</f>
        <v>107</v>
      </c>
      <c r="M159" t="str">
        <f>Table_TRM_Fixtures[[#This Row],[No. of Lamps  (TRM Data)]]</f>
        <v>N/A</v>
      </c>
      <c r="N159" t="s">
        <v>186</v>
      </c>
      <c r="O159" t="s">
        <v>186</v>
      </c>
      <c r="P159" t="s">
        <v>187</v>
      </c>
      <c r="S159" t="s">
        <v>500</v>
      </c>
      <c r="T159" t="str">
        <f>Table_TRM_Fixtures[[#This Row],[Fixture code  (TRM Data)]]</f>
        <v>LED107-FIXT</v>
      </c>
      <c r="U159" t="s">
        <v>2883</v>
      </c>
      <c r="V159" t="s">
        <v>185</v>
      </c>
      <c r="W159" t="s">
        <v>3120</v>
      </c>
      <c r="X159" t="s">
        <v>186</v>
      </c>
      <c r="AA159">
        <f>IF(Table_TRM_Fixtures[[#This Row],[Pre-EISA Baseline]]="Nominal", Table_TRM_Fixtures[[#This Row],[Fixture Watts  (TRM Data)]], Table_TRM_Fixtures[[#This Row],[Modified Baseline Fixture Watts]])</f>
        <v>107</v>
      </c>
    </row>
    <row r="160" spans="1:27" x14ac:dyDescent="0.2">
      <c r="A160" t="s">
        <v>503</v>
      </c>
      <c r="B160" t="s">
        <v>3589</v>
      </c>
      <c r="C160" t="s">
        <v>3590</v>
      </c>
      <c r="D160" t="s">
        <v>3591</v>
      </c>
      <c r="E160" t="s">
        <v>187</v>
      </c>
      <c r="F160" t="s">
        <v>186</v>
      </c>
      <c r="G160" t="s">
        <v>186</v>
      </c>
      <c r="H160">
        <v>108</v>
      </c>
      <c r="I160">
        <v>15</v>
      </c>
      <c r="J160" s="110">
        <v>158</v>
      </c>
      <c r="K160" t="s">
        <v>185</v>
      </c>
      <c r="L160">
        <f>IF(Table_TRM_Fixtures[[#This Row],[Technology]]="LED", Table_TRM_Fixtures[[#This Row],[Fixture Watts  (TRM Data)]], Table_TRM_Fixtures[[#This Row],[Lamp Watts  (TRM Data)]])</f>
        <v>108</v>
      </c>
      <c r="M160" t="str">
        <f>Table_TRM_Fixtures[[#This Row],[No. of Lamps  (TRM Data)]]</f>
        <v>N/A</v>
      </c>
      <c r="N160" t="s">
        <v>186</v>
      </c>
      <c r="O160" t="s">
        <v>186</v>
      </c>
      <c r="P160" t="s">
        <v>187</v>
      </c>
      <c r="S160" t="s">
        <v>502</v>
      </c>
      <c r="T160" t="str">
        <f>Table_TRM_Fixtures[[#This Row],[Fixture code  (TRM Data)]]</f>
        <v>LED108-FIXT</v>
      </c>
      <c r="U160" t="s">
        <v>2883</v>
      </c>
      <c r="V160" t="s">
        <v>185</v>
      </c>
      <c r="W160" t="s">
        <v>3120</v>
      </c>
      <c r="X160" t="s">
        <v>186</v>
      </c>
      <c r="AA160">
        <f>IF(Table_TRM_Fixtures[[#This Row],[Pre-EISA Baseline]]="Nominal", Table_TRM_Fixtures[[#This Row],[Fixture Watts  (TRM Data)]], Table_TRM_Fixtures[[#This Row],[Modified Baseline Fixture Watts]])</f>
        <v>108</v>
      </c>
    </row>
    <row r="161" spans="1:27" x14ac:dyDescent="0.2">
      <c r="A161" t="s">
        <v>505</v>
      </c>
      <c r="B161" t="s">
        <v>3592</v>
      </c>
      <c r="C161" t="s">
        <v>3593</v>
      </c>
      <c r="D161" t="s">
        <v>3594</v>
      </c>
      <c r="E161" t="s">
        <v>187</v>
      </c>
      <c r="F161" t="s">
        <v>186</v>
      </c>
      <c r="G161" t="s">
        <v>186</v>
      </c>
      <c r="H161">
        <v>109</v>
      </c>
      <c r="I161">
        <v>15</v>
      </c>
      <c r="J161" s="110">
        <v>159</v>
      </c>
      <c r="K161" t="s">
        <v>185</v>
      </c>
      <c r="L161">
        <f>IF(Table_TRM_Fixtures[[#This Row],[Technology]]="LED", Table_TRM_Fixtures[[#This Row],[Fixture Watts  (TRM Data)]], Table_TRM_Fixtures[[#This Row],[Lamp Watts  (TRM Data)]])</f>
        <v>109</v>
      </c>
      <c r="M161" t="str">
        <f>Table_TRM_Fixtures[[#This Row],[No. of Lamps  (TRM Data)]]</f>
        <v>N/A</v>
      </c>
      <c r="N161" t="s">
        <v>186</v>
      </c>
      <c r="O161" t="s">
        <v>186</v>
      </c>
      <c r="P161" t="s">
        <v>187</v>
      </c>
      <c r="S161" t="s">
        <v>504</v>
      </c>
      <c r="T161" t="str">
        <f>Table_TRM_Fixtures[[#This Row],[Fixture code  (TRM Data)]]</f>
        <v>LED109-FIXT</v>
      </c>
      <c r="U161" t="s">
        <v>2883</v>
      </c>
      <c r="V161" t="s">
        <v>185</v>
      </c>
      <c r="W161" t="s">
        <v>3120</v>
      </c>
      <c r="X161" t="s">
        <v>186</v>
      </c>
      <c r="AA161">
        <f>IF(Table_TRM_Fixtures[[#This Row],[Pre-EISA Baseline]]="Nominal", Table_TRM_Fixtures[[#This Row],[Fixture Watts  (TRM Data)]], Table_TRM_Fixtures[[#This Row],[Modified Baseline Fixture Watts]])</f>
        <v>109</v>
      </c>
    </row>
    <row r="162" spans="1:27" x14ac:dyDescent="0.2">
      <c r="A162" t="s">
        <v>507</v>
      </c>
      <c r="B162" t="s">
        <v>3595</v>
      </c>
      <c r="C162" t="s">
        <v>3596</v>
      </c>
      <c r="D162" t="s">
        <v>3597</v>
      </c>
      <c r="E162" t="s">
        <v>187</v>
      </c>
      <c r="F162" t="s">
        <v>186</v>
      </c>
      <c r="G162" t="s">
        <v>186</v>
      </c>
      <c r="H162">
        <v>110</v>
      </c>
      <c r="I162">
        <v>15</v>
      </c>
      <c r="J162" s="110">
        <v>160</v>
      </c>
      <c r="K162" t="s">
        <v>185</v>
      </c>
      <c r="L162">
        <f>IF(Table_TRM_Fixtures[[#This Row],[Technology]]="LED", Table_TRM_Fixtures[[#This Row],[Fixture Watts  (TRM Data)]], Table_TRM_Fixtures[[#This Row],[Lamp Watts  (TRM Data)]])</f>
        <v>110</v>
      </c>
      <c r="M162" t="str">
        <f>Table_TRM_Fixtures[[#This Row],[No. of Lamps  (TRM Data)]]</f>
        <v>N/A</v>
      </c>
      <c r="N162" t="s">
        <v>186</v>
      </c>
      <c r="O162" t="s">
        <v>186</v>
      </c>
      <c r="P162" t="s">
        <v>187</v>
      </c>
      <c r="S162" t="s">
        <v>506</v>
      </c>
      <c r="T162" t="str">
        <f>Table_TRM_Fixtures[[#This Row],[Fixture code  (TRM Data)]]</f>
        <v>LED110-FIXT</v>
      </c>
      <c r="U162" t="s">
        <v>2883</v>
      </c>
      <c r="V162" t="s">
        <v>185</v>
      </c>
      <c r="W162" t="s">
        <v>3120</v>
      </c>
      <c r="X162" t="s">
        <v>186</v>
      </c>
      <c r="AA162">
        <f>IF(Table_TRM_Fixtures[[#This Row],[Pre-EISA Baseline]]="Nominal", Table_TRM_Fixtures[[#This Row],[Fixture Watts  (TRM Data)]], Table_TRM_Fixtures[[#This Row],[Modified Baseline Fixture Watts]])</f>
        <v>110</v>
      </c>
    </row>
    <row r="163" spans="1:27" x14ac:dyDescent="0.2">
      <c r="A163" t="s">
        <v>509</v>
      </c>
      <c r="B163" t="s">
        <v>3598</v>
      </c>
      <c r="C163" t="s">
        <v>3599</v>
      </c>
      <c r="D163" t="s">
        <v>3600</v>
      </c>
      <c r="E163" t="s">
        <v>187</v>
      </c>
      <c r="F163" t="s">
        <v>186</v>
      </c>
      <c r="G163" t="s">
        <v>186</v>
      </c>
      <c r="H163">
        <v>111</v>
      </c>
      <c r="I163">
        <v>15</v>
      </c>
      <c r="J163" s="110">
        <v>161</v>
      </c>
      <c r="K163" t="s">
        <v>185</v>
      </c>
      <c r="L163">
        <f>IF(Table_TRM_Fixtures[[#This Row],[Technology]]="LED", Table_TRM_Fixtures[[#This Row],[Fixture Watts  (TRM Data)]], Table_TRM_Fixtures[[#This Row],[Lamp Watts  (TRM Data)]])</f>
        <v>111</v>
      </c>
      <c r="M163" t="str">
        <f>Table_TRM_Fixtures[[#This Row],[No. of Lamps  (TRM Data)]]</f>
        <v>N/A</v>
      </c>
      <c r="N163" t="s">
        <v>186</v>
      </c>
      <c r="O163" t="s">
        <v>186</v>
      </c>
      <c r="P163" t="s">
        <v>187</v>
      </c>
      <c r="S163" t="s">
        <v>508</v>
      </c>
      <c r="T163" t="str">
        <f>Table_TRM_Fixtures[[#This Row],[Fixture code  (TRM Data)]]</f>
        <v>LED111-FIXT</v>
      </c>
      <c r="U163" t="s">
        <v>2883</v>
      </c>
      <c r="V163" t="s">
        <v>185</v>
      </c>
      <c r="W163" t="s">
        <v>3120</v>
      </c>
      <c r="X163" t="s">
        <v>186</v>
      </c>
      <c r="AA163">
        <f>IF(Table_TRM_Fixtures[[#This Row],[Pre-EISA Baseline]]="Nominal", Table_TRM_Fixtures[[#This Row],[Fixture Watts  (TRM Data)]], Table_TRM_Fixtures[[#This Row],[Modified Baseline Fixture Watts]])</f>
        <v>111</v>
      </c>
    </row>
    <row r="164" spans="1:27" x14ac:dyDescent="0.2">
      <c r="A164" t="s">
        <v>511</v>
      </c>
      <c r="B164" t="s">
        <v>3601</v>
      </c>
      <c r="C164" t="s">
        <v>3602</v>
      </c>
      <c r="D164" t="s">
        <v>3603</v>
      </c>
      <c r="E164" t="s">
        <v>187</v>
      </c>
      <c r="F164" t="s">
        <v>186</v>
      </c>
      <c r="G164" t="s">
        <v>186</v>
      </c>
      <c r="H164">
        <v>112</v>
      </c>
      <c r="I164">
        <v>15</v>
      </c>
      <c r="J164" s="110">
        <v>162</v>
      </c>
      <c r="K164" t="s">
        <v>185</v>
      </c>
      <c r="L164">
        <f>IF(Table_TRM_Fixtures[[#This Row],[Technology]]="LED", Table_TRM_Fixtures[[#This Row],[Fixture Watts  (TRM Data)]], Table_TRM_Fixtures[[#This Row],[Lamp Watts  (TRM Data)]])</f>
        <v>112</v>
      </c>
      <c r="M164" t="str">
        <f>Table_TRM_Fixtures[[#This Row],[No. of Lamps  (TRM Data)]]</f>
        <v>N/A</v>
      </c>
      <c r="N164" t="s">
        <v>186</v>
      </c>
      <c r="O164" t="s">
        <v>186</v>
      </c>
      <c r="P164" t="s">
        <v>187</v>
      </c>
      <c r="S164" t="s">
        <v>510</v>
      </c>
      <c r="T164" t="str">
        <f>Table_TRM_Fixtures[[#This Row],[Fixture code  (TRM Data)]]</f>
        <v>LED112-FIXT</v>
      </c>
      <c r="U164" t="s">
        <v>2883</v>
      </c>
      <c r="V164" t="s">
        <v>185</v>
      </c>
      <c r="W164" t="s">
        <v>3120</v>
      </c>
      <c r="X164" t="s">
        <v>186</v>
      </c>
      <c r="AA164">
        <f>IF(Table_TRM_Fixtures[[#This Row],[Pre-EISA Baseline]]="Nominal", Table_TRM_Fixtures[[#This Row],[Fixture Watts  (TRM Data)]], Table_TRM_Fixtures[[#This Row],[Modified Baseline Fixture Watts]])</f>
        <v>112</v>
      </c>
    </row>
    <row r="165" spans="1:27" x14ac:dyDescent="0.2">
      <c r="A165" t="s">
        <v>513</v>
      </c>
      <c r="B165" t="s">
        <v>3604</v>
      </c>
      <c r="C165" t="s">
        <v>3605</v>
      </c>
      <c r="D165" t="s">
        <v>3606</v>
      </c>
      <c r="E165" t="s">
        <v>187</v>
      </c>
      <c r="F165" t="s">
        <v>186</v>
      </c>
      <c r="G165" t="s">
        <v>186</v>
      </c>
      <c r="H165">
        <v>113</v>
      </c>
      <c r="I165">
        <v>15</v>
      </c>
      <c r="J165" s="110">
        <v>163</v>
      </c>
      <c r="K165" t="s">
        <v>185</v>
      </c>
      <c r="L165">
        <f>IF(Table_TRM_Fixtures[[#This Row],[Technology]]="LED", Table_TRM_Fixtures[[#This Row],[Fixture Watts  (TRM Data)]], Table_TRM_Fixtures[[#This Row],[Lamp Watts  (TRM Data)]])</f>
        <v>113</v>
      </c>
      <c r="M165" t="str">
        <f>Table_TRM_Fixtures[[#This Row],[No. of Lamps  (TRM Data)]]</f>
        <v>N/A</v>
      </c>
      <c r="N165" t="s">
        <v>186</v>
      </c>
      <c r="O165" t="s">
        <v>186</v>
      </c>
      <c r="P165" t="s">
        <v>187</v>
      </c>
      <c r="S165" t="s">
        <v>512</v>
      </c>
      <c r="T165" t="str">
        <f>Table_TRM_Fixtures[[#This Row],[Fixture code  (TRM Data)]]</f>
        <v>LED113-FIXT</v>
      </c>
      <c r="U165" t="s">
        <v>2883</v>
      </c>
      <c r="V165" t="s">
        <v>185</v>
      </c>
      <c r="W165" t="s">
        <v>3120</v>
      </c>
      <c r="X165" t="s">
        <v>186</v>
      </c>
      <c r="AA165">
        <f>IF(Table_TRM_Fixtures[[#This Row],[Pre-EISA Baseline]]="Nominal", Table_TRM_Fixtures[[#This Row],[Fixture Watts  (TRM Data)]], Table_TRM_Fixtures[[#This Row],[Modified Baseline Fixture Watts]])</f>
        <v>113</v>
      </c>
    </row>
    <row r="166" spans="1:27" x14ac:dyDescent="0.2">
      <c r="A166" t="s">
        <v>515</v>
      </c>
      <c r="B166" t="s">
        <v>3607</v>
      </c>
      <c r="C166" t="s">
        <v>3608</v>
      </c>
      <c r="D166" t="s">
        <v>3609</v>
      </c>
      <c r="E166" t="s">
        <v>187</v>
      </c>
      <c r="F166" t="s">
        <v>186</v>
      </c>
      <c r="G166" t="s">
        <v>186</v>
      </c>
      <c r="H166">
        <v>114</v>
      </c>
      <c r="I166">
        <v>15</v>
      </c>
      <c r="J166" s="110">
        <v>164</v>
      </c>
      <c r="K166" t="s">
        <v>185</v>
      </c>
      <c r="L166">
        <f>IF(Table_TRM_Fixtures[[#This Row],[Technology]]="LED", Table_TRM_Fixtures[[#This Row],[Fixture Watts  (TRM Data)]], Table_TRM_Fixtures[[#This Row],[Lamp Watts  (TRM Data)]])</f>
        <v>114</v>
      </c>
      <c r="M166" t="str">
        <f>Table_TRM_Fixtures[[#This Row],[No. of Lamps  (TRM Data)]]</f>
        <v>N/A</v>
      </c>
      <c r="N166" t="s">
        <v>186</v>
      </c>
      <c r="O166" t="s">
        <v>186</v>
      </c>
      <c r="P166" t="s">
        <v>187</v>
      </c>
      <c r="S166" t="s">
        <v>514</v>
      </c>
      <c r="T166" t="str">
        <f>Table_TRM_Fixtures[[#This Row],[Fixture code  (TRM Data)]]</f>
        <v>LED114-FIXT</v>
      </c>
      <c r="U166" t="s">
        <v>2883</v>
      </c>
      <c r="V166" t="s">
        <v>185</v>
      </c>
      <c r="W166" t="s">
        <v>3120</v>
      </c>
      <c r="X166" t="s">
        <v>186</v>
      </c>
      <c r="AA166">
        <f>IF(Table_TRM_Fixtures[[#This Row],[Pre-EISA Baseline]]="Nominal", Table_TRM_Fixtures[[#This Row],[Fixture Watts  (TRM Data)]], Table_TRM_Fixtures[[#This Row],[Modified Baseline Fixture Watts]])</f>
        <v>114</v>
      </c>
    </row>
    <row r="167" spans="1:27" x14ac:dyDescent="0.2">
      <c r="A167" t="s">
        <v>517</v>
      </c>
      <c r="B167" t="s">
        <v>3610</v>
      </c>
      <c r="C167" t="s">
        <v>3611</v>
      </c>
      <c r="D167" t="s">
        <v>3612</v>
      </c>
      <c r="E167" t="s">
        <v>187</v>
      </c>
      <c r="F167" t="s">
        <v>186</v>
      </c>
      <c r="G167" t="s">
        <v>186</v>
      </c>
      <c r="H167">
        <v>115</v>
      </c>
      <c r="I167">
        <v>15</v>
      </c>
      <c r="J167" s="110">
        <v>165</v>
      </c>
      <c r="K167" t="s">
        <v>185</v>
      </c>
      <c r="L167">
        <f>IF(Table_TRM_Fixtures[[#This Row],[Technology]]="LED", Table_TRM_Fixtures[[#This Row],[Fixture Watts  (TRM Data)]], Table_TRM_Fixtures[[#This Row],[Lamp Watts  (TRM Data)]])</f>
        <v>115</v>
      </c>
      <c r="M167" t="str">
        <f>Table_TRM_Fixtures[[#This Row],[No. of Lamps  (TRM Data)]]</f>
        <v>N/A</v>
      </c>
      <c r="N167" t="s">
        <v>186</v>
      </c>
      <c r="O167" t="s">
        <v>186</v>
      </c>
      <c r="P167" t="s">
        <v>187</v>
      </c>
      <c r="S167" t="s">
        <v>516</v>
      </c>
      <c r="T167" t="str">
        <f>Table_TRM_Fixtures[[#This Row],[Fixture code  (TRM Data)]]</f>
        <v>LED115-FIXT</v>
      </c>
      <c r="U167" t="s">
        <v>2883</v>
      </c>
      <c r="V167" t="s">
        <v>185</v>
      </c>
      <c r="W167" t="s">
        <v>3120</v>
      </c>
      <c r="X167" t="s">
        <v>186</v>
      </c>
      <c r="AA167">
        <f>IF(Table_TRM_Fixtures[[#This Row],[Pre-EISA Baseline]]="Nominal", Table_TRM_Fixtures[[#This Row],[Fixture Watts  (TRM Data)]], Table_TRM_Fixtures[[#This Row],[Modified Baseline Fixture Watts]])</f>
        <v>115</v>
      </c>
    </row>
    <row r="168" spans="1:27" x14ac:dyDescent="0.2">
      <c r="A168" t="s">
        <v>519</v>
      </c>
      <c r="B168" t="s">
        <v>3613</v>
      </c>
      <c r="C168" t="s">
        <v>3614</v>
      </c>
      <c r="D168" t="s">
        <v>3615</v>
      </c>
      <c r="E168" t="s">
        <v>187</v>
      </c>
      <c r="F168" t="s">
        <v>186</v>
      </c>
      <c r="G168" t="s">
        <v>186</v>
      </c>
      <c r="H168">
        <v>116</v>
      </c>
      <c r="I168">
        <v>15</v>
      </c>
      <c r="J168" s="110">
        <v>166</v>
      </c>
      <c r="K168" t="s">
        <v>185</v>
      </c>
      <c r="L168">
        <f>IF(Table_TRM_Fixtures[[#This Row],[Technology]]="LED", Table_TRM_Fixtures[[#This Row],[Fixture Watts  (TRM Data)]], Table_TRM_Fixtures[[#This Row],[Lamp Watts  (TRM Data)]])</f>
        <v>116</v>
      </c>
      <c r="M168" t="str">
        <f>Table_TRM_Fixtures[[#This Row],[No. of Lamps  (TRM Data)]]</f>
        <v>N/A</v>
      </c>
      <c r="N168" t="s">
        <v>186</v>
      </c>
      <c r="O168" t="s">
        <v>186</v>
      </c>
      <c r="P168" t="s">
        <v>187</v>
      </c>
      <c r="S168" t="s">
        <v>518</v>
      </c>
      <c r="T168" t="str">
        <f>Table_TRM_Fixtures[[#This Row],[Fixture code  (TRM Data)]]</f>
        <v>LED116-FIXT</v>
      </c>
      <c r="U168" t="s">
        <v>2883</v>
      </c>
      <c r="V168" t="s">
        <v>185</v>
      </c>
      <c r="W168" t="s">
        <v>3120</v>
      </c>
      <c r="X168" t="s">
        <v>186</v>
      </c>
      <c r="AA168">
        <f>IF(Table_TRM_Fixtures[[#This Row],[Pre-EISA Baseline]]="Nominal", Table_TRM_Fixtures[[#This Row],[Fixture Watts  (TRM Data)]], Table_TRM_Fixtures[[#This Row],[Modified Baseline Fixture Watts]])</f>
        <v>116</v>
      </c>
    </row>
    <row r="169" spans="1:27" x14ac:dyDescent="0.2">
      <c r="A169" t="s">
        <v>521</v>
      </c>
      <c r="B169" t="s">
        <v>3616</v>
      </c>
      <c r="C169" t="s">
        <v>3617</v>
      </c>
      <c r="D169" t="s">
        <v>3618</v>
      </c>
      <c r="E169" t="s">
        <v>187</v>
      </c>
      <c r="F169" t="s">
        <v>186</v>
      </c>
      <c r="G169" t="s">
        <v>186</v>
      </c>
      <c r="H169">
        <v>117</v>
      </c>
      <c r="I169">
        <v>15</v>
      </c>
      <c r="J169" s="110">
        <v>167</v>
      </c>
      <c r="K169" t="s">
        <v>185</v>
      </c>
      <c r="L169">
        <f>IF(Table_TRM_Fixtures[[#This Row],[Technology]]="LED", Table_TRM_Fixtures[[#This Row],[Fixture Watts  (TRM Data)]], Table_TRM_Fixtures[[#This Row],[Lamp Watts  (TRM Data)]])</f>
        <v>117</v>
      </c>
      <c r="M169" t="str">
        <f>Table_TRM_Fixtures[[#This Row],[No. of Lamps  (TRM Data)]]</f>
        <v>N/A</v>
      </c>
      <c r="N169" t="s">
        <v>186</v>
      </c>
      <c r="O169" t="s">
        <v>186</v>
      </c>
      <c r="P169" t="s">
        <v>187</v>
      </c>
      <c r="S169" t="s">
        <v>520</v>
      </c>
      <c r="T169" t="str">
        <f>Table_TRM_Fixtures[[#This Row],[Fixture code  (TRM Data)]]</f>
        <v>LED117-FIXT</v>
      </c>
      <c r="U169" t="s">
        <v>2883</v>
      </c>
      <c r="V169" t="s">
        <v>185</v>
      </c>
      <c r="W169" t="s">
        <v>3120</v>
      </c>
      <c r="X169" t="s">
        <v>186</v>
      </c>
      <c r="AA169">
        <f>IF(Table_TRM_Fixtures[[#This Row],[Pre-EISA Baseline]]="Nominal", Table_TRM_Fixtures[[#This Row],[Fixture Watts  (TRM Data)]], Table_TRM_Fixtures[[#This Row],[Modified Baseline Fixture Watts]])</f>
        <v>117</v>
      </c>
    </row>
    <row r="170" spans="1:27" x14ac:dyDescent="0.2">
      <c r="A170" t="s">
        <v>523</v>
      </c>
      <c r="B170" t="s">
        <v>3619</v>
      </c>
      <c r="C170" t="s">
        <v>3620</v>
      </c>
      <c r="D170" t="s">
        <v>3621</v>
      </c>
      <c r="E170" t="s">
        <v>187</v>
      </c>
      <c r="F170" t="s">
        <v>186</v>
      </c>
      <c r="G170" t="s">
        <v>186</v>
      </c>
      <c r="H170">
        <v>118</v>
      </c>
      <c r="I170">
        <v>15</v>
      </c>
      <c r="J170" s="110">
        <v>168</v>
      </c>
      <c r="K170" t="s">
        <v>185</v>
      </c>
      <c r="L170">
        <f>IF(Table_TRM_Fixtures[[#This Row],[Technology]]="LED", Table_TRM_Fixtures[[#This Row],[Fixture Watts  (TRM Data)]], Table_TRM_Fixtures[[#This Row],[Lamp Watts  (TRM Data)]])</f>
        <v>118</v>
      </c>
      <c r="M170" t="str">
        <f>Table_TRM_Fixtures[[#This Row],[No. of Lamps  (TRM Data)]]</f>
        <v>N/A</v>
      </c>
      <c r="N170" t="s">
        <v>186</v>
      </c>
      <c r="O170" t="s">
        <v>186</v>
      </c>
      <c r="P170" t="s">
        <v>187</v>
      </c>
      <c r="S170" t="s">
        <v>522</v>
      </c>
      <c r="T170" t="str">
        <f>Table_TRM_Fixtures[[#This Row],[Fixture code  (TRM Data)]]</f>
        <v>LED118-FIXT</v>
      </c>
      <c r="U170" t="s">
        <v>2883</v>
      </c>
      <c r="V170" t="s">
        <v>185</v>
      </c>
      <c r="W170" t="s">
        <v>3120</v>
      </c>
      <c r="X170" t="s">
        <v>186</v>
      </c>
      <c r="AA170">
        <f>IF(Table_TRM_Fixtures[[#This Row],[Pre-EISA Baseline]]="Nominal", Table_TRM_Fixtures[[#This Row],[Fixture Watts  (TRM Data)]], Table_TRM_Fixtures[[#This Row],[Modified Baseline Fixture Watts]])</f>
        <v>118</v>
      </c>
    </row>
    <row r="171" spans="1:27" x14ac:dyDescent="0.2">
      <c r="A171" t="s">
        <v>525</v>
      </c>
      <c r="B171" t="s">
        <v>3622</v>
      </c>
      <c r="C171" t="s">
        <v>3623</v>
      </c>
      <c r="D171" t="s">
        <v>3624</v>
      </c>
      <c r="E171" t="s">
        <v>187</v>
      </c>
      <c r="F171" t="s">
        <v>186</v>
      </c>
      <c r="G171" t="s">
        <v>186</v>
      </c>
      <c r="H171">
        <v>119</v>
      </c>
      <c r="I171">
        <v>15</v>
      </c>
      <c r="J171" s="110">
        <v>169</v>
      </c>
      <c r="K171" t="s">
        <v>185</v>
      </c>
      <c r="L171">
        <f>IF(Table_TRM_Fixtures[[#This Row],[Technology]]="LED", Table_TRM_Fixtures[[#This Row],[Fixture Watts  (TRM Data)]], Table_TRM_Fixtures[[#This Row],[Lamp Watts  (TRM Data)]])</f>
        <v>119</v>
      </c>
      <c r="M171" t="str">
        <f>Table_TRM_Fixtures[[#This Row],[No. of Lamps  (TRM Data)]]</f>
        <v>N/A</v>
      </c>
      <c r="N171" t="s">
        <v>186</v>
      </c>
      <c r="O171" t="s">
        <v>186</v>
      </c>
      <c r="P171" t="s">
        <v>187</v>
      </c>
      <c r="S171" t="s">
        <v>524</v>
      </c>
      <c r="T171" t="str">
        <f>Table_TRM_Fixtures[[#This Row],[Fixture code  (TRM Data)]]</f>
        <v>LED119-FIXT</v>
      </c>
      <c r="U171" t="s">
        <v>2883</v>
      </c>
      <c r="V171" t="s">
        <v>185</v>
      </c>
      <c r="W171" t="s">
        <v>3120</v>
      </c>
      <c r="X171" t="s">
        <v>186</v>
      </c>
      <c r="AA171">
        <f>IF(Table_TRM_Fixtures[[#This Row],[Pre-EISA Baseline]]="Nominal", Table_TRM_Fixtures[[#This Row],[Fixture Watts  (TRM Data)]], Table_TRM_Fixtures[[#This Row],[Modified Baseline Fixture Watts]])</f>
        <v>119</v>
      </c>
    </row>
    <row r="172" spans="1:27" x14ac:dyDescent="0.2">
      <c r="A172" t="s">
        <v>527</v>
      </c>
      <c r="B172" t="s">
        <v>3625</v>
      </c>
      <c r="C172" t="s">
        <v>3626</v>
      </c>
      <c r="D172" t="s">
        <v>3627</v>
      </c>
      <c r="E172" t="s">
        <v>187</v>
      </c>
      <c r="F172" t="s">
        <v>186</v>
      </c>
      <c r="G172" t="s">
        <v>186</v>
      </c>
      <c r="H172">
        <v>120</v>
      </c>
      <c r="I172">
        <v>15</v>
      </c>
      <c r="J172" s="110">
        <v>170</v>
      </c>
      <c r="K172" t="s">
        <v>185</v>
      </c>
      <c r="L172">
        <f>IF(Table_TRM_Fixtures[[#This Row],[Technology]]="LED", Table_TRM_Fixtures[[#This Row],[Fixture Watts  (TRM Data)]], Table_TRM_Fixtures[[#This Row],[Lamp Watts  (TRM Data)]])</f>
        <v>120</v>
      </c>
      <c r="M172" t="str">
        <f>Table_TRM_Fixtures[[#This Row],[No. of Lamps  (TRM Data)]]</f>
        <v>N/A</v>
      </c>
      <c r="N172" t="s">
        <v>186</v>
      </c>
      <c r="O172" t="s">
        <v>186</v>
      </c>
      <c r="P172" t="s">
        <v>187</v>
      </c>
      <c r="S172" t="s">
        <v>526</v>
      </c>
      <c r="T172" t="str">
        <f>Table_TRM_Fixtures[[#This Row],[Fixture code  (TRM Data)]]</f>
        <v>LED120-FIXT</v>
      </c>
      <c r="U172" t="s">
        <v>2883</v>
      </c>
      <c r="V172" t="s">
        <v>185</v>
      </c>
      <c r="W172" t="s">
        <v>3120</v>
      </c>
      <c r="X172" t="s">
        <v>186</v>
      </c>
      <c r="AA172">
        <f>IF(Table_TRM_Fixtures[[#This Row],[Pre-EISA Baseline]]="Nominal", Table_TRM_Fixtures[[#This Row],[Fixture Watts  (TRM Data)]], Table_TRM_Fixtures[[#This Row],[Modified Baseline Fixture Watts]])</f>
        <v>120</v>
      </c>
    </row>
    <row r="173" spans="1:27" x14ac:dyDescent="0.2">
      <c r="A173" t="s">
        <v>529</v>
      </c>
      <c r="B173" t="s">
        <v>3628</v>
      </c>
      <c r="C173" t="s">
        <v>3629</v>
      </c>
      <c r="D173" t="s">
        <v>3630</v>
      </c>
      <c r="E173" t="s">
        <v>187</v>
      </c>
      <c r="F173" t="s">
        <v>186</v>
      </c>
      <c r="G173" t="s">
        <v>186</v>
      </c>
      <c r="H173">
        <v>121</v>
      </c>
      <c r="I173">
        <v>15</v>
      </c>
      <c r="J173" s="110">
        <v>171</v>
      </c>
      <c r="K173" t="s">
        <v>185</v>
      </c>
      <c r="L173">
        <f>IF(Table_TRM_Fixtures[[#This Row],[Technology]]="LED", Table_TRM_Fixtures[[#This Row],[Fixture Watts  (TRM Data)]], Table_TRM_Fixtures[[#This Row],[Lamp Watts  (TRM Data)]])</f>
        <v>121</v>
      </c>
      <c r="M173" t="str">
        <f>Table_TRM_Fixtures[[#This Row],[No. of Lamps  (TRM Data)]]</f>
        <v>N/A</v>
      </c>
      <c r="N173" t="s">
        <v>186</v>
      </c>
      <c r="O173" t="s">
        <v>186</v>
      </c>
      <c r="P173" t="s">
        <v>187</v>
      </c>
      <c r="S173" t="s">
        <v>528</v>
      </c>
      <c r="T173" t="str">
        <f>Table_TRM_Fixtures[[#This Row],[Fixture code  (TRM Data)]]</f>
        <v>LED121-FIXT</v>
      </c>
      <c r="U173" t="s">
        <v>2883</v>
      </c>
      <c r="V173" t="s">
        <v>185</v>
      </c>
      <c r="W173" t="s">
        <v>3120</v>
      </c>
      <c r="X173" t="s">
        <v>186</v>
      </c>
      <c r="AA173">
        <f>IF(Table_TRM_Fixtures[[#This Row],[Pre-EISA Baseline]]="Nominal", Table_TRM_Fixtures[[#This Row],[Fixture Watts  (TRM Data)]], Table_TRM_Fixtures[[#This Row],[Modified Baseline Fixture Watts]])</f>
        <v>121</v>
      </c>
    </row>
    <row r="174" spans="1:27" x14ac:dyDescent="0.2">
      <c r="A174" t="s">
        <v>531</v>
      </c>
      <c r="B174" t="s">
        <v>3631</v>
      </c>
      <c r="C174" t="s">
        <v>3632</v>
      </c>
      <c r="D174" t="s">
        <v>3633</v>
      </c>
      <c r="E174" t="s">
        <v>187</v>
      </c>
      <c r="F174" t="s">
        <v>186</v>
      </c>
      <c r="G174" t="s">
        <v>186</v>
      </c>
      <c r="H174">
        <v>122</v>
      </c>
      <c r="I174">
        <v>15</v>
      </c>
      <c r="J174" s="110">
        <v>172</v>
      </c>
      <c r="K174" t="s">
        <v>185</v>
      </c>
      <c r="L174">
        <f>IF(Table_TRM_Fixtures[[#This Row],[Technology]]="LED", Table_TRM_Fixtures[[#This Row],[Fixture Watts  (TRM Data)]], Table_TRM_Fixtures[[#This Row],[Lamp Watts  (TRM Data)]])</f>
        <v>122</v>
      </c>
      <c r="M174" t="str">
        <f>Table_TRM_Fixtures[[#This Row],[No. of Lamps  (TRM Data)]]</f>
        <v>N/A</v>
      </c>
      <c r="N174" t="s">
        <v>186</v>
      </c>
      <c r="O174" t="s">
        <v>186</v>
      </c>
      <c r="P174" t="s">
        <v>187</v>
      </c>
      <c r="S174" t="s">
        <v>530</v>
      </c>
      <c r="T174" t="str">
        <f>Table_TRM_Fixtures[[#This Row],[Fixture code  (TRM Data)]]</f>
        <v>LED122-FIXT</v>
      </c>
      <c r="U174" t="s">
        <v>2883</v>
      </c>
      <c r="V174" t="s">
        <v>185</v>
      </c>
      <c r="W174" t="s">
        <v>3120</v>
      </c>
      <c r="X174" t="s">
        <v>186</v>
      </c>
      <c r="AA174">
        <f>IF(Table_TRM_Fixtures[[#This Row],[Pre-EISA Baseline]]="Nominal", Table_TRM_Fixtures[[#This Row],[Fixture Watts  (TRM Data)]], Table_TRM_Fixtures[[#This Row],[Modified Baseline Fixture Watts]])</f>
        <v>122</v>
      </c>
    </row>
    <row r="175" spans="1:27" x14ac:dyDescent="0.2">
      <c r="A175" t="s">
        <v>533</v>
      </c>
      <c r="B175" t="s">
        <v>3634</v>
      </c>
      <c r="C175" t="s">
        <v>3635</v>
      </c>
      <c r="D175" t="s">
        <v>3636</v>
      </c>
      <c r="E175" t="s">
        <v>187</v>
      </c>
      <c r="F175" t="s">
        <v>186</v>
      </c>
      <c r="G175" t="s">
        <v>186</v>
      </c>
      <c r="H175">
        <v>123</v>
      </c>
      <c r="I175">
        <v>15</v>
      </c>
      <c r="J175" s="110">
        <v>173</v>
      </c>
      <c r="K175" t="s">
        <v>185</v>
      </c>
      <c r="L175">
        <f>IF(Table_TRM_Fixtures[[#This Row],[Technology]]="LED", Table_TRM_Fixtures[[#This Row],[Fixture Watts  (TRM Data)]], Table_TRM_Fixtures[[#This Row],[Lamp Watts  (TRM Data)]])</f>
        <v>123</v>
      </c>
      <c r="M175" t="str">
        <f>Table_TRM_Fixtures[[#This Row],[No. of Lamps  (TRM Data)]]</f>
        <v>N/A</v>
      </c>
      <c r="N175" t="s">
        <v>186</v>
      </c>
      <c r="O175" t="s">
        <v>186</v>
      </c>
      <c r="P175" t="s">
        <v>187</v>
      </c>
      <c r="S175" t="s">
        <v>532</v>
      </c>
      <c r="T175" t="str">
        <f>Table_TRM_Fixtures[[#This Row],[Fixture code  (TRM Data)]]</f>
        <v>LED123-FIXT</v>
      </c>
      <c r="U175" t="s">
        <v>2883</v>
      </c>
      <c r="V175" t="s">
        <v>185</v>
      </c>
      <c r="W175" t="s">
        <v>3120</v>
      </c>
      <c r="X175" t="s">
        <v>186</v>
      </c>
      <c r="AA175">
        <f>IF(Table_TRM_Fixtures[[#This Row],[Pre-EISA Baseline]]="Nominal", Table_TRM_Fixtures[[#This Row],[Fixture Watts  (TRM Data)]], Table_TRM_Fixtures[[#This Row],[Modified Baseline Fixture Watts]])</f>
        <v>123</v>
      </c>
    </row>
    <row r="176" spans="1:27" x14ac:dyDescent="0.2">
      <c r="A176" t="s">
        <v>535</v>
      </c>
      <c r="B176" t="s">
        <v>3637</v>
      </c>
      <c r="C176" t="s">
        <v>3638</v>
      </c>
      <c r="D176" t="s">
        <v>3639</v>
      </c>
      <c r="E176" t="s">
        <v>187</v>
      </c>
      <c r="F176" t="s">
        <v>186</v>
      </c>
      <c r="G176" t="s">
        <v>186</v>
      </c>
      <c r="H176">
        <v>124</v>
      </c>
      <c r="I176">
        <v>15</v>
      </c>
      <c r="J176" s="110">
        <v>174</v>
      </c>
      <c r="K176" t="s">
        <v>185</v>
      </c>
      <c r="L176">
        <f>IF(Table_TRM_Fixtures[[#This Row],[Technology]]="LED", Table_TRM_Fixtures[[#This Row],[Fixture Watts  (TRM Data)]], Table_TRM_Fixtures[[#This Row],[Lamp Watts  (TRM Data)]])</f>
        <v>124</v>
      </c>
      <c r="M176" t="str">
        <f>Table_TRM_Fixtures[[#This Row],[No. of Lamps  (TRM Data)]]</f>
        <v>N/A</v>
      </c>
      <c r="N176" t="s">
        <v>186</v>
      </c>
      <c r="O176" t="s">
        <v>186</v>
      </c>
      <c r="P176" t="s">
        <v>187</v>
      </c>
      <c r="S176" t="s">
        <v>534</v>
      </c>
      <c r="T176" t="str">
        <f>Table_TRM_Fixtures[[#This Row],[Fixture code  (TRM Data)]]</f>
        <v>LED124-FIXT</v>
      </c>
      <c r="U176" t="s">
        <v>2883</v>
      </c>
      <c r="V176" t="s">
        <v>185</v>
      </c>
      <c r="W176" t="s">
        <v>3120</v>
      </c>
      <c r="X176" t="s">
        <v>186</v>
      </c>
      <c r="AA176">
        <f>IF(Table_TRM_Fixtures[[#This Row],[Pre-EISA Baseline]]="Nominal", Table_TRM_Fixtures[[#This Row],[Fixture Watts  (TRM Data)]], Table_TRM_Fixtures[[#This Row],[Modified Baseline Fixture Watts]])</f>
        <v>124</v>
      </c>
    </row>
    <row r="177" spans="1:27" x14ac:dyDescent="0.2">
      <c r="A177" t="s">
        <v>537</v>
      </c>
      <c r="B177" t="s">
        <v>3640</v>
      </c>
      <c r="C177" t="s">
        <v>3641</v>
      </c>
      <c r="D177" t="s">
        <v>3642</v>
      </c>
      <c r="E177" t="s">
        <v>187</v>
      </c>
      <c r="F177" t="s">
        <v>186</v>
      </c>
      <c r="G177" t="s">
        <v>186</v>
      </c>
      <c r="H177">
        <v>125</v>
      </c>
      <c r="I177">
        <v>15</v>
      </c>
      <c r="J177" s="110">
        <v>175</v>
      </c>
      <c r="K177" t="s">
        <v>185</v>
      </c>
      <c r="L177">
        <f>IF(Table_TRM_Fixtures[[#This Row],[Technology]]="LED", Table_TRM_Fixtures[[#This Row],[Fixture Watts  (TRM Data)]], Table_TRM_Fixtures[[#This Row],[Lamp Watts  (TRM Data)]])</f>
        <v>125</v>
      </c>
      <c r="M177" t="str">
        <f>Table_TRM_Fixtures[[#This Row],[No. of Lamps  (TRM Data)]]</f>
        <v>N/A</v>
      </c>
      <c r="N177" t="s">
        <v>186</v>
      </c>
      <c r="O177" t="s">
        <v>186</v>
      </c>
      <c r="P177" t="s">
        <v>187</v>
      </c>
      <c r="S177" t="s">
        <v>536</v>
      </c>
      <c r="T177" t="str">
        <f>Table_TRM_Fixtures[[#This Row],[Fixture code  (TRM Data)]]</f>
        <v>LED125-FIXT</v>
      </c>
      <c r="U177" t="s">
        <v>2883</v>
      </c>
      <c r="V177" t="s">
        <v>185</v>
      </c>
      <c r="W177" t="s">
        <v>3120</v>
      </c>
      <c r="X177" t="s">
        <v>186</v>
      </c>
      <c r="AA177">
        <f>IF(Table_TRM_Fixtures[[#This Row],[Pre-EISA Baseline]]="Nominal", Table_TRM_Fixtures[[#This Row],[Fixture Watts  (TRM Data)]], Table_TRM_Fixtures[[#This Row],[Modified Baseline Fixture Watts]])</f>
        <v>125</v>
      </c>
    </row>
    <row r="178" spans="1:27" x14ac:dyDescent="0.2">
      <c r="A178" t="s">
        <v>539</v>
      </c>
      <c r="B178" t="s">
        <v>3643</v>
      </c>
      <c r="C178" t="s">
        <v>3644</v>
      </c>
      <c r="D178" t="s">
        <v>3645</v>
      </c>
      <c r="E178" t="s">
        <v>187</v>
      </c>
      <c r="F178" t="s">
        <v>186</v>
      </c>
      <c r="G178" t="s">
        <v>186</v>
      </c>
      <c r="H178">
        <v>126</v>
      </c>
      <c r="I178">
        <v>15</v>
      </c>
      <c r="J178" s="110">
        <v>176</v>
      </c>
      <c r="K178" t="s">
        <v>185</v>
      </c>
      <c r="L178">
        <f>IF(Table_TRM_Fixtures[[#This Row],[Technology]]="LED", Table_TRM_Fixtures[[#This Row],[Fixture Watts  (TRM Data)]], Table_TRM_Fixtures[[#This Row],[Lamp Watts  (TRM Data)]])</f>
        <v>126</v>
      </c>
      <c r="M178" t="str">
        <f>Table_TRM_Fixtures[[#This Row],[No. of Lamps  (TRM Data)]]</f>
        <v>N/A</v>
      </c>
      <c r="N178" t="s">
        <v>186</v>
      </c>
      <c r="O178" t="s">
        <v>186</v>
      </c>
      <c r="P178" t="s">
        <v>187</v>
      </c>
      <c r="S178" t="s">
        <v>538</v>
      </c>
      <c r="T178" t="str">
        <f>Table_TRM_Fixtures[[#This Row],[Fixture code  (TRM Data)]]</f>
        <v>LED126-FIXT</v>
      </c>
      <c r="U178" t="s">
        <v>2883</v>
      </c>
      <c r="V178" t="s">
        <v>185</v>
      </c>
      <c r="W178" t="s">
        <v>3120</v>
      </c>
      <c r="X178" t="s">
        <v>186</v>
      </c>
      <c r="AA178">
        <f>IF(Table_TRM_Fixtures[[#This Row],[Pre-EISA Baseline]]="Nominal", Table_TRM_Fixtures[[#This Row],[Fixture Watts  (TRM Data)]], Table_TRM_Fixtures[[#This Row],[Modified Baseline Fixture Watts]])</f>
        <v>126</v>
      </c>
    </row>
    <row r="179" spans="1:27" x14ac:dyDescent="0.2">
      <c r="A179" t="s">
        <v>541</v>
      </c>
      <c r="B179" t="s">
        <v>3646</v>
      </c>
      <c r="C179" t="s">
        <v>3647</v>
      </c>
      <c r="D179" t="s">
        <v>3648</v>
      </c>
      <c r="E179" t="s">
        <v>187</v>
      </c>
      <c r="F179" t="s">
        <v>186</v>
      </c>
      <c r="G179" t="s">
        <v>186</v>
      </c>
      <c r="H179">
        <v>127</v>
      </c>
      <c r="I179">
        <v>15</v>
      </c>
      <c r="J179" s="110">
        <v>177</v>
      </c>
      <c r="K179" t="s">
        <v>185</v>
      </c>
      <c r="L179">
        <f>IF(Table_TRM_Fixtures[[#This Row],[Technology]]="LED", Table_TRM_Fixtures[[#This Row],[Fixture Watts  (TRM Data)]], Table_TRM_Fixtures[[#This Row],[Lamp Watts  (TRM Data)]])</f>
        <v>127</v>
      </c>
      <c r="M179" t="str">
        <f>Table_TRM_Fixtures[[#This Row],[No. of Lamps  (TRM Data)]]</f>
        <v>N/A</v>
      </c>
      <c r="N179" t="s">
        <v>186</v>
      </c>
      <c r="O179" t="s">
        <v>186</v>
      </c>
      <c r="P179" t="s">
        <v>187</v>
      </c>
      <c r="S179" t="s">
        <v>540</v>
      </c>
      <c r="T179" t="str">
        <f>Table_TRM_Fixtures[[#This Row],[Fixture code  (TRM Data)]]</f>
        <v>LED127-FIXT</v>
      </c>
      <c r="U179" t="s">
        <v>2883</v>
      </c>
      <c r="V179" t="s">
        <v>185</v>
      </c>
      <c r="W179" t="s">
        <v>3120</v>
      </c>
      <c r="X179" t="s">
        <v>186</v>
      </c>
      <c r="AA179">
        <f>IF(Table_TRM_Fixtures[[#This Row],[Pre-EISA Baseline]]="Nominal", Table_TRM_Fixtures[[#This Row],[Fixture Watts  (TRM Data)]], Table_TRM_Fixtures[[#This Row],[Modified Baseline Fixture Watts]])</f>
        <v>127</v>
      </c>
    </row>
    <row r="180" spans="1:27" x14ac:dyDescent="0.2">
      <c r="A180" t="s">
        <v>543</v>
      </c>
      <c r="B180" t="s">
        <v>3649</v>
      </c>
      <c r="C180" t="s">
        <v>3650</v>
      </c>
      <c r="D180" t="s">
        <v>3651</v>
      </c>
      <c r="E180" t="s">
        <v>187</v>
      </c>
      <c r="F180" t="s">
        <v>186</v>
      </c>
      <c r="G180" t="s">
        <v>186</v>
      </c>
      <c r="H180">
        <v>128</v>
      </c>
      <c r="I180">
        <v>15</v>
      </c>
      <c r="J180" s="110">
        <v>178</v>
      </c>
      <c r="K180" t="s">
        <v>185</v>
      </c>
      <c r="L180">
        <f>IF(Table_TRM_Fixtures[[#This Row],[Technology]]="LED", Table_TRM_Fixtures[[#This Row],[Fixture Watts  (TRM Data)]], Table_TRM_Fixtures[[#This Row],[Lamp Watts  (TRM Data)]])</f>
        <v>128</v>
      </c>
      <c r="M180" t="str">
        <f>Table_TRM_Fixtures[[#This Row],[No. of Lamps  (TRM Data)]]</f>
        <v>N/A</v>
      </c>
      <c r="N180" t="s">
        <v>186</v>
      </c>
      <c r="O180" t="s">
        <v>186</v>
      </c>
      <c r="P180" t="s">
        <v>187</v>
      </c>
      <c r="S180" t="s">
        <v>542</v>
      </c>
      <c r="T180" t="str">
        <f>Table_TRM_Fixtures[[#This Row],[Fixture code  (TRM Data)]]</f>
        <v>LED128-FIXT</v>
      </c>
      <c r="U180" t="s">
        <v>2883</v>
      </c>
      <c r="V180" t="s">
        <v>185</v>
      </c>
      <c r="W180" t="s">
        <v>3120</v>
      </c>
      <c r="X180" t="s">
        <v>186</v>
      </c>
      <c r="AA180">
        <f>IF(Table_TRM_Fixtures[[#This Row],[Pre-EISA Baseline]]="Nominal", Table_TRM_Fixtures[[#This Row],[Fixture Watts  (TRM Data)]], Table_TRM_Fixtures[[#This Row],[Modified Baseline Fixture Watts]])</f>
        <v>128</v>
      </c>
    </row>
    <row r="181" spans="1:27" x14ac:dyDescent="0.2">
      <c r="A181" t="s">
        <v>545</v>
      </c>
      <c r="B181" t="s">
        <v>3652</v>
      </c>
      <c r="C181" t="s">
        <v>3653</v>
      </c>
      <c r="D181" t="s">
        <v>3654</v>
      </c>
      <c r="E181" t="s">
        <v>187</v>
      </c>
      <c r="F181" t="s">
        <v>186</v>
      </c>
      <c r="G181" t="s">
        <v>186</v>
      </c>
      <c r="H181">
        <v>129</v>
      </c>
      <c r="I181">
        <v>15</v>
      </c>
      <c r="J181" s="110">
        <v>179</v>
      </c>
      <c r="K181" t="s">
        <v>185</v>
      </c>
      <c r="L181">
        <f>IF(Table_TRM_Fixtures[[#This Row],[Technology]]="LED", Table_TRM_Fixtures[[#This Row],[Fixture Watts  (TRM Data)]], Table_TRM_Fixtures[[#This Row],[Lamp Watts  (TRM Data)]])</f>
        <v>129</v>
      </c>
      <c r="M181" t="str">
        <f>Table_TRM_Fixtures[[#This Row],[No. of Lamps  (TRM Data)]]</f>
        <v>N/A</v>
      </c>
      <c r="N181" t="s">
        <v>186</v>
      </c>
      <c r="O181" t="s">
        <v>186</v>
      </c>
      <c r="P181" t="s">
        <v>187</v>
      </c>
      <c r="S181" t="s">
        <v>544</v>
      </c>
      <c r="T181" t="str">
        <f>Table_TRM_Fixtures[[#This Row],[Fixture code  (TRM Data)]]</f>
        <v>LED129-FIXT</v>
      </c>
      <c r="U181" t="s">
        <v>2883</v>
      </c>
      <c r="V181" t="s">
        <v>185</v>
      </c>
      <c r="W181" t="s">
        <v>3120</v>
      </c>
      <c r="X181" t="s">
        <v>186</v>
      </c>
      <c r="AA181">
        <f>IF(Table_TRM_Fixtures[[#This Row],[Pre-EISA Baseline]]="Nominal", Table_TRM_Fixtures[[#This Row],[Fixture Watts  (TRM Data)]], Table_TRM_Fixtures[[#This Row],[Modified Baseline Fixture Watts]])</f>
        <v>129</v>
      </c>
    </row>
    <row r="182" spans="1:27" x14ac:dyDescent="0.2">
      <c r="A182" t="s">
        <v>547</v>
      </c>
      <c r="B182" t="s">
        <v>3655</v>
      </c>
      <c r="C182" t="s">
        <v>3656</v>
      </c>
      <c r="D182" t="s">
        <v>3657</v>
      </c>
      <c r="E182" t="s">
        <v>187</v>
      </c>
      <c r="F182" t="s">
        <v>186</v>
      </c>
      <c r="G182" t="s">
        <v>186</v>
      </c>
      <c r="H182">
        <v>130</v>
      </c>
      <c r="I182">
        <v>15</v>
      </c>
      <c r="J182" s="110">
        <v>180</v>
      </c>
      <c r="K182" t="s">
        <v>185</v>
      </c>
      <c r="L182">
        <f>IF(Table_TRM_Fixtures[[#This Row],[Technology]]="LED", Table_TRM_Fixtures[[#This Row],[Fixture Watts  (TRM Data)]], Table_TRM_Fixtures[[#This Row],[Lamp Watts  (TRM Data)]])</f>
        <v>130</v>
      </c>
      <c r="M182" t="str">
        <f>Table_TRM_Fixtures[[#This Row],[No. of Lamps  (TRM Data)]]</f>
        <v>N/A</v>
      </c>
      <c r="N182" t="s">
        <v>186</v>
      </c>
      <c r="O182" t="s">
        <v>186</v>
      </c>
      <c r="P182" t="s">
        <v>187</v>
      </c>
      <c r="S182" t="s">
        <v>546</v>
      </c>
      <c r="T182" t="str">
        <f>Table_TRM_Fixtures[[#This Row],[Fixture code  (TRM Data)]]</f>
        <v>LED130-FIXT</v>
      </c>
      <c r="U182" t="s">
        <v>2883</v>
      </c>
      <c r="V182" t="s">
        <v>185</v>
      </c>
      <c r="W182" t="s">
        <v>3120</v>
      </c>
      <c r="X182" t="s">
        <v>186</v>
      </c>
      <c r="AA182">
        <f>IF(Table_TRM_Fixtures[[#This Row],[Pre-EISA Baseline]]="Nominal", Table_TRM_Fixtures[[#This Row],[Fixture Watts  (TRM Data)]], Table_TRM_Fixtures[[#This Row],[Modified Baseline Fixture Watts]])</f>
        <v>130</v>
      </c>
    </row>
    <row r="183" spans="1:27" x14ac:dyDescent="0.2">
      <c r="A183" t="s">
        <v>549</v>
      </c>
      <c r="B183" t="s">
        <v>3658</v>
      </c>
      <c r="C183" t="s">
        <v>3659</v>
      </c>
      <c r="D183" t="s">
        <v>3660</v>
      </c>
      <c r="E183" t="s">
        <v>187</v>
      </c>
      <c r="F183" t="s">
        <v>186</v>
      </c>
      <c r="G183" t="s">
        <v>186</v>
      </c>
      <c r="H183">
        <v>131</v>
      </c>
      <c r="I183">
        <v>15</v>
      </c>
      <c r="J183" s="110">
        <v>181</v>
      </c>
      <c r="K183" t="s">
        <v>185</v>
      </c>
      <c r="L183">
        <f>IF(Table_TRM_Fixtures[[#This Row],[Technology]]="LED", Table_TRM_Fixtures[[#This Row],[Fixture Watts  (TRM Data)]], Table_TRM_Fixtures[[#This Row],[Lamp Watts  (TRM Data)]])</f>
        <v>131</v>
      </c>
      <c r="M183" t="str">
        <f>Table_TRM_Fixtures[[#This Row],[No. of Lamps  (TRM Data)]]</f>
        <v>N/A</v>
      </c>
      <c r="N183" t="s">
        <v>186</v>
      </c>
      <c r="O183" t="s">
        <v>186</v>
      </c>
      <c r="P183" t="s">
        <v>187</v>
      </c>
      <c r="S183" t="s">
        <v>548</v>
      </c>
      <c r="T183" t="str">
        <f>Table_TRM_Fixtures[[#This Row],[Fixture code  (TRM Data)]]</f>
        <v>LED131-FIXT</v>
      </c>
      <c r="U183" t="s">
        <v>2883</v>
      </c>
      <c r="V183" t="s">
        <v>185</v>
      </c>
      <c r="W183" t="s">
        <v>3120</v>
      </c>
      <c r="X183" t="s">
        <v>186</v>
      </c>
      <c r="AA183">
        <f>IF(Table_TRM_Fixtures[[#This Row],[Pre-EISA Baseline]]="Nominal", Table_TRM_Fixtures[[#This Row],[Fixture Watts  (TRM Data)]], Table_TRM_Fixtures[[#This Row],[Modified Baseline Fixture Watts]])</f>
        <v>131</v>
      </c>
    </row>
    <row r="184" spans="1:27" x14ac:dyDescent="0.2">
      <c r="A184" t="s">
        <v>551</v>
      </c>
      <c r="B184" t="s">
        <v>3661</v>
      </c>
      <c r="C184" t="s">
        <v>3662</v>
      </c>
      <c r="D184" t="s">
        <v>3663</v>
      </c>
      <c r="E184" t="s">
        <v>187</v>
      </c>
      <c r="F184" t="s">
        <v>186</v>
      </c>
      <c r="G184" t="s">
        <v>186</v>
      </c>
      <c r="H184">
        <v>132</v>
      </c>
      <c r="I184">
        <v>15</v>
      </c>
      <c r="J184" s="110">
        <v>182</v>
      </c>
      <c r="K184" t="s">
        <v>185</v>
      </c>
      <c r="L184">
        <f>IF(Table_TRM_Fixtures[[#This Row],[Technology]]="LED", Table_TRM_Fixtures[[#This Row],[Fixture Watts  (TRM Data)]], Table_TRM_Fixtures[[#This Row],[Lamp Watts  (TRM Data)]])</f>
        <v>132</v>
      </c>
      <c r="M184" t="str">
        <f>Table_TRM_Fixtures[[#This Row],[No. of Lamps  (TRM Data)]]</f>
        <v>N/A</v>
      </c>
      <c r="N184" t="s">
        <v>186</v>
      </c>
      <c r="O184" t="s">
        <v>186</v>
      </c>
      <c r="P184" t="s">
        <v>187</v>
      </c>
      <c r="S184" t="s">
        <v>550</v>
      </c>
      <c r="T184" t="str">
        <f>Table_TRM_Fixtures[[#This Row],[Fixture code  (TRM Data)]]</f>
        <v>LED132-FIXT</v>
      </c>
      <c r="U184" t="s">
        <v>2883</v>
      </c>
      <c r="V184" t="s">
        <v>185</v>
      </c>
      <c r="W184" t="s">
        <v>3120</v>
      </c>
      <c r="X184" t="s">
        <v>186</v>
      </c>
      <c r="AA184">
        <f>IF(Table_TRM_Fixtures[[#This Row],[Pre-EISA Baseline]]="Nominal", Table_TRM_Fixtures[[#This Row],[Fixture Watts  (TRM Data)]], Table_TRM_Fixtures[[#This Row],[Modified Baseline Fixture Watts]])</f>
        <v>132</v>
      </c>
    </row>
    <row r="185" spans="1:27" x14ac:dyDescent="0.2">
      <c r="A185" t="s">
        <v>553</v>
      </c>
      <c r="B185" t="s">
        <v>3664</v>
      </c>
      <c r="C185" t="s">
        <v>3665</v>
      </c>
      <c r="D185" t="s">
        <v>3666</v>
      </c>
      <c r="E185" t="s">
        <v>187</v>
      </c>
      <c r="F185" t="s">
        <v>186</v>
      </c>
      <c r="G185" t="s">
        <v>186</v>
      </c>
      <c r="H185">
        <v>133</v>
      </c>
      <c r="I185">
        <v>15</v>
      </c>
      <c r="J185" s="110">
        <v>183</v>
      </c>
      <c r="K185" t="s">
        <v>185</v>
      </c>
      <c r="L185">
        <f>IF(Table_TRM_Fixtures[[#This Row],[Technology]]="LED", Table_TRM_Fixtures[[#This Row],[Fixture Watts  (TRM Data)]], Table_TRM_Fixtures[[#This Row],[Lamp Watts  (TRM Data)]])</f>
        <v>133</v>
      </c>
      <c r="M185" t="str">
        <f>Table_TRM_Fixtures[[#This Row],[No. of Lamps  (TRM Data)]]</f>
        <v>N/A</v>
      </c>
      <c r="N185" t="s">
        <v>186</v>
      </c>
      <c r="O185" t="s">
        <v>186</v>
      </c>
      <c r="P185" t="s">
        <v>187</v>
      </c>
      <c r="S185" t="s">
        <v>552</v>
      </c>
      <c r="T185" t="str">
        <f>Table_TRM_Fixtures[[#This Row],[Fixture code  (TRM Data)]]</f>
        <v>LED133-FIXT</v>
      </c>
      <c r="U185" t="s">
        <v>2883</v>
      </c>
      <c r="V185" t="s">
        <v>185</v>
      </c>
      <c r="W185" t="s">
        <v>3120</v>
      </c>
      <c r="X185" t="s">
        <v>186</v>
      </c>
      <c r="AA185">
        <f>IF(Table_TRM_Fixtures[[#This Row],[Pre-EISA Baseline]]="Nominal", Table_TRM_Fixtures[[#This Row],[Fixture Watts  (TRM Data)]], Table_TRM_Fixtures[[#This Row],[Modified Baseline Fixture Watts]])</f>
        <v>133</v>
      </c>
    </row>
    <row r="186" spans="1:27" x14ac:dyDescent="0.2">
      <c r="A186" t="s">
        <v>555</v>
      </c>
      <c r="B186" t="s">
        <v>3667</v>
      </c>
      <c r="C186" t="s">
        <v>3668</v>
      </c>
      <c r="D186" t="s">
        <v>3669</v>
      </c>
      <c r="E186" t="s">
        <v>187</v>
      </c>
      <c r="F186" t="s">
        <v>186</v>
      </c>
      <c r="G186" t="s">
        <v>186</v>
      </c>
      <c r="H186">
        <v>134</v>
      </c>
      <c r="I186">
        <v>15</v>
      </c>
      <c r="J186" s="110">
        <v>184</v>
      </c>
      <c r="K186" t="s">
        <v>185</v>
      </c>
      <c r="L186">
        <f>IF(Table_TRM_Fixtures[[#This Row],[Technology]]="LED", Table_TRM_Fixtures[[#This Row],[Fixture Watts  (TRM Data)]], Table_TRM_Fixtures[[#This Row],[Lamp Watts  (TRM Data)]])</f>
        <v>134</v>
      </c>
      <c r="M186" t="str">
        <f>Table_TRM_Fixtures[[#This Row],[No. of Lamps  (TRM Data)]]</f>
        <v>N/A</v>
      </c>
      <c r="N186" t="s">
        <v>186</v>
      </c>
      <c r="O186" t="s">
        <v>186</v>
      </c>
      <c r="P186" t="s">
        <v>187</v>
      </c>
      <c r="S186" t="s">
        <v>554</v>
      </c>
      <c r="T186" t="str">
        <f>Table_TRM_Fixtures[[#This Row],[Fixture code  (TRM Data)]]</f>
        <v>LED134-FIXT</v>
      </c>
      <c r="U186" t="s">
        <v>2883</v>
      </c>
      <c r="V186" t="s">
        <v>185</v>
      </c>
      <c r="W186" t="s">
        <v>3120</v>
      </c>
      <c r="X186" t="s">
        <v>186</v>
      </c>
      <c r="AA186">
        <f>IF(Table_TRM_Fixtures[[#This Row],[Pre-EISA Baseline]]="Nominal", Table_TRM_Fixtures[[#This Row],[Fixture Watts  (TRM Data)]], Table_TRM_Fixtures[[#This Row],[Modified Baseline Fixture Watts]])</f>
        <v>134</v>
      </c>
    </row>
    <row r="187" spans="1:27" x14ac:dyDescent="0.2">
      <c r="A187" t="s">
        <v>557</v>
      </c>
      <c r="B187" t="s">
        <v>3670</v>
      </c>
      <c r="C187" t="s">
        <v>3671</v>
      </c>
      <c r="D187" t="s">
        <v>3672</v>
      </c>
      <c r="E187" t="s">
        <v>187</v>
      </c>
      <c r="F187" t="s">
        <v>186</v>
      </c>
      <c r="G187" t="s">
        <v>186</v>
      </c>
      <c r="H187">
        <v>135</v>
      </c>
      <c r="I187">
        <v>15</v>
      </c>
      <c r="J187" s="110">
        <v>185</v>
      </c>
      <c r="K187" t="s">
        <v>185</v>
      </c>
      <c r="L187">
        <f>IF(Table_TRM_Fixtures[[#This Row],[Technology]]="LED", Table_TRM_Fixtures[[#This Row],[Fixture Watts  (TRM Data)]], Table_TRM_Fixtures[[#This Row],[Lamp Watts  (TRM Data)]])</f>
        <v>135</v>
      </c>
      <c r="M187" t="str">
        <f>Table_TRM_Fixtures[[#This Row],[No. of Lamps  (TRM Data)]]</f>
        <v>N/A</v>
      </c>
      <c r="N187" t="s">
        <v>186</v>
      </c>
      <c r="O187" t="s">
        <v>186</v>
      </c>
      <c r="P187" t="s">
        <v>187</v>
      </c>
      <c r="S187" t="s">
        <v>556</v>
      </c>
      <c r="T187" t="str">
        <f>Table_TRM_Fixtures[[#This Row],[Fixture code  (TRM Data)]]</f>
        <v>LED135-FIXT</v>
      </c>
      <c r="U187" t="s">
        <v>2883</v>
      </c>
      <c r="V187" t="s">
        <v>185</v>
      </c>
      <c r="W187" t="s">
        <v>3120</v>
      </c>
      <c r="X187" t="s">
        <v>186</v>
      </c>
      <c r="AA187">
        <f>IF(Table_TRM_Fixtures[[#This Row],[Pre-EISA Baseline]]="Nominal", Table_TRM_Fixtures[[#This Row],[Fixture Watts  (TRM Data)]], Table_TRM_Fixtures[[#This Row],[Modified Baseline Fixture Watts]])</f>
        <v>135</v>
      </c>
    </row>
    <row r="188" spans="1:27" x14ac:dyDescent="0.2">
      <c r="A188" t="s">
        <v>559</v>
      </c>
      <c r="B188" t="s">
        <v>3673</v>
      </c>
      <c r="C188" t="s">
        <v>3674</v>
      </c>
      <c r="D188" t="s">
        <v>3675</v>
      </c>
      <c r="E188" t="s">
        <v>187</v>
      </c>
      <c r="F188" t="s">
        <v>186</v>
      </c>
      <c r="G188" t="s">
        <v>186</v>
      </c>
      <c r="H188">
        <v>136</v>
      </c>
      <c r="I188">
        <v>15</v>
      </c>
      <c r="J188" s="110">
        <v>186</v>
      </c>
      <c r="K188" t="s">
        <v>185</v>
      </c>
      <c r="L188">
        <f>IF(Table_TRM_Fixtures[[#This Row],[Technology]]="LED", Table_TRM_Fixtures[[#This Row],[Fixture Watts  (TRM Data)]], Table_TRM_Fixtures[[#This Row],[Lamp Watts  (TRM Data)]])</f>
        <v>136</v>
      </c>
      <c r="M188" t="str">
        <f>Table_TRM_Fixtures[[#This Row],[No. of Lamps  (TRM Data)]]</f>
        <v>N/A</v>
      </c>
      <c r="N188" t="s">
        <v>186</v>
      </c>
      <c r="O188" t="s">
        <v>186</v>
      </c>
      <c r="P188" t="s">
        <v>187</v>
      </c>
      <c r="S188" t="s">
        <v>558</v>
      </c>
      <c r="T188" t="str">
        <f>Table_TRM_Fixtures[[#This Row],[Fixture code  (TRM Data)]]</f>
        <v>LED136-FIXT</v>
      </c>
      <c r="U188" t="s">
        <v>2883</v>
      </c>
      <c r="V188" t="s">
        <v>185</v>
      </c>
      <c r="W188" t="s">
        <v>3120</v>
      </c>
      <c r="X188" t="s">
        <v>186</v>
      </c>
      <c r="AA188">
        <f>IF(Table_TRM_Fixtures[[#This Row],[Pre-EISA Baseline]]="Nominal", Table_TRM_Fixtures[[#This Row],[Fixture Watts  (TRM Data)]], Table_TRM_Fixtures[[#This Row],[Modified Baseline Fixture Watts]])</f>
        <v>136</v>
      </c>
    </row>
    <row r="189" spans="1:27" x14ac:dyDescent="0.2">
      <c r="A189" t="s">
        <v>561</v>
      </c>
      <c r="B189" t="s">
        <v>3676</v>
      </c>
      <c r="C189" t="s">
        <v>3677</v>
      </c>
      <c r="D189" t="s">
        <v>3678</v>
      </c>
      <c r="E189" t="s">
        <v>187</v>
      </c>
      <c r="F189" t="s">
        <v>186</v>
      </c>
      <c r="G189" t="s">
        <v>186</v>
      </c>
      <c r="H189">
        <v>137</v>
      </c>
      <c r="I189">
        <v>15</v>
      </c>
      <c r="J189" s="110">
        <v>187</v>
      </c>
      <c r="K189" t="s">
        <v>185</v>
      </c>
      <c r="L189">
        <f>IF(Table_TRM_Fixtures[[#This Row],[Technology]]="LED", Table_TRM_Fixtures[[#This Row],[Fixture Watts  (TRM Data)]], Table_TRM_Fixtures[[#This Row],[Lamp Watts  (TRM Data)]])</f>
        <v>137</v>
      </c>
      <c r="M189" t="str">
        <f>Table_TRM_Fixtures[[#This Row],[No. of Lamps  (TRM Data)]]</f>
        <v>N/A</v>
      </c>
      <c r="N189" t="s">
        <v>186</v>
      </c>
      <c r="O189" t="s">
        <v>186</v>
      </c>
      <c r="P189" t="s">
        <v>187</v>
      </c>
      <c r="S189" t="s">
        <v>560</v>
      </c>
      <c r="T189" t="str">
        <f>Table_TRM_Fixtures[[#This Row],[Fixture code  (TRM Data)]]</f>
        <v>LED137-FIXT</v>
      </c>
      <c r="U189" t="s">
        <v>2883</v>
      </c>
      <c r="V189" t="s">
        <v>185</v>
      </c>
      <c r="W189" t="s">
        <v>3120</v>
      </c>
      <c r="X189" t="s">
        <v>186</v>
      </c>
      <c r="AA189">
        <f>IF(Table_TRM_Fixtures[[#This Row],[Pre-EISA Baseline]]="Nominal", Table_TRM_Fixtures[[#This Row],[Fixture Watts  (TRM Data)]], Table_TRM_Fixtures[[#This Row],[Modified Baseline Fixture Watts]])</f>
        <v>137</v>
      </c>
    </row>
    <row r="190" spans="1:27" x14ac:dyDescent="0.2">
      <c r="A190" t="s">
        <v>563</v>
      </c>
      <c r="B190" t="s">
        <v>3679</v>
      </c>
      <c r="C190" t="s">
        <v>3680</v>
      </c>
      <c r="D190" t="s">
        <v>3681</v>
      </c>
      <c r="E190" t="s">
        <v>187</v>
      </c>
      <c r="F190" t="s">
        <v>186</v>
      </c>
      <c r="G190" t="s">
        <v>186</v>
      </c>
      <c r="H190">
        <v>138</v>
      </c>
      <c r="I190">
        <v>15</v>
      </c>
      <c r="J190" s="110">
        <v>188</v>
      </c>
      <c r="K190" t="s">
        <v>185</v>
      </c>
      <c r="L190">
        <f>IF(Table_TRM_Fixtures[[#This Row],[Technology]]="LED", Table_TRM_Fixtures[[#This Row],[Fixture Watts  (TRM Data)]], Table_TRM_Fixtures[[#This Row],[Lamp Watts  (TRM Data)]])</f>
        <v>138</v>
      </c>
      <c r="M190" t="str">
        <f>Table_TRM_Fixtures[[#This Row],[No. of Lamps  (TRM Data)]]</f>
        <v>N/A</v>
      </c>
      <c r="N190" t="s">
        <v>186</v>
      </c>
      <c r="O190" t="s">
        <v>186</v>
      </c>
      <c r="P190" t="s">
        <v>187</v>
      </c>
      <c r="S190" t="s">
        <v>562</v>
      </c>
      <c r="T190" t="str">
        <f>Table_TRM_Fixtures[[#This Row],[Fixture code  (TRM Data)]]</f>
        <v>LED138-FIXT</v>
      </c>
      <c r="U190" t="s">
        <v>2883</v>
      </c>
      <c r="V190" t="s">
        <v>185</v>
      </c>
      <c r="W190" t="s">
        <v>3120</v>
      </c>
      <c r="X190" t="s">
        <v>186</v>
      </c>
      <c r="AA190">
        <f>IF(Table_TRM_Fixtures[[#This Row],[Pre-EISA Baseline]]="Nominal", Table_TRM_Fixtures[[#This Row],[Fixture Watts  (TRM Data)]], Table_TRM_Fixtures[[#This Row],[Modified Baseline Fixture Watts]])</f>
        <v>138</v>
      </c>
    </row>
    <row r="191" spans="1:27" x14ac:dyDescent="0.2">
      <c r="A191" t="s">
        <v>565</v>
      </c>
      <c r="B191" t="s">
        <v>3682</v>
      </c>
      <c r="C191" t="s">
        <v>3683</v>
      </c>
      <c r="D191" t="s">
        <v>3684</v>
      </c>
      <c r="E191" t="s">
        <v>187</v>
      </c>
      <c r="F191" t="s">
        <v>186</v>
      </c>
      <c r="G191" t="s">
        <v>186</v>
      </c>
      <c r="H191">
        <v>139</v>
      </c>
      <c r="I191">
        <v>15</v>
      </c>
      <c r="J191" s="110">
        <v>189</v>
      </c>
      <c r="K191" t="s">
        <v>185</v>
      </c>
      <c r="L191">
        <f>IF(Table_TRM_Fixtures[[#This Row],[Technology]]="LED", Table_TRM_Fixtures[[#This Row],[Fixture Watts  (TRM Data)]], Table_TRM_Fixtures[[#This Row],[Lamp Watts  (TRM Data)]])</f>
        <v>139</v>
      </c>
      <c r="M191" t="str">
        <f>Table_TRM_Fixtures[[#This Row],[No. of Lamps  (TRM Data)]]</f>
        <v>N/A</v>
      </c>
      <c r="N191" t="s">
        <v>186</v>
      </c>
      <c r="O191" t="s">
        <v>186</v>
      </c>
      <c r="P191" t="s">
        <v>187</v>
      </c>
      <c r="S191" t="s">
        <v>564</v>
      </c>
      <c r="T191" t="str">
        <f>Table_TRM_Fixtures[[#This Row],[Fixture code  (TRM Data)]]</f>
        <v>LED139-FIXT</v>
      </c>
      <c r="U191" t="s">
        <v>2883</v>
      </c>
      <c r="V191" t="s">
        <v>185</v>
      </c>
      <c r="W191" t="s">
        <v>3120</v>
      </c>
      <c r="X191" t="s">
        <v>186</v>
      </c>
      <c r="AA191">
        <f>IF(Table_TRM_Fixtures[[#This Row],[Pre-EISA Baseline]]="Nominal", Table_TRM_Fixtures[[#This Row],[Fixture Watts  (TRM Data)]], Table_TRM_Fixtures[[#This Row],[Modified Baseline Fixture Watts]])</f>
        <v>139</v>
      </c>
    </row>
    <row r="192" spans="1:27" x14ac:dyDescent="0.2">
      <c r="A192" t="s">
        <v>567</v>
      </c>
      <c r="B192" t="s">
        <v>3685</v>
      </c>
      <c r="C192" t="s">
        <v>3686</v>
      </c>
      <c r="D192" t="s">
        <v>3687</v>
      </c>
      <c r="E192" t="s">
        <v>187</v>
      </c>
      <c r="F192" t="s">
        <v>186</v>
      </c>
      <c r="G192" t="s">
        <v>186</v>
      </c>
      <c r="H192">
        <v>140</v>
      </c>
      <c r="I192">
        <v>15</v>
      </c>
      <c r="J192" s="110">
        <v>190</v>
      </c>
      <c r="K192" t="s">
        <v>185</v>
      </c>
      <c r="L192">
        <f>IF(Table_TRM_Fixtures[[#This Row],[Technology]]="LED", Table_TRM_Fixtures[[#This Row],[Fixture Watts  (TRM Data)]], Table_TRM_Fixtures[[#This Row],[Lamp Watts  (TRM Data)]])</f>
        <v>140</v>
      </c>
      <c r="M192" t="str">
        <f>Table_TRM_Fixtures[[#This Row],[No. of Lamps  (TRM Data)]]</f>
        <v>N/A</v>
      </c>
      <c r="N192" t="s">
        <v>186</v>
      </c>
      <c r="O192" t="s">
        <v>186</v>
      </c>
      <c r="P192" t="s">
        <v>187</v>
      </c>
      <c r="S192" t="s">
        <v>566</v>
      </c>
      <c r="T192" t="str">
        <f>Table_TRM_Fixtures[[#This Row],[Fixture code  (TRM Data)]]</f>
        <v>LED140-FIXT</v>
      </c>
      <c r="U192" t="s">
        <v>2883</v>
      </c>
      <c r="V192" t="s">
        <v>185</v>
      </c>
      <c r="W192" t="s">
        <v>3120</v>
      </c>
      <c r="X192" t="s">
        <v>186</v>
      </c>
      <c r="AA192">
        <f>IF(Table_TRM_Fixtures[[#This Row],[Pre-EISA Baseline]]="Nominal", Table_TRM_Fixtures[[#This Row],[Fixture Watts  (TRM Data)]], Table_TRM_Fixtures[[#This Row],[Modified Baseline Fixture Watts]])</f>
        <v>140</v>
      </c>
    </row>
    <row r="193" spans="1:27" x14ac:dyDescent="0.2">
      <c r="A193" t="s">
        <v>569</v>
      </c>
      <c r="B193" t="s">
        <v>3688</v>
      </c>
      <c r="C193" t="s">
        <v>3689</v>
      </c>
      <c r="D193" t="s">
        <v>3690</v>
      </c>
      <c r="E193" t="s">
        <v>187</v>
      </c>
      <c r="F193" t="s">
        <v>186</v>
      </c>
      <c r="G193" t="s">
        <v>186</v>
      </c>
      <c r="H193">
        <v>141</v>
      </c>
      <c r="I193">
        <v>15</v>
      </c>
      <c r="J193" s="110">
        <v>191</v>
      </c>
      <c r="K193" t="s">
        <v>185</v>
      </c>
      <c r="L193">
        <f>IF(Table_TRM_Fixtures[[#This Row],[Technology]]="LED", Table_TRM_Fixtures[[#This Row],[Fixture Watts  (TRM Data)]], Table_TRM_Fixtures[[#This Row],[Lamp Watts  (TRM Data)]])</f>
        <v>141</v>
      </c>
      <c r="M193" t="str">
        <f>Table_TRM_Fixtures[[#This Row],[No. of Lamps  (TRM Data)]]</f>
        <v>N/A</v>
      </c>
      <c r="N193" t="s">
        <v>186</v>
      </c>
      <c r="O193" t="s">
        <v>186</v>
      </c>
      <c r="P193" t="s">
        <v>187</v>
      </c>
      <c r="S193" t="s">
        <v>568</v>
      </c>
      <c r="T193" t="str">
        <f>Table_TRM_Fixtures[[#This Row],[Fixture code  (TRM Data)]]</f>
        <v>LED141-FIXT</v>
      </c>
      <c r="U193" t="s">
        <v>2883</v>
      </c>
      <c r="V193" t="s">
        <v>185</v>
      </c>
      <c r="W193" t="s">
        <v>3120</v>
      </c>
      <c r="X193" t="s">
        <v>186</v>
      </c>
      <c r="AA193">
        <f>IF(Table_TRM_Fixtures[[#This Row],[Pre-EISA Baseline]]="Nominal", Table_TRM_Fixtures[[#This Row],[Fixture Watts  (TRM Data)]], Table_TRM_Fixtures[[#This Row],[Modified Baseline Fixture Watts]])</f>
        <v>141</v>
      </c>
    </row>
    <row r="194" spans="1:27" x14ac:dyDescent="0.2">
      <c r="A194" t="s">
        <v>571</v>
      </c>
      <c r="B194" t="s">
        <v>3691</v>
      </c>
      <c r="C194" t="s">
        <v>3692</v>
      </c>
      <c r="D194" t="s">
        <v>3693</v>
      </c>
      <c r="E194" t="s">
        <v>187</v>
      </c>
      <c r="F194" t="s">
        <v>186</v>
      </c>
      <c r="G194" t="s">
        <v>186</v>
      </c>
      <c r="H194">
        <v>142</v>
      </c>
      <c r="I194">
        <v>15</v>
      </c>
      <c r="J194" s="110">
        <v>192</v>
      </c>
      <c r="K194" t="s">
        <v>185</v>
      </c>
      <c r="L194">
        <f>IF(Table_TRM_Fixtures[[#This Row],[Technology]]="LED", Table_TRM_Fixtures[[#This Row],[Fixture Watts  (TRM Data)]], Table_TRM_Fixtures[[#This Row],[Lamp Watts  (TRM Data)]])</f>
        <v>142</v>
      </c>
      <c r="M194" t="str">
        <f>Table_TRM_Fixtures[[#This Row],[No. of Lamps  (TRM Data)]]</f>
        <v>N/A</v>
      </c>
      <c r="N194" t="s">
        <v>186</v>
      </c>
      <c r="O194" t="s">
        <v>186</v>
      </c>
      <c r="P194" t="s">
        <v>187</v>
      </c>
      <c r="S194" t="s">
        <v>570</v>
      </c>
      <c r="T194" t="str">
        <f>Table_TRM_Fixtures[[#This Row],[Fixture code  (TRM Data)]]</f>
        <v>LED142-FIXT</v>
      </c>
      <c r="U194" t="s">
        <v>2883</v>
      </c>
      <c r="V194" t="s">
        <v>185</v>
      </c>
      <c r="W194" t="s">
        <v>3120</v>
      </c>
      <c r="X194" t="s">
        <v>186</v>
      </c>
      <c r="AA194">
        <f>IF(Table_TRM_Fixtures[[#This Row],[Pre-EISA Baseline]]="Nominal", Table_TRM_Fixtures[[#This Row],[Fixture Watts  (TRM Data)]], Table_TRM_Fixtures[[#This Row],[Modified Baseline Fixture Watts]])</f>
        <v>142</v>
      </c>
    </row>
    <row r="195" spans="1:27" x14ac:dyDescent="0.2">
      <c r="A195" t="s">
        <v>573</v>
      </c>
      <c r="B195" t="s">
        <v>3694</v>
      </c>
      <c r="C195" t="s">
        <v>3695</v>
      </c>
      <c r="D195" t="s">
        <v>3696</v>
      </c>
      <c r="E195" t="s">
        <v>187</v>
      </c>
      <c r="F195" t="s">
        <v>186</v>
      </c>
      <c r="G195" t="s">
        <v>186</v>
      </c>
      <c r="H195">
        <v>143</v>
      </c>
      <c r="I195">
        <v>15</v>
      </c>
      <c r="J195" s="110">
        <v>193</v>
      </c>
      <c r="K195" t="s">
        <v>185</v>
      </c>
      <c r="L195">
        <f>IF(Table_TRM_Fixtures[[#This Row],[Technology]]="LED", Table_TRM_Fixtures[[#This Row],[Fixture Watts  (TRM Data)]], Table_TRM_Fixtures[[#This Row],[Lamp Watts  (TRM Data)]])</f>
        <v>143</v>
      </c>
      <c r="M195" t="str">
        <f>Table_TRM_Fixtures[[#This Row],[No. of Lamps  (TRM Data)]]</f>
        <v>N/A</v>
      </c>
      <c r="N195" t="s">
        <v>186</v>
      </c>
      <c r="O195" t="s">
        <v>186</v>
      </c>
      <c r="P195" t="s">
        <v>187</v>
      </c>
      <c r="S195" t="s">
        <v>572</v>
      </c>
      <c r="T195" t="str">
        <f>Table_TRM_Fixtures[[#This Row],[Fixture code  (TRM Data)]]</f>
        <v>LED143-FIXT</v>
      </c>
      <c r="U195" t="s">
        <v>2883</v>
      </c>
      <c r="V195" t="s">
        <v>185</v>
      </c>
      <c r="W195" t="s">
        <v>3120</v>
      </c>
      <c r="X195" t="s">
        <v>186</v>
      </c>
      <c r="AA195">
        <f>IF(Table_TRM_Fixtures[[#This Row],[Pre-EISA Baseline]]="Nominal", Table_TRM_Fixtures[[#This Row],[Fixture Watts  (TRM Data)]], Table_TRM_Fixtures[[#This Row],[Modified Baseline Fixture Watts]])</f>
        <v>143</v>
      </c>
    </row>
    <row r="196" spans="1:27" x14ac:dyDescent="0.2">
      <c r="A196" t="s">
        <v>575</v>
      </c>
      <c r="B196" t="s">
        <v>3697</v>
      </c>
      <c r="C196" t="s">
        <v>3698</v>
      </c>
      <c r="D196" t="s">
        <v>3699</v>
      </c>
      <c r="E196" t="s">
        <v>187</v>
      </c>
      <c r="F196" t="s">
        <v>186</v>
      </c>
      <c r="G196" t="s">
        <v>186</v>
      </c>
      <c r="H196">
        <v>144</v>
      </c>
      <c r="I196">
        <v>15</v>
      </c>
      <c r="J196" s="110">
        <v>194</v>
      </c>
      <c r="K196" t="s">
        <v>185</v>
      </c>
      <c r="L196">
        <f>IF(Table_TRM_Fixtures[[#This Row],[Technology]]="LED", Table_TRM_Fixtures[[#This Row],[Fixture Watts  (TRM Data)]], Table_TRM_Fixtures[[#This Row],[Lamp Watts  (TRM Data)]])</f>
        <v>144</v>
      </c>
      <c r="M196" t="str">
        <f>Table_TRM_Fixtures[[#This Row],[No. of Lamps  (TRM Data)]]</f>
        <v>N/A</v>
      </c>
      <c r="N196" t="s">
        <v>186</v>
      </c>
      <c r="O196" t="s">
        <v>186</v>
      </c>
      <c r="P196" t="s">
        <v>187</v>
      </c>
      <c r="S196" t="s">
        <v>574</v>
      </c>
      <c r="T196" t="str">
        <f>Table_TRM_Fixtures[[#This Row],[Fixture code  (TRM Data)]]</f>
        <v>LED144-FIXT</v>
      </c>
      <c r="U196" t="s">
        <v>2883</v>
      </c>
      <c r="V196" t="s">
        <v>185</v>
      </c>
      <c r="W196" t="s">
        <v>3120</v>
      </c>
      <c r="X196" t="s">
        <v>186</v>
      </c>
      <c r="AA196">
        <f>IF(Table_TRM_Fixtures[[#This Row],[Pre-EISA Baseline]]="Nominal", Table_TRM_Fixtures[[#This Row],[Fixture Watts  (TRM Data)]], Table_TRM_Fixtures[[#This Row],[Modified Baseline Fixture Watts]])</f>
        <v>144</v>
      </c>
    </row>
    <row r="197" spans="1:27" x14ac:dyDescent="0.2">
      <c r="A197" t="s">
        <v>577</v>
      </c>
      <c r="B197" t="s">
        <v>3700</v>
      </c>
      <c r="C197" t="s">
        <v>3701</v>
      </c>
      <c r="D197" t="s">
        <v>3702</v>
      </c>
      <c r="E197" t="s">
        <v>187</v>
      </c>
      <c r="F197" t="s">
        <v>186</v>
      </c>
      <c r="G197" t="s">
        <v>186</v>
      </c>
      <c r="H197">
        <v>145</v>
      </c>
      <c r="I197">
        <v>15</v>
      </c>
      <c r="J197" s="110">
        <v>195</v>
      </c>
      <c r="K197" t="s">
        <v>185</v>
      </c>
      <c r="L197">
        <f>IF(Table_TRM_Fixtures[[#This Row],[Technology]]="LED", Table_TRM_Fixtures[[#This Row],[Fixture Watts  (TRM Data)]], Table_TRM_Fixtures[[#This Row],[Lamp Watts  (TRM Data)]])</f>
        <v>145</v>
      </c>
      <c r="M197" t="str">
        <f>Table_TRM_Fixtures[[#This Row],[No. of Lamps  (TRM Data)]]</f>
        <v>N/A</v>
      </c>
      <c r="N197" t="s">
        <v>186</v>
      </c>
      <c r="O197" t="s">
        <v>186</v>
      </c>
      <c r="P197" t="s">
        <v>187</v>
      </c>
      <c r="S197" t="s">
        <v>576</v>
      </c>
      <c r="T197" t="str">
        <f>Table_TRM_Fixtures[[#This Row],[Fixture code  (TRM Data)]]</f>
        <v>LED145-FIXT</v>
      </c>
      <c r="U197" t="s">
        <v>2883</v>
      </c>
      <c r="V197" t="s">
        <v>185</v>
      </c>
      <c r="W197" t="s">
        <v>3120</v>
      </c>
      <c r="X197" t="s">
        <v>186</v>
      </c>
      <c r="AA197">
        <f>IF(Table_TRM_Fixtures[[#This Row],[Pre-EISA Baseline]]="Nominal", Table_TRM_Fixtures[[#This Row],[Fixture Watts  (TRM Data)]], Table_TRM_Fixtures[[#This Row],[Modified Baseline Fixture Watts]])</f>
        <v>145</v>
      </c>
    </row>
    <row r="198" spans="1:27" x14ac:dyDescent="0.2">
      <c r="A198" t="s">
        <v>579</v>
      </c>
      <c r="B198" t="s">
        <v>3703</v>
      </c>
      <c r="C198" t="s">
        <v>3704</v>
      </c>
      <c r="D198" t="s">
        <v>3705</v>
      </c>
      <c r="E198" t="s">
        <v>187</v>
      </c>
      <c r="F198" t="s">
        <v>186</v>
      </c>
      <c r="G198" t="s">
        <v>186</v>
      </c>
      <c r="H198">
        <v>146</v>
      </c>
      <c r="I198">
        <v>15</v>
      </c>
      <c r="J198" s="110">
        <v>196</v>
      </c>
      <c r="K198" t="s">
        <v>185</v>
      </c>
      <c r="L198">
        <f>IF(Table_TRM_Fixtures[[#This Row],[Technology]]="LED", Table_TRM_Fixtures[[#This Row],[Fixture Watts  (TRM Data)]], Table_TRM_Fixtures[[#This Row],[Lamp Watts  (TRM Data)]])</f>
        <v>146</v>
      </c>
      <c r="M198" t="str">
        <f>Table_TRM_Fixtures[[#This Row],[No. of Lamps  (TRM Data)]]</f>
        <v>N/A</v>
      </c>
      <c r="N198" t="s">
        <v>186</v>
      </c>
      <c r="O198" t="s">
        <v>186</v>
      </c>
      <c r="P198" t="s">
        <v>187</v>
      </c>
      <c r="S198" t="s">
        <v>578</v>
      </c>
      <c r="T198" t="str">
        <f>Table_TRM_Fixtures[[#This Row],[Fixture code  (TRM Data)]]</f>
        <v>LED146-FIXT</v>
      </c>
      <c r="U198" t="s">
        <v>2883</v>
      </c>
      <c r="V198" t="s">
        <v>185</v>
      </c>
      <c r="W198" t="s">
        <v>3120</v>
      </c>
      <c r="X198" t="s">
        <v>186</v>
      </c>
      <c r="AA198">
        <f>IF(Table_TRM_Fixtures[[#This Row],[Pre-EISA Baseline]]="Nominal", Table_TRM_Fixtures[[#This Row],[Fixture Watts  (TRM Data)]], Table_TRM_Fixtures[[#This Row],[Modified Baseline Fixture Watts]])</f>
        <v>146</v>
      </c>
    </row>
    <row r="199" spans="1:27" x14ac:dyDescent="0.2">
      <c r="A199" t="s">
        <v>581</v>
      </c>
      <c r="B199" t="s">
        <v>3706</v>
      </c>
      <c r="C199" t="s">
        <v>3707</v>
      </c>
      <c r="D199" t="s">
        <v>3708</v>
      </c>
      <c r="E199" t="s">
        <v>187</v>
      </c>
      <c r="F199" t="s">
        <v>186</v>
      </c>
      <c r="G199" t="s">
        <v>186</v>
      </c>
      <c r="H199">
        <v>147</v>
      </c>
      <c r="I199">
        <v>15</v>
      </c>
      <c r="J199" s="110">
        <v>197</v>
      </c>
      <c r="K199" t="s">
        <v>185</v>
      </c>
      <c r="L199">
        <f>IF(Table_TRM_Fixtures[[#This Row],[Technology]]="LED", Table_TRM_Fixtures[[#This Row],[Fixture Watts  (TRM Data)]], Table_TRM_Fixtures[[#This Row],[Lamp Watts  (TRM Data)]])</f>
        <v>147</v>
      </c>
      <c r="M199" t="str">
        <f>Table_TRM_Fixtures[[#This Row],[No. of Lamps  (TRM Data)]]</f>
        <v>N/A</v>
      </c>
      <c r="N199" t="s">
        <v>186</v>
      </c>
      <c r="O199" t="s">
        <v>186</v>
      </c>
      <c r="P199" t="s">
        <v>187</v>
      </c>
      <c r="S199" t="s">
        <v>580</v>
      </c>
      <c r="T199" t="str">
        <f>Table_TRM_Fixtures[[#This Row],[Fixture code  (TRM Data)]]</f>
        <v>LED147-FIXT</v>
      </c>
      <c r="U199" t="s">
        <v>2883</v>
      </c>
      <c r="V199" t="s">
        <v>185</v>
      </c>
      <c r="W199" t="s">
        <v>3120</v>
      </c>
      <c r="X199" t="s">
        <v>186</v>
      </c>
      <c r="AA199">
        <f>IF(Table_TRM_Fixtures[[#This Row],[Pre-EISA Baseline]]="Nominal", Table_TRM_Fixtures[[#This Row],[Fixture Watts  (TRM Data)]], Table_TRM_Fixtures[[#This Row],[Modified Baseline Fixture Watts]])</f>
        <v>147</v>
      </c>
    </row>
    <row r="200" spans="1:27" x14ac:dyDescent="0.2">
      <c r="A200" t="s">
        <v>583</v>
      </c>
      <c r="B200" t="s">
        <v>3709</v>
      </c>
      <c r="C200" t="s">
        <v>3710</v>
      </c>
      <c r="D200" t="s">
        <v>3711</v>
      </c>
      <c r="E200" t="s">
        <v>187</v>
      </c>
      <c r="F200" t="s">
        <v>186</v>
      </c>
      <c r="G200" t="s">
        <v>186</v>
      </c>
      <c r="H200">
        <v>148</v>
      </c>
      <c r="I200">
        <v>15</v>
      </c>
      <c r="J200" s="110">
        <v>198</v>
      </c>
      <c r="K200" t="s">
        <v>185</v>
      </c>
      <c r="L200">
        <f>IF(Table_TRM_Fixtures[[#This Row],[Technology]]="LED", Table_TRM_Fixtures[[#This Row],[Fixture Watts  (TRM Data)]], Table_TRM_Fixtures[[#This Row],[Lamp Watts  (TRM Data)]])</f>
        <v>148</v>
      </c>
      <c r="M200" t="str">
        <f>Table_TRM_Fixtures[[#This Row],[No. of Lamps  (TRM Data)]]</f>
        <v>N/A</v>
      </c>
      <c r="N200" t="s">
        <v>186</v>
      </c>
      <c r="O200" t="s">
        <v>186</v>
      </c>
      <c r="P200" t="s">
        <v>187</v>
      </c>
      <c r="S200" t="s">
        <v>582</v>
      </c>
      <c r="T200" t="str">
        <f>Table_TRM_Fixtures[[#This Row],[Fixture code  (TRM Data)]]</f>
        <v>LED148-FIXT</v>
      </c>
      <c r="U200" t="s">
        <v>2883</v>
      </c>
      <c r="V200" t="s">
        <v>185</v>
      </c>
      <c r="W200" t="s">
        <v>3120</v>
      </c>
      <c r="X200" t="s">
        <v>186</v>
      </c>
      <c r="AA200">
        <f>IF(Table_TRM_Fixtures[[#This Row],[Pre-EISA Baseline]]="Nominal", Table_TRM_Fixtures[[#This Row],[Fixture Watts  (TRM Data)]], Table_TRM_Fixtures[[#This Row],[Modified Baseline Fixture Watts]])</f>
        <v>148</v>
      </c>
    </row>
    <row r="201" spans="1:27" x14ac:dyDescent="0.2">
      <c r="A201" t="s">
        <v>585</v>
      </c>
      <c r="B201" t="s">
        <v>3712</v>
      </c>
      <c r="C201" t="s">
        <v>3713</v>
      </c>
      <c r="D201" t="s">
        <v>3714</v>
      </c>
      <c r="E201" t="s">
        <v>187</v>
      </c>
      <c r="F201" t="s">
        <v>186</v>
      </c>
      <c r="G201" t="s">
        <v>186</v>
      </c>
      <c r="H201">
        <v>149</v>
      </c>
      <c r="I201">
        <v>15</v>
      </c>
      <c r="J201" s="110">
        <v>199</v>
      </c>
      <c r="K201" t="s">
        <v>185</v>
      </c>
      <c r="L201">
        <f>IF(Table_TRM_Fixtures[[#This Row],[Technology]]="LED", Table_TRM_Fixtures[[#This Row],[Fixture Watts  (TRM Data)]], Table_TRM_Fixtures[[#This Row],[Lamp Watts  (TRM Data)]])</f>
        <v>149</v>
      </c>
      <c r="M201" t="str">
        <f>Table_TRM_Fixtures[[#This Row],[No. of Lamps  (TRM Data)]]</f>
        <v>N/A</v>
      </c>
      <c r="N201" t="s">
        <v>186</v>
      </c>
      <c r="O201" t="s">
        <v>186</v>
      </c>
      <c r="P201" t="s">
        <v>187</v>
      </c>
      <c r="S201" t="s">
        <v>584</v>
      </c>
      <c r="T201" t="str">
        <f>Table_TRM_Fixtures[[#This Row],[Fixture code  (TRM Data)]]</f>
        <v>LED149-FIXT</v>
      </c>
      <c r="U201" t="s">
        <v>2883</v>
      </c>
      <c r="V201" t="s">
        <v>185</v>
      </c>
      <c r="W201" t="s">
        <v>3120</v>
      </c>
      <c r="X201" t="s">
        <v>186</v>
      </c>
      <c r="AA201">
        <f>IF(Table_TRM_Fixtures[[#This Row],[Pre-EISA Baseline]]="Nominal", Table_TRM_Fixtures[[#This Row],[Fixture Watts  (TRM Data)]], Table_TRM_Fixtures[[#This Row],[Modified Baseline Fixture Watts]])</f>
        <v>149</v>
      </c>
    </row>
    <row r="202" spans="1:27" x14ac:dyDescent="0.2">
      <c r="A202" t="s">
        <v>587</v>
      </c>
      <c r="B202" t="s">
        <v>3715</v>
      </c>
      <c r="C202" t="s">
        <v>3716</v>
      </c>
      <c r="D202" t="s">
        <v>3717</v>
      </c>
      <c r="E202" t="s">
        <v>187</v>
      </c>
      <c r="F202" t="s">
        <v>186</v>
      </c>
      <c r="G202" t="s">
        <v>186</v>
      </c>
      <c r="H202">
        <v>150</v>
      </c>
      <c r="I202">
        <v>15</v>
      </c>
      <c r="J202" s="110">
        <v>200</v>
      </c>
      <c r="K202" t="s">
        <v>185</v>
      </c>
      <c r="L202">
        <f>IF(Table_TRM_Fixtures[[#This Row],[Technology]]="LED", Table_TRM_Fixtures[[#This Row],[Fixture Watts  (TRM Data)]], Table_TRM_Fixtures[[#This Row],[Lamp Watts  (TRM Data)]])</f>
        <v>150</v>
      </c>
      <c r="M202" t="str">
        <f>Table_TRM_Fixtures[[#This Row],[No. of Lamps  (TRM Data)]]</f>
        <v>N/A</v>
      </c>
      <c r="N202" t="s">
        <v>186</v>
      </c>
      <c r="O202" t="s">
        <v>186</v>
      </c>
      <c r="P202" t="s">
        <v>187</v>
      </c>
      <c r="S202" t="s">
        <v>586</v>
      </c>
      <c r="T202" t="str">
        <f>Table_TRM_Fixtures[[#This Row],[Fixture code  (TRM Data)]]</f>
        <v>LED150-FIXT</v>
      </c>
      <c r="U202" t="s">
        <v>2883</v>
      </c>
      <c r="V202" t="s">
        <v>185</v>
      </c>
      <c r="W202" t="s">
        <v>3120</v>
      </c>
      <c r="X202" t="s">
        <v>186</v>
      </c>
      <c r="AA202">
        <f>IF(Table_TRM_Fixtures[[#This Row],[Pre-EISA Baseline]]="Nominal", Table_TRM_Fixtures[[#This Row],[Fixture Watts  (TRM Data)]], Table_TRM_Fixtures[[#This Row],[Modified Baseline Fixture Watts]])</f>
        <v>150</v>
      </c>
    </row>
    <row r="203" spans="1:27" x14ac:dyDescent="0.2">
      <c r="A203" t="s">
        <v>589</v>
      </c>
      <c r="B203" t="s">
        <v>3718</v>
      </c>
      <c r="C203" t="s">
        <v>3719</v>
      </c>
      <c r="D203" t="s">
        <v>3720</v>
      </c>
      <c r="E203" t="s">
        <v>187</v>
      </c>
      <c r="F203" t="s">
        <v>186</v>
      </c>
      <c r="G203" t="s">
        <v>186</v>
      </c>
      <c r="H203">
        <v>151</v>
      </c>
      <c r="I203">
        <v>15</v>
      </c>
      <c r="J203" s="110">
        <v>201</v>
      </c>
      <c r="K203" t="s">
        <v>185</v>
      </c>
      <c r="L203">
        <f>IF(Table_TRM_Fixtures[[#This Row],[Technology]]="LED", Table_TRM_Fixtures[[#This Row],[Fixture Watts  (TRM Data)]], Table_TRM_Fixtures[[#This Row],[Lamp Watts  (TRM Data)]])</f>
        <v>151</v>
      </c>
      <c r="M203" t="str">
        <f>Table_TRM_Fixtures[[#This Row],[No. of Lamps  (TRM Data)]]</f>
        <v>N/A</v>
      </c>
      <c r="N203" t="s">
        <v>186</v>
      </c>
      <c r="O203" t="s">
        <v>186</v>
      </c>
      <c r="P203" t="s">
        <v>187</v>
      </c>
      <c r="S203" t="s">
        <v>588</v>
      </c>
      <c r="T203" t="str">
        <f>Table_TRM_Fixtures[[#This Row],[Fixture code  (TRM Data)]]</f>
        <v>LED151-FIXT</v>
      </c>
      <c r="U203" t="s">
        <v>2883</v>
      </c>
      <c r="V203" t="s">
        <v>185</v>
      </c>
      <c r="W203" t="s">
        <v>3120</v>
      </c>
      <c r="X203" t="s">
        <v>186</v>
      </c>
      <c r="AA203">
        <f>IF(Table_TRM_Fixtures[[#This Row],[Pre-EISA Baseline]]="Nominal", Table_TRM_Fixtures[[#This Row],[Fixture Watts  (TRM Data)]], Table_TRM_Fixtures[[#This Row],[Modified Baseline Fixture Watts]])</f>
        <v>151</v>
      </c>
    </row>
    <row r="204" spans="1:27" x14ac:dyDescent="0.2">
      <c r="A204" t="s">
        <v>591</v>
      </c>
      <c r="B204" t="s">
        <v>3721</v>
      </c>
      <c r="C204" t="s">
        <v>3722</v>
      </c>
      <c r="D204" t="s">
        <v>3723</v>
      </c>
      <c r="E204" t="s">
        <v>187</v>
      </c>
      <c r="F204" t="s">
        <v>186</v>
      </c>
      <c r="G204" t="s">
        <v>186</v>
      </c>
      <c r="H204">
        <v>152</v>
      </c>
      <c r="I204">
        <v>15</v>
      </c>
      <c r="J204" s="110">
        <v>202</v>
      </c>
      <c r="K204" t="s">
        <v>185</v>
      </c>
      <c r="L204">
        <f>IF(Table_TRM_Fixtures[[#This Row],[Technology]]="LED", Table_TRM_Fixtures[[#This Row],[Fixture Watts  (TRM Data)]], Table_TRM_Fixtures[[#This Row],[Lamp Watts  (TRM Data)]])</f>
        <v>152</v>
      </c>
      <c r="M204" t="str">
        <f>Table_TRM_Fixtures[[#This Row],[No. of Lamps  (TRM Data)]]</f>
        <v>N/A</v>
      </c>
      <c r="N204" t="s">
        <v>186</v>
      </c>
      <c r="O204" t="s">
        <v>186</v>
      </c>
      <c r="P204" t="s">
        <v>187</v>
      </c>
      <c r="S204" t="s">
        <v>590</v>
      </c>
      <c r="T204" t="str">
        <f>Table_TRM_Fixtures[[#This Row],[Fixture code  (TRM Data)]]</f>
        <v>LED152-FIXT</v>
      </c>
      <c r="U204" t="s">
        <v>2883</v>
      </c>
      <c r="V204" t="s">
        <v>185</v>
      </c>
      <c r="W204" t="s">
        <v>3120</v>
      </c>
      <c r="X204" t="s">
        <v>186</v>
      </c>
      <c r="AA204">
        <f>IF(Table_TRM_Fixtures[[#This Row],[Pre-EISA Baseline]]="Nominal", Table_TRM_Fixtures[[#This Row],[Fixture Watts  (TRM Data)]], Table_TRM_Fixtures[[#This Row],[Modified Baseline Fixture Watts]])</f>
        <v>152</v>
      </c>
    </row>
    <row r="205" spans="1:27" x14ac:dyDescent="0.2">
      <c r="A205" t="s">
        <v>593</v>
      </c>
      <c r="B205" t="s">
        <v>3724</v>
      </c>
      <c r="C205" t="s">
        <v>3725</v>
      </c>
      <c r="D205" t="s">
        <v>3726</v>
      </c>
      <c r="E205" t="s">
        <v>187</v>
      </c>
      <c r="F205" t="s">
        <v>186</v>
      </c>
      <c r="G205" t="s">
        <v>186</v>
      </c>
      <c r="H205">
        <v>153</v>
      </c>
      <c r="I205">
        <v>15</v>
      </c>
      <c r="J205" s="110">
        <v>203</v>
      </c>
      <c r="K205" t="s">
        <v>185</v>
      </c>
      <c r="L205">
        <f>IF(Table_TRM_Fixtures[[#This Row],[Technology]]="LED", Table_TRM_Fixtures[[#This Row],[Fixture Watts  (TRM Data)]], Table_TRM_Fixtures[[#This Row],[Lamp Watts  (TRM Data)]])</f>
        <v>153</v>
      </c>
      <c r="M205" t="str">
        <f>Table_TRM_Fixtures[[#This Row],[No. of Lamps  (TRM Data)]]</f>
        <v>N/A</v>
      </c>
      <c r="N205" t="s">
        <v>186</v>
      </c>
      <c r="O205" t="s">
        <v>186</v>
      </c>
      <c r="P205" t="s">
        <v>187</v>
      </c>
      <c r="S205" t="s">
        <v>592</v>
      </c>
      <c r="T205" t="str">
        <f>Table_TRM_Fixtures[[#This Row],[Fixture code  (TRM Data)]]</f>
        <v>LED153-FIXT</v>
      </c>
      <c r="U205" t="s">
        <v>2883</v>
      </c>
      <c r="V205" t="s">
        <v>185</v>
      </c>
      <c r="W205" t="s">
        <v>3120</v>
      </c>
      <c r="X205" t="s">
        <v>186</v>
      </c>
      <c r="AA205">
        <f>IF(Table_TRM_Fixtures[[#This Row],[Pre-EISA Baseline]]="Nominal", Table_TRM_Fixtures[[#This Row],[Fixture Watts  (TRM Data)]], Table_TRM_Fixtures[[#This Row],[Modified Baseline Fixture Watts]])</f>
        <v>153</v>
      </c>
    </row>
    <row r="206" spans="1:27" x14ac:dyDescent="0.2">
      <c r="A206" t="s">
        <v>595</v>
      </c>
      <c r="B206" t="s">
        <v>3727</v>
      </c>
      <c r="C206" t="s">
        <v>3728</v>
      </c>
      <c r="D206" t="s">
        <v>3729</v>
      </c>
      <c r="E206" t="s">
        <v>187</v>
      </c>
      <c r="F206" t="s">
        <v>186</v>
      </c>
      <c r="G206" t="s">
        <v>186</v>
      </c>
      <c r="H206">
        <v>154</v>
      </c>
      <c r="I206">
        <v>15</v>
      </c>
      <c r="J206" s="110">
        <v>204</v>
      </c>
      <c r="K206" t="s">
        <v>185</v>
      </c>
      <c r="L206">
        <f>IF(Table_TRM_Fixtures[[#This Row],[Technology]]="LED", Table_TRM_Fixtures[[#This Row],[Fixture Watts  (TRM Data)]], Table_TRM_Fixtures[[#This Row],[Lamp Watts  (TRM Data)]])</f>
        <v>154</v>
      </c>
      <c r="M206" t="str">
        <f>Table_TRM_Fixtures[[#This Row],[No. of Lamps  (TRM Data)]]</f>
        <v>N/A</v>
      </c>
      <c r="N206" t="s">
        <v>186</v>
      </c>
      <c r="O206" t="s">
        <v>186</v>
      </c>
      <c r="P206" t="s">
        <v>187</v>
      </c>
      <c r="S206" t="s">
        <v>594</v>
      </c>
      <c r="T206" t="str">
        <f>Table_TRM_Fixtures[[#This Row],[Fixture code  (TRM Data)]]</f>
        <v>LED154-FIXT</v>
      </c>
      <c r="U206" t="s">
        <v>2883</v>
      </c>
      <c r="V206" t="s">
        <v>185</v>
      </c>
      <c r="W206" t="s">
        <v>3120</v>
      </c>
      <c r="X206" t="s">
        <v>186</v>
      </c>
      <c r="AA206">
        <f>IF(Table_TRM_Fixtures[[#This Row],[Pre-EISA Baseline]]="Nominal", Table_TRM_Fixtures[[#This Row],[Fixture Watts  (TRM Data)]], Table_TRM_Fixtures[[#This Row],[Modified Baseline Fixture Watts]])</f>
        <v>154</v>
      </c>
    </row>
    <row r="207" spans="1:27" x14ac:dyDescent="0.2">
      <c r="A207" t="s">
        <v>597</v>
      </c>
      <c r="B207" t="s">
        <v>3730</v>
      </c>
      <c r="C207" t="s">
        <v>3731</v>
      </c>
      <c r="D207" t="s">
        <v>3732</v>
      </c>
      <c r="E207" t="s">
        <v>187</v>
      </c>
      <c r="F207" t="s">
        <v>186</v>
      </c>
      <c r="G207" t="s">
        <v>186</v>
      </c>
      <c r="H207">
        <v>155</v>
      </c>
      <c r="I207">
        <v>15</v>
      </c>
      <c r="J207" s="110">
        <v>205</v>
      </c>
      <c r="K207" t="s">
        <v>185</v>
      </c>
      <c r="L207">
        <f>IF(Table_TRM_Fixtures[[#This Row],[Technology]]="LED", Table_TRM_Fixtures[[#This Row],[Fixture Watts  (TRM Data)]], Table_TRM_Fixtures[[#This Row],[Lamp Watts  (TRM Data)]])</f>
        <v>155</v>
      </c>
      <c r="M207" t="str">
        <f>Table_TRM_Fixtures[[#This Row],[No. of Lamps  (TRM Data)]]</f>
        <v>N/A</v>
      </c>
      <c r="N207" t="s">
        <v>186</v>
      </c>
      <c r="O207" t="s">
        <v>186</v>
      </c>
      <c r="P207" t="s">
        <v>187</v>
      </c>
      <c r="S207" t="s">
        <v>596</v>
      </c>
      <c r="T207" t="str">
        <f>Table_TRM_Fixtures[[#This Row],[Fixture code  (TRM Data)]]</f>
        <v>LED155-FIXT</v>
      </c>
      <c r="U207" t="s">
        <v>2883</v>
      </c>
      <c r="V207" t="s">
        <v>185</v>
      </c>
      <c r="W207" t="s">
        <v>3120</v>
      </c>
      <c r="X207" t="s">
        <v>186</v>
      </c>
      <c r="AA207">
        <f>IF(Table_TRM_Fixtures[[#This Row],[Pre-EISA Baseline]]="Nominal", Table_TRM_Fixtures[[#This Row],[Fixture Watts  (TRM Data)]], Table_TRM_Fixtures[[#This Row],[Modified Baseline Fixture Watts]])</f>
        <v>155</v>
      </c>
    </row>
    <row r="208" spans="1:27" x14ac:dyDescent="0.2">
      <c r="A208" t="s">
        <v>599</v>
      </c>
      <c r="B208" t="s">
        <v>3733</v>
      </c>
      <c r="C208" t="s">
        <v>3734</v>
      </c>
      <c r="D208" t="s">
        <v>3735</v>
      </c>
      <c r="E208" t="s">
        <v>187</v>
      </c>
      <c r="F208" t="s">
        <v>186</v>
      </c>
      <c r="G208" t="s">
        <v>186</v>
      </c>
      <c r="H208">
        <v>156</v>
      </c>
      <c r="I208">
        <v>15</v>
      </c>
      <c r="J208" s="110">
        <v>206</v>
      </c>
      <c r="K208" t="s">
        <v>185</v>
      </c>
      <c r="L208">
        <f>IF(Table_TRM_Fixtures[[#This Row],[Technology]]="LED", Table_TRM_Fixtures[[#This Row],[Fixture Watts  (TRM Data)]], Table_TRM_Fixtures[[#This Row],[Lamp Watts  (TRM Data)]])</f>
        <v>156</v>
      </c>
      <c r="M208" t="str">
        <f>Table_TRM_Fixtures[[#This Row],[No. of Lamps  (TRM Data)]]</f>
        <v>N/A</v>
      </c>
      <c r="N208" t="s">
        <v>186</v>
      </c>
      <c r="O208" t="s">
        <v>186</v>
      </c>
      <c r="P208" t="s">
        <v>187</v>
      </c>
      <c r="S208" t="s">
        <v>598</v>
      </c>
      <c r="T208" t="str">
        <f>Table_TRM_Fixtures[[#This Row],[Fixture code  (TRM Data)]]</f>
        <v>LED156-FIXT</v>
      </c>
      <c r="U208" t="s">
        <v>2883</v>
      </c>
      <c r="V208" t="s">
        <v>185</v>
      </c>
      <c r="W208" t="s">
        <v>3120</v>
      </c>
      <c r="X208" t="s">
        <v>186</v>
      </c>
      <c r="AA208">
        <f>IF(Table_TRM_Fixtures[[#This Row],[Pre-EISA Baseline]]="Nominal", Table_TRM_Fixtures[[#This Row],[Fixture Watts  (TRM Data)]], Table_TRM_Fixtures[[#This Row],[Modified Baseline Fixture Watts]])</f>
        <v>156</v>
      </c>
    </row>
    <row r="209" spans="1:27" x14ac:dyDescent="0.2">
      <c r="A209" t="s">
        <v>601</v>
      </c>
      <c r="B209" t="s">
        <v>3736</v>
      </c>
      <c r="C209" t="s">
        <v>3737</v>
      </c>
      <c r="D209" t="s">
        <v>3738</v>
      </c>
      <c r="E209" t="s">
        <v>187</v>
      </c>
      <c r="F209" t="s">
        <v>186</v>
      </c>
      <c r="G209" t="s">
        <v>186</v>
      </c>
      <c r="H209">
        <v>157</v>
      </c>
      <c r="I209">
        <v>15</v>
      </c>
      <c r="J209" s="110">
        <v>207</v>
      </c>
      <c r="K209" t="s">
        <v>185</v>
      </c>
      <c r="L209">
        <f>IF(Table_TRM_Fixtures[[#This Row],[Technology]]="LED", Table_TRM_Fixtures[[#This Row],[Fixture Watts  (TRM Data)]], Table_TRM_Fixtures[[#This Row],[Lamp Watts  (TRM Data)]])</f>
        <v>157</v>
      </c>
      <c r="M209" t="str">
        <f>Table_TRM_Fixtures[[#This Row],[No. of Lamps  (TRM Data)]]</f>
        <v>N/A</v>
      </c>
      <c r="N209" t="s">
        <v>186</v>
      </c>
      <c r="O209" t="s">
        <v>186</v>
      </c>
      <c r="P209" t="s">
        <v>187</v>
      </c>
      <c r="S209" t="s">
        <v>600</v>
      </c>
      <c r="T209" t="str">
        <f>Table_TRM_Fixtures[[#This Row],[Fixture code  (TRM Data)]]</f>
        <v>LED157-FIXT</v>
      </c>
      <c r="U209" t="s">
        <v>2883</v>
      </c>
      <c r="V209" t="s">
        <v>185</v>
      </c>
      <c r="W209" t="s">
        <v>3120</v>
      </c>
      <c r="X209" t="s">
        <v>186</v>
      </c>
      <c r="AA209">
        <f>IF(Table_TRM_Fixtures[[#This Row],[Pre-EISA Baseline]]="Nominal", Table_TRM_Fixtures[[#This Row],[Fixture Watts  (TRM Data)]], Table_TRM_Fixtures[[#This Row],[Modified Baseline Fixture Watts]])</f>
        <v>157</v>
      </c>
    </row>
    <row r="210" spans="1:27" x14ac:dyDescent="0.2">
      <c r="A210" t="s">
        <v>603</v>
      </c>
      <c r="B210" t="s">
        <v>3739</v>
      </c>
      <c r="C210" t="s">
        <v>3740</v>
      </c>
      <c r="D210" t="s">
        <v>3741</v>
      </c>
      <c r="E210" t="s">
        <v>187</v>
      </c>
      <c r="F210" t="s">
        <v>186</v>
      </c>
      <c r="G210" t="s">
        <v>186</v>
      </c>
      <c r="H210">
        <v>158</v>
      </c>
      <c r="I210">
        <v>15</v>
      </c>
      <c r="J210" s="110">
        <v>208</v>
      </c>
      <c r="K210" t="s">
        <v>185</v>
      </c>
      <c r="L210">
        <f>IF(Table_TRM_Fixtures[[#This Row],[Technology]]="LED", Table_TRM_Fixtures[[#This Row],[Fixture Watts  (TRM Data)]], Table_TRM_Fixtures[[#This Row],[Lamp Watts  (TRM Data)]])</f>
        <v>158</v>
      </c>
      <c r="M210" t="str">
        <f>Table_TRM_Fixtures[[#This Row],[No. of Lamps  (TRM Data)]]</f>
        <v>N/A</v>
      </c>
      <c r="N210" t="s">
        <v>186</v>
      </c>
      <c r="O210" t="s">
        <v>186</v>
      </c>
      <c r="P210" t="s">
        <v>187</v>
      </c>
      <c r="S210" t="s">
        <v>602</v>
      </c>
      <c r="T210" t="str">
        <f>Table_TRM_Fixtures[[#This Row],[Fixture code  (TRM Data)]]</f>
        <v>LED158-FIXT</v>
      </c>
      <c r="U210" t="s">
        <v>2883</v>
      </c>
      <c r="V210" t="s">
        <v>185</v>
      </c>
      <c r="W210" t="s">
        <v>3120</v>
      </c>
      <c r="X210" t="s">
        <v>186</v>
      </c>
      <c r="AA210">
        <f>IF(Table_TRM_Fixtures[[#This Row],[Pre-EISA Baseline]]="Nominal", Table_TRM_Fixtures[[#This Row],[Fixture Watts  (TRM Data)]], Table_TRM_Fixtures[[#This Row],[Modified Baseline Fixture Watts]])</f>
        <v>158</v>
      </c>
    </row>
    <row r="211" spans="1:27" x14ac:dyDescent="0.2">
      <c r="A211" t="s">
        <v>605</v>
      </c>
      <c r="B211" t="s">
        <v>3742</v>
      </c>
      <c r="C211" t="s">
        <v>3743</v>
      </c>
      <c r="D211" t="s">
        <v>3744</v>
      </c>
      <c r="E211" t="s">
        <v>187</v>
      </c>
      <c r="F211" t="s">
        <v>186</v>
      </c>
      <c r="G211" t="s">
        <v>186</v>
      </c>
      <c r="H211">
        <v>159</v>
      </c>
      <c r="I211">
        <v>15</v>
      </c>
      <c r="J211" s="110">
        <v>209</v>
      </c>
      <c r="K211" t="s">
        <v>185</v>
      </c>
      <c r="L211">
        <f>IF(Table_TRM_Fixtures[[#This Row],[Technology]]="LED", Table_TRM_Fixtures[[#This Row],[Fixture Watts  (TRM Data)]], Table_TRM_Fixtures[[#This Row],[Lamp Watts  (TRM Data)]])</f>
        <v>159</v>
      </c>
      <c r="M211" t="str">
        <f>Table_TRM_Fixtures[[#This Row],[No. of Lamps  (TRM Data)]]</f>
        <v>N/A</v>
      </c>
      <c r="N211" t="s">
        <v>186</v>
      </c>
      <c r="O211" t="s">
        <v>186</v>
      </c>
      <c r="P211" t="s">
        <v>187</v>
      </c>
      <c r="S211" t="s">
        <v>604</v>
      </c>
      <c r="T211" t="str">
        <f>Table_TRM_Fixtures[[#This Row],[Fixture code  (TRM Data)]]</f>
        <v>LED159-FIXT</v>
      </c>
      <c r="U211" t="s">
        <v>2883</v>
      </c>
      <c r="V211" t="s">
        <v>185</v>
      </c>
      <c r="W211" t="s">
        <v>3120</v>
      </c>
      <c r="X211" t="s">
        <v>186</v>
      </c>
      <c r="AA211">
        <f>IF(Table_TRM_Fixtures[[#This Row],[Pre-EISA Baseline]]="Nominal", Table_TRM_Fixtures[[#This Row],[Fixture Watts  (TRM Data)]], Table_TRM_Fixtures[[#This Row],[Modified Baseline Fixture Watts]])</f>
        <v>159</v>
      </c>
    </row>
    <row r="212" spans="1:27" x14ac:dyDescent="0.2">
      <c r="A212" t="s">
        <v>607</v>
      </c>
      <c r="B212" t="s">
        <v>3745</v>
      </c>
      <c r="C212" t="s">
        <v>3746</v>
      </c>
      <c r="D212" t="s">
        <v>3747</v>
      </c>
      <c r="E212" t="s">
        <v>187</v>
      </c>
      <c r="F212" t="s">
        <v>186</v>
      </c>
      <c r="G212" t="s">
        <v>186</v>
      </c>
      <c r="H212">
        <v>160</v>
      </c>
      <c r="I212">
        <v>15</v>
      </c>
      <c r="J212" s="110">
        <v>210</v>
      </c>
      <c r="K212" t="s">
        <v>185</v>
      </c>
      <c r="L212">
        <f>IF(Table_TRM_Fixtures[[#This Row],[Technology]]="LED", Table_TRM_Fixtures[[#This Row],[Fixture Watts  (TRM Data)]], Table_TRM_Fixtures[[#This Row],[Lamp Watts  (TRM Data)]])</f>
        <v>160</v>
      </c>
      <c r="M212" t="str">
        <f>Table_TRM_Fixtures[[#This Row],[No. of Lamps  (TRM Data)]]</f>
        <v>N/A</v>
      </c>
      <c r="N212" t="s">
        <v>186</v>
      </c>
      <c r="O212" t="s">
        <v>186</v>
      </c>
      <c r="P212" t="s">
        <v>187</v>
      </c>
      <c r="S212" t="s">
        <v>606</v>
      </c>
      <c r="T212" t="str">
        <f>Table_TRM_Fixtures[[#This Row],[Fixture code  (TRM Data)]]</f>
        <v>LED160-FIXT</v>
      </c>
      <c r="U212" t="s">
        <v>2883</v>
      </c>
      <c r="V212" t="s">
        <v>185</v>
      </c>
      <c r="W212" t="s">
        <v>3120</v>
      </c>
      <c r="X212" t="s">
        <v>186</v>
      </c>
      <c r="AA212">
        <f>IF(Table_TRM_Fixtures[[#This Row],[Pre-EISA Baseline]]="Nominal", Table_TRM_Fixtures[[#This Row],[Fixture Watts  (TRM Data)]], Table_TRM_Fixtures[[#This Row],[Modified Baseline Fixture Watts]])</f>
        <v>160</v>
      </c>
    </row>
    <row r="213" spans="1:27" x14ac:dyDescent="0.2">
      <c r="A213" t="s">
        <v>609</v>
      </c>
      <c r="B213" t="s">
        <v>3748</v>
      </c>
      <c r="C213" t="s">
        <v>3749</v>
      </c>
      <c r="D213" t="s">
        <v>3750</v>
      </c>
      <c r="E213" t="s">
        <v>187</v>
      </c>
      <c r="F213" t="s">
        <v>186</v>
      </c>
      <c r="G213" t="s">
        <v>186</v>
      </c>
      <c r="H213">
        <v>161</v>
      </c>
      <c r="I213">
        <v>15</v>
      </c>
      <c r="J213" s="110">
        <v>211</v>
      </c>
      <c r="K213" t="s">
        <v>185</v>
      </c>
      <c r="L213">
        <f>IF(Table_TRM_Fixtures[[#This Row],[Technology]]="LED", Table_TRM_Fixtures[[#This Row],[Fixture Watts  (TRM Data)]], Table_TRM_Fixtures[[#This Row],[Lamp Watts  (TRM Data)]])</f>
        <v>161</v>
      </c>
      <c r="M213" t="str">
        <f>Table_TRM_Fixtures[[#This Row],[No. of Lamps  (TRM Data)]]</f>
        <v>N/A</v>
      </c>
      <c r="N213" t="s">
        <v>186</v>
      </c>
      <c r="O213" t="s">
        <v>186</v>
      </c>
      <c r="P213" t="s">
        <v>187</v>
      </c>
      <c r="S213" t="s">
        <v>608</v>
      </c>
      <c r="T213" t="str">
        <f>Table_TRM_Fixtures[[#This Row],[Fixture code  (TRM Data)]]</f>
        <v>LED161-FIXT</v>
      </c>
      <c r="U213" t="s">
        <v>2883</v>
      </c>
      <c r="V213" t="s">
        <v>185</v>
      </c>
      <c r="W213" t="s">
        <v>3120</v>
      </c>
      <c r="X213" t="s">
        <v>186</v>
      </c>
      <c r="AA213">
        <f>IF(Table_TRM_Fixtures[[#This Row],[Pre-EISA Baseline]]="Nominal", Table_TRM_Fixtures[[#This Row],[Fixture Watts  (TRM Data)]], Table_TRM_Fixtures[[#This Row],[Modified Baseline Fixture Watts]])</f>
        <v>161</v>
      </c>
    </row>
    <row r="214" spans="1:27" x14ac:dyDescent="0.2">
      <c r="A214" t="s">
        <v>611</v>
      </c>
      <c r="B214" t="s">
        <v>3751</v>
      </c>
      <c r="C214" t="s">
        <v>3752</v>
      </c>
      <c r="D214" t="s">
        <v>3753</v>
      </c>
      <c r="E214" t="s">
        <v>187</v>
      </c>
      <c r="F214" t="s">
        <v>186</v>
      </c>
      <c r="G214" t="s">
        <v>186</v>
      </c>
      <c r="H214">
        <v>162</v>
      </c>
      <c r="I214">
        <v>15</v>
      </c>
      <c r="J214" s="110">
        <v>212</v>
      </c>
      <c r="K214" t="s">
        <v>185</v>
      </c>
      <c r="L214">
        <f>IF(Table_TRM_Fixtures[[#This Row],[Technology]]="LED", Table_TRM_Fixtures[[#This Row],[Fixture Watts  (TRM Data)]], Table_TRM_Fixtures[[#This Row],[Lamp Watts  (TRM Data)]])</f>
        <v>162</v>
      </c>
      <c r="M214" t="str">
        <f>Table_TRM_Fixtures[[#This Row],[No. of Lamps  (TRM Data)]]</f>
        <v>N/A</v>
      </c>
      <c r="N214" t="s">
        <v>186</v>
      </c>
      <c r="O214" t="s">
        <v>186</v>
      </c>
      <c r="P214" t="s">
        <v>187</v>
      </c>
      <c r="S214" t="s">
        <v>610</v>
      </c>
      <c r="T214" t="str">
        <f>Table_TRM_Fixtures[[#This Row],[Fixture code  (TRM Data)]]</f>
        <v>LED162-FIXT</v>
      </c>
      <c r="U214" t="s">
        <v>2883</v>
      </c>
      <c r="V214" t="s">
        <v>185</v>
      </c>
      <c r="W214" t="s">
        <v>3120</v>
      </c>
      <c r="X214" t="s">
        <v>186</v>
      </c>
      <c r="AA214">
        <f>IF(Table_TRM_Fixtures[[#This Row],[Pre-EISA Baseline]]="Nominal", Table_TRM_Fixtures[[#This Row],[Fixture Watts  (TRM Data)]], Table_TRM_Fixtures[[#This Row],[Modified Baseline Fixture Watts]])</f>
        <v>162</v>
      </c>
    </row>
    <row r="215" spans="1:27" x14ac:dyDescent="0.2">
      <c r="A215" t="s">
        <v>613</v>
      </c>
      <c r="B215" t="s">
        <v>3754</v>
      </c>
      <c r="C215" t="s">
        <v>3755</v>
      </c>
      <c r="D215" t="s">
        <v>3756</v>
      </c>
      <c r="E215" t="s">
        <v>187</v>
      </c>
      <c r="F215" t="s">
        <v>186</v>
      </c>
      <c r="G215" t="s">
        <v>186</v>
      </c>
      <c r="H215">
        <v>163</v>
      </c>
      <c r="I215">
        <v>15</v>
      </c>
      <c r="J215" s="110">
        <v>213</v>
      </c>
      <c r="K215" t="s">
        <v>185</v>
      </c>
      <c r="L215">
        <f>IF(Table_TRM_Fixtures[[#This Row],[Technology]]="LED", Table_TRM_Fixtures[[#This Row],[Fixture Watts  (TRM Data)]], Table_TRM_Fixtures[[#This Row],[Lamp Watts  (TRM Data)]])</f>
        <v>163</v>
      </c>
      <c r="M215" t="str">
        <f>Table_TRM_Fixtures[[#This Row],[No. of Lamps  (TRM Data)]]</f>
        <v>N/A</v>
      </c>
      <c r="N215" t="s">
        <v>186</v>
      </c>
      <c r="O215" t="s">
        <v>186</v>
      </c>
      <c r="P215" t="s">
        <v>187</v>
      </c>
      <c r="S215" t="s">
        <v>612</v>
      </c>
      <c r="T215" t="str">
        <f>Table_TRM_Fixtures[[#This Row],[Fixture code  (TRM Data)]]</f>
        <v>LED163-FIXT</v>
      </c>
      <c r="U215" t="s">
        <v>2883</v>
      </c>
      <c r="V215" t="s">
        <v>185</v>
      </c>
      <c r="W215" t="s">
        <v>3120</v>
      </c>
      <c r="X215" t="s">
        <v>186</v>
      </c>
      <c r="AA215">
        <f>IF(Table_TRM_Fixtures[[#This Row],[Pre-EISA Baseline]]="Nominal", Table_TRM_Fixtures[[#This Row],[Fixture Watts  (TRM Data)]], Table_TRM_Fixtures[[#This Row],[Modified Baseline Fixture Watts]])</f>
        <v>163</v>
      </c>
    </row>
    <row r="216" spans="1:27" x14ac:dyDescent="0.2">
      <c r="A216" t="s">
        <v>615</v>
      </c>
      <c r="B216" t="s">
        <v>3757</v>
      </c>
      <c r="C216" t="s">
        <v>3758</v>
      </c>
      <c r="D216" t="s">
        <v>3759</v>
      </c>
      <c r="E216" t="s">
        <v>187</v>
      </c>
      <c r="F216" t="s">
        <v>186</v>
      </c>
      <c r="G216" t="s">
        <v>186</v>
      </c>
      <c r="H216">
        <v>164</v>
      </c>
      <c r="I216">
        <v>15</v>
      </c>
      <c r="J216" s="110">
        <v>214</v>
      </c>
      <c r="K216" t="s">
        <v>185</v>
      </c>
      <c r="L216">
        <f>IF(Table_TRM_Fixtures[[#This Row],[Technology]]="LED", Table_TRM_Fixtures[[#This Row],[Fixture Watts  (TRM Data)]], Table_TRM_Fixtures[[#This Row],[Lamp Watts  (TRM Data)]])</f>
        <v>164</v>
      </c>
      <c r="M216" t="str">
        <f>Table_TRM_Fixtures[[#This Row],[No. of Lamps  (TRM Data)]]</f>
        <v>N/A</v>
      </c>
      <c r="N216" t="s">
        <v>186</v>
      </c>
      <c r="O216" t="s">
        <v>186</v>
      </c>
      <c r="P216" t="s">
        <v>187</v>
      </c>
      <c r="S216" t="s">
        <v>614</v>
      </c>
      <c r="T216" t="str">
        <f>Table_TRM_Fixtures[[#This Row],[Fixture code  (TRM Data)]]</f>
        <v>LED164-FIXT</v>
      </c>
      <c r="U216" t="s">
        <v>2883</v>
      </c>
      <c r="V216" t="s">
        <v>185</v>
      </c>
      <c r="W216" t="s">
        <v>3120</v>
      </c>
      <c r="X216" t="s">
        <v>186</v>
      </c>
      <c r="AA216">
        <f>IF(Table_TRM_Fixtures[[#This Row],[Pre-EISA Baseline]]="Nominal", Table_TRM_Fixtures[[#This Row],[Fixture Watts  (TRM Data)]], Table_TRM_Fixtures[[#This Row],[Modified Baseline Fixture Watts]])</f>
        <v>164</v>
      </c>
    </row>
    <row r="217" spans="1:27" x14ac:dyDescent="0.2">
      <c r="A217" t="s">
        <v>617</v>
      </c>
      <c r="B217" t="s">
        <v>3760</v>
      </c>
      <c r="C217" t="s">
        <v>3761</v>
      </c>
      <c r="D217" t="s">
        <v>3762</v>
      </c>
      <c r="E217" t="s">
        <v>187</v>
      </c>
      <c r="F217" t="s">
        <v>186</v>
      </c>
      <c r="G217" t="s">
        <v>186</v>
      </c>
      <c r="H217">
        <v>165</v>
      </c>
      <c r="I217">
        <v>15</v>
      </c>
      <c r="J217" s="110">
        <v>215</v>
      </c>
      <c r="K217" t="s">
        <v>185</v>
      </c>
      <c r="L217">
        <f>IF(Table_TRM_Fixtures[[#This Row],[Technology]]="LED", Table_TRM_Fixtures[[#This Row],[Fixture Watts  (TRM Data)]], Table_TRM_Fixtures[[#This Row],[Lamp Watts  (TRM Data)]])</f>
        <v>165</v>
      </c>
      <c r="M217" t="str">
        <f>Table_TRM_Fixtures[[#This Row],[No. of Lamps  (TRM Data)]]</f>
        <v>N/A</v>
      </c>
      <c r="N217" t="s">
        <v>186</v>
      </c>
      <c r="O217" t="s">
        <v>186</v>
      </c>
      <c r="P217" t="s">
        <v>187</v>
      </c>
      <c r="S217" t="s">
        <v>616</v>
      </c>
      <c r="T217" t="str">
        <f>Table_TRM_Fixtures[[#This Row],[Fixture code  (TRM Data)]]</f>
        <v>LED165-FIXT</v>
      </c>
      <c r="U217" t="s">
        <v>2883</v>
      </c>
      <c r="V217" t="s">
        <v>185</v>
      </c>
      <c r="W217" t="s">
        <v>3120</v>
      </c>
      <c r="X217" t="s">
        <v>186</v>
      </c>
      <c r="AA217">
        <f>IF(Table_TRM_Fixtures[[#This Row],[Pre-EISA Baseline]]="Nominal", Table_TRM_Fixtures[[#This Row],[Fixture Watts  (TRM Data)]], Table_TRM_Fixtures[[#This Row],[Modified Baseline Fixture Watts]])</f>
        <v>165</v>
      </c>
    </row>
    <row r="218" spans="1:27" x14ac:dyDescent="0.2">
      <c r="A218" t="s">
        <v>619</v>
      </c>
      <c r="B218" t="s">
        <v>3763</v>
      </c>
      <c r="C218" t="s">
        <v>3764</v>
      </c>
      <c r="D218" t="s">
        <v>3765</v>
      </c>
      <c r="E218" t="s">
        <v>187</v>
      </c>
      <c r="F218" t="s">
        <v>186</v>
      </c>
      <c r="G218" t="s">
        <v>186</v>
      </c>
      <c r="H218">
        <v>166</v>
      </c>
      <c r="I218">
        <v>15</v>
      </c>
      <c r="J218" s="110">
        <v>216</v>
      </c>
      <c r="K218" t="s">
        <v>185</v>
      </c>
      <c r="L218">
        <f>IF(Table_TRM_Fixtures[[#This Row],[Technology]]="LED", Table_TRM_Fixtures[[#This Row],[Fixture Watts  (TRM Data)]], Table_TRM_Fixtures[[#This Row],[Lamp Watts  (TRM Data)]])</f>
        <v>166</v>
      </c>
      <c r="M218" t="str">
        <f>Table_TRM_Fixtures[[#This Row],[No. of Lamps  (TRM Data)]]</f>
        <v>N/A</v>
      </c>
      <c r="N218" t="s">
        <v>186</v>
      </c>
      <c r="O218" t="s">
        <v>186</v>
      </c>
      <c r="P218" t="s">
        <v>187</v>
      </c>
      <c r="S218" t="s">
        <v>618</v>
      </c>
      <c r="T218" t="str">
        <f>Table_TRM_Fixtures[[#This Row],[Fixture code  (TRM Data)]]</f>
        <v>LED166-FIXT</v>
      </c>
      <c r="U218" t="s">
        <v>2883</v>
      </c>
      <c r="V218" t="s">
        <v>185</v>
      </c>
      <c r="W218" t="s">
        <v>3120</v>
      </c>
      <c r="X218" t="s">
        <v>186</v>
      </c>
      <c r="AA218">
        <f>IF(Table_TRM_Fixtures[[#This Row],[Pre-EISA Baseline]]="Nominal", Table_TRM_Fixtures[[#This Row],[Fixture Watts  (TRM Data)]], Table_TRM_Fixtures[[#This Row],[Modified Baseline Fixture Watts]])</f>
        <v>166</v>
      </c>
    </row>
    <row r="219" spans="1:27" x14ac:dyDescent="0.2">
      <c r="A219" t="s">
        <v>621</v>
      </c>
      <c r="B219" t="s">
        <v>3766</v>
      </c>
      <c r="C219" t="s">
        <v>3767</v>
      </c>
      <c r="D219" t="s">
        <v>3768</v>
      </c>
      <c r="E219" t="s">
        <v>187</v>
      </c>
      <c r="F219" t="s">
        <v>186</v>
      </c>
      <c r="G219" t="s">
        <v>186</v>
      </c>
      <c r="H219">
        <v>167</v>
      </c>
      <c r="I219">
        <v>15</v>
      </c>
      <c r="J219" s="110">
        <v>217</v>
      </c>
      <c r="K219" t="s">
        <v>185</v>
      </c>
      <c r="L219">
        <f>IF(Table_TRM_Fixtures[[#This Row],[Technology]]="LED", Table_TRM_Fixtures[[#This Row],[Fixture Watts  (TRM Data)]], Table_TRM_Fixtures[[#This Row],[Lamp Watts  (TRM Data)]])</f>
        <v>167</v>
      </c>
      <c r="M219" t="str">
        <f>Table_TRM_Fixtures[[#This Row],[No. of Lamps  (TRM Data)]]</f>
        <v>N/A</v>
      </c>
      <c r="N219" t="s">
        <v>186</v>
      </c>
      <c r="O219" t="s">
        <v>186</v>
      </c>
      <c r="P219" t="s">
        <v>187</v>
      </c>
      <c r="S219" t="s">
        <v>620</v>
      </c>
      <c r="T219" t="str">
        <f>Table_TRM_Fixtures[[#This Row],[Fixture code  (TRM Data)]]</f>
        <v>LED167-FIXT</v>
      </c>
      <c r="U219" t="s">
        <v>2883</v>
      </c>
      <c r="V219" t="s">
        <v>185</v>
      </c>
      <c r="W219" t="s">
        <v>3120</v>
      </c>
      <c r="X219" t="s">
        <v>186</v>
      </c>
      <c r="AA219">
        <f>IF(Table_TRM_Fixtures[[#This Row],[Pre-EISA Baseline]]="Nominal", Table_TRM_Fixtures[[#This Row],[Fixture Watts  (TRM Data)]], Table_TRM_Fixtures[[#This Row],[Modified Baseline Fixture Watts]])</f>
        <v>167</v>
      </c>
    </row>
    <row r="220" spans="1:27" x14ac:dyDescent="0.2">
      <c r="A220" t="s">
        <v>623</v>
      </c>
      <c r="B220" t="s">
        <v>3769</v>
      </c>
      <c r="C220" t="s">
        <v>3770</v>
      </c>
      <c r="D220" t="s">
        <v>3771</v>
      </c>
      <c r="E220" t="s">
        <v>187</v>
      </c>
      <c r="F220" t="s">
        <v>186</v>
      </c>
      <c r="G220" t="s">
        <v>186</v>
      </c>
      <c r="H220">
        <v>168</v>
      </c>
      <c r="I220">
        <v>15</v>
      </c>
      <c r="J220" s="110">
        <v>218</v>
      </c>
      <c r="K220" t="s">
        <v>185</v>
      </c>
      <c r="L220">
        <f>IF(Table_TRM_Fixtures[[#This Row],[Technology]]="LED", Table_TRM_Fixtures[[#This Row],[Fixture Watts  (TRM Data)]], Table_TRM_Fixtures[[#This Row],[Lamp Watts  (TRM Data)]])</f>
        <v>168</v>
      </c>
      <c r="M220" t="str">
        <f>Table_TRM_Fixtures[[#This Row],[No. of Lamps  (TRM Data)]]</f>
        <v>N/A</v>
      </c>
      <c r="N220" t="s">
        <v>186</v>
      </c>
      <c r="O220" t="s">
        <v>186</v>
      </c>
      <c r="P220" t="s">
        <v>187</v>
      </c>
      <c r="S220" t="s">
        <v>622</v>
      </c>
      <c r="T220" t="str">
        <f>Table_TRM_Fixtures[[#This Row],[Fixture code  (TRM Data)]]</f>
        <v>LED168-FIXT</v>
      </c>
      <c r="U220" t="s">
        <v>2883</v>
      </c>
      <c r="V220" t="s">
        <v>185</v>
      </c>
      <c r="W220" t="s">
        <v>3120</v>
      </c>
      <c r="X220" t="s">
        <v>186</v>
      </c>
      <c r="AA220">
        <f>IF(Table_TRM_Fixtures[[#This Row],[Pre-EISA Baseline]]="Nominal", Table_TRM_Fixtures[[#This Row],[Fixture Watts  (TRM Data)]], Table_TRM_Fixtures[[#This Row],[Modified Baseline Fixture Watts]])</f>
        <v>168</v>
      </c>
    </row>
    <row r="221" spans="1:27" x14ac:dyDescent="0.2">
      <c r="A221" t="s">
        <v>625</v>
      </c>
      <c r="B221" t="s">
        <v>3772</v>
      </c>
      <c r="C221" t="s">
        <v>3773</v>
      </c>
      <c r="D221" t="s">
        <v>3774</v>
      </c>
      <c r="E221" t="s">
        <v>187</v>
      </c>
      <c r="F221" t="s">
        <v>186</v>
      </c>
      <c r="G221" t="s">
        <v>186</v>
      </c>
      <c r="H221">
        <v>169</v>
      </c>
      <c r="I221">
        <v>15</v>
      </c>
      <c r="J221" s="110">
        <v>219</v>
      </c>
      <c r="K221" t="s">
        <v>185</v>
      </c>
      <c r="L221">
        <f>IF(Table_TRM_Fixtures[[#This Row],[Technology]]="LED", Table_TRM_Fixtures[[#This Row],[Fixture Watts  (TRM Data)]], Table_TRM_Fixtures[[#This Row],[Lamp Watts  (TRM Data)]])</f>
        <v>169</v>
      </c>
      <c r="M221" t="str">
        <f>Table_TRM_Fixtures[[#This Row],[No. of Lamps  (TRM Data)]]</f>
        <v>N/A</v>
      </c>
      <c r="N221" t="s">
        <v>186</v>
      </c>
      <c r="O221" t="s">
        <v>186</v>
      </c>
      <c r="P221" t="s">
        <v>187</v>
      </c>
      <c r="S221" t="s">
        <v>624</v>
      </c>
      <c r="T221" t="str">
        <f>Table_TRM_Fixtures[[#This Row],[Fixture code  (TRM Data)]]</f>
        <v>LED169-FIXT</v>
      </c>
      <c r="U221" t="s">
        <v>2883</v>
      </c>
      <c r="V221" t="s">
        <v>185</v>
      </c>
      <c r="W221" t="s">
        <v>3120</v>
      </c>
      <c r="X221" t="s">
        <v>186</v>
      </c>
      <c r="AA221">
        <f>IF(Table_TRM_Fixtures[[#This Row],[Pre-EISA Baseline]]="Nominal", Table_TRM_Fixtures[[#This Row],[Fixture Watts  (TRM Data)]], Table_TRM_Fixtures[[#This Row],[Modified Baseline Fixture Watts]])</f>
        <v>169</v>
      </c>
    </row>
    <row r="222" spans="1:27" x14ac:dyDescent="0.2">
      <c r="A222" t="s">
        <v>627</v>
      </c>
      <c r="B222" t="s">
        <v>3775</v>
      </c>
      <c r="C222" t="s">
        <v>3776</v>
      </c>
      <c r="D222" t="s">
        <v>3777</v>
      </c>
      <c r="E222" t="s">
        <v>187</v>
      </c>
      <c r="F222" t="s">
        <v>186</v>
      </c>
      <c r="G222" t="s">
        <v>186</v>
      </c>
      <c r="H222">
        <v>170</v>
      </c>
      <c r="I222">
        <v>15</v>
      </c>
      <c r="J222" s="110">
        <v>220</v>
      </c>
      <c r="K222" t="s">
        <v>185</v>
      </c>
      <c r="L222">
        <f>IF(Table_TRM_Fixtures[[#This Row],[Technology]]="LED", Table_TRM_Fixtures[[#This Row],[Fixture Watts  (TRM Data)]], Table_TRM_Fixtures[[#This Row],[Lamp Watts  (TRM Data)]])</f>
        <v>170</v>
      </c>
      <c r="M222" t="str">
        <f>Table_TRM_Fixtures[[#This Row],[No. of Lamps  (TRM Data)]]</f>
        <v>N/A</v>
      </c>
      <c r="N222" t="s">
        <v>186</v>
      </c>
      <c r="O222" t="s">
        <v>186</v>
      </c>
      <c r="P222" t="s">
        <v>187</v>
      </c>
      <c r="S222" t="s">
        <v>626</v>
      </c>
      <c r="T222" t="str">
        <f>Table_TRM_Fixtures[[#This Row],[Fixture code  (TRM Data)]]</f>
        <v>LED170-FIXT</v>
      </c>
      <c r="U222" t="s">
        <v>2883</v>
      </c>
      <c r="V222" t="s">
        <v>185</v>
      </c>
      <c r="W222" t="s">
        <v>3120</v>
      </c>
      <c r="X222" t="s">
        <v>186</v>
      </c>
      <c r="AA222">
        <f>IF(Table_TRM_Fixtures[[#This Row],[Pre-EISA Baseline]]="Nominal", Table_TRM_Fixtures[[#This Row],[Fixture Watts  (TRM Data)]], Table_TRM_Fixtures[[#This Row],[Modified Baseline Fixture Watts]])</f>
        <v>170</v>
      </c>
    </row>
    <row r="223" spans="1:27" x14ac:dyDescent="0.2">
      <c r="A223" t="s">
        <v>629</v>
      </c>
      <c r="B223" t="s">
        <v>3778</v>
      </c>
      <c r="C223" t="s">
        <v>3779</v>
      </c>
      <c r="D223" t="s">
        <v>3780</v>
      </c>
      <c r="E223" t="s">
        <v>187</v>
      </c>
      <c r="F223" t="s">
        <v>186</v>
      </c>
      <c r="G223" t="s">
        <v>186</v>
      </c>
      <c r="H223">
        <v>171</v>
      </c>
      <c r="I223">
        <v>15</v>
      </c>
      <c r="J223" s="110">
        <v>221</v>
      </c>
      <c r="K223" t="s">
        <v>185</v>
      </c>
      <c r="L223">
        <f>IF(Table_TRM_Fixtures[[#This Row],[Technology]]="LED", Table_TRM_Fixtures[[#This Row],[Fixture Watts  (TRM Data)]], Table_TRM_Fixtures[[#This Row],[Lamp Watts  (TRM Data)]])</f>
        <v>171</v>
      </c>
      <c r="M223" t="str">
        <f>Table_TRM_Fixtures[[#This Row],[No. of Lamps  (TRM Data)]]</f>
        <v>N/A</v>
      </c>
      <c r="N223" t="s">
        <v>186</v>
      </c>
      <c r="O223" t="s">
        <v>186</v>
      </c>
      <c r="P223" t="s">
        <v>187</v>
      </c>
      <c r="S223" t="s">
        <v>628</v>
      </c>
      <c r="T223" t="str">
        <f>Table_TRM_Fixtures[[#This Row],[Fixture code  (TRM Data)]]</f>
        <v>LED171-FIXT</v>
      </c>
      <c r="U223" t="s">
        <v>2883</v>
      </c>
      <c r="V223" t="s">
        <v>185</v>
      </c>
      <c r="W223" t="s">
        <v>3120</v>
      </c>
      <c r="X223" t="s">
        <v>186</v>
      </c>
      <c r="AA223">
        <f>IF(Table_TRM_Fixtures[[#This Row],[Pre-EISA Baseline]]="Nominal", Table_TRM_Fixtures[[#This Row],[Fixture Watts  (TRM Data)]], Table_TRM_Fixtures[[#This Row],[Modified Baseline Fixture Watts]])</f>
        <v>171</v>
      </c>
    </row>
    <row r="224" spans="1:27" x14ac:dyDescent="0.2">
      <c r="A224" t="s">
        <v>631</v>
      </c>
      <c r="B224" t="s">
        <v>3781</v>
      </c>
      <c r="C224" t="s">
        <v>3782</v>
      </c>
      <c r="D224" t="s">
        <v>3783</v>
      </c>
      <c r="E224" t="s">
        <v>187</v>
      </c>
      <c r="F224" t="s">
        <v>186</v>
      </c>
      <c r="G224" t="s">
        <v>186</v>
      </c>
      <c r="H224">
        <v>172</v>
      </c>
      <c r="I224">
        <v>15</v>
      </c>
      <c r="J224" s="110">
        <v>222</v>
      </c>
      <c r="K224" t="s">
        <v>185</v>
      </c>
      <c r="L224">
        <f>IF(Table_TRM_Fixtures[[#This Row],[Technology]]="LED", Table_TRM_Fixtures[[#This Row],[Fixture Watts  (TRM Data)]], Table_TRM_Fixtures[[#This Row],[Lamp Watts  (TRM Data)]])</f>
        <v>172</v>
      </c>
      <c r="M224" t="str">
        <f>Table_TRM_Fixtures[[#This Row],[No. of Lamps  (TRM Data)]]</f>
        <v>N/A</v>
      </c>
      <c r="N224" t="s">
        <v>186</v>
      </c>
      <c r="O224" t="s">
        <v>186</v>
      </c>
      <c r="P224" t="s">
        <v>187</v>
      </c>
      <c r="S224" t="s">
        <v>630</v>
      </c>
      <c r="T224" t="str">
        <f>Table_TRM_Fixtures[[#This Row],[Fixture code  (TRM Data)]]</f>
        <v>LED172-FIXT</v>
      </c>
      <c r="U224" t="s">
        <v>2883</v>
      </c>
      <c r="V224" t="s">
        <v>185</v>
      </c>
      <c r="W224" t="s">
        <v>3120</v>
      </c>
      <c r="X224" t="s">
        <v>186</v>
      </c>
      <c r="AA224">
        <f>IF(Table_TRM_Fixtures[[#This Row],[Pre-EISA Baseline]]="Nominal", Table_TRM_Fixtures[[#This Row],[Fixture Watts  (TRM Data)]], Table_TRM_Fixtures[[#This Row],[Modified Baseline Fixture Watts]])</f>
        <v>172</v>
      </c>
    </row>
    <row r="225" spans="1:27" x14ac:dyDescent="0.2">
      <c r="A225" t="s">
        <v>633</v>
      </c>
      <c r="B225" t="s">
        <v>3784</v>
      </c>
      <c r="C225" t="s">
        <v>3785</v>
      </c>
      <c r="D225" t="s">
        <v>3786</v>
      </c>
      <c r="E225" t="s">
        <v>187</v>
      </c>
      <c r="F225" t="s">
        <v>186</v>
      </c>
      <c r="G225" t="s">
        <v>186</v>
      </c>
      <c r="H225">
        <v>173</v>
      </c>
      <c r="I225">
        <v>15</v>
      </c>
      <c r="J225" s="110">
        <v>223</v>
      </c>
      <c r="K225" t="s">
        <v>185</v>
      </c>
      <c r="L225">
        <f>IF(Table_TRM_Fixtures[[#This Row],[Technology]]="LED", Table_TRM_Fixtures[[#This Row],[Fixture Watts  (TRM Data)]], Table_TRM_Fixtures[[#This Row],[Lamp Watts  (TRM Data)]])</f>
        <v>173</v>
      </c>
      <c r="M225" t="str">
        <f>Table_TRM_Fixtures[[#This Row],[No. of Lamps  (TRM Data)]]</f>
        <v>N/A</v>
      </c>
      <c r="N225" t="s">
        <v>186</v>
      </c>
      <c r="O225" t="s">
        <v>186</v>
      </c>
      <c r="P225" t="s">
        <v>187</v>
      </c>
      <c r="S225" t="s">
        <v>632</v>
      </c>
      <c r="T225" t="str">
        <f>Table_TRM_Fixtures[[#This Row],[Fixture code  (TRM Data)]]</f>
        <v>LED173-FIXT</v>
      </c>
      <c r="U225" t="s">
        <v>2883</v>
      </c>
      <c r="V225" t="s">
        <v>185</v>
      </c>
      <c r="W225" t="s">
        <v>3120</v>
      </c>
      <c r="X225" t="s">
        <v>186</v>
      </c>
      <c r="AA225">
        <f>IF(Table_TRM_Fixtures[[#This Row],[Pre-EISA Baseline]]="Nominal", Table_TRM_Fixtures[[#This Row],[Fixture Watts  (TRM Data)]], Table_TRM_Fixtures[[#This Row],[Modified Baseline Fixture Watts]])</f>
        <v>173</v>
      </c>
    </row>
    <row r="226" spans="1:27" x14ac:dyDescent="0.2">
      <c r="A226" t="s">
        <v>635</v>
      </c>
      <c r="B226" t="s">
        <v>3787</v>
      </c>
      <c r="C226" t="s">
        <v>3788</v>
      </c>
      <c r="D226" t="s">
        <v>3789</v>
      </c>
      <c r="E226" t="s">
        <v>187</v>
      </c>
      <c r="F226" t="s">
        <v>186</v>
      </c>
      <c r="G226" t="s">
        <v>186</v>
      </c>
      <c r="H226">
        <v>174</v>
      </c>
      <c r="I226">
        <v>15</v>
      </c>
      <c r="J226" s="110">
        <v>224</v>
      </c>
      <c r="K226" t="s">
        <v>185</v>
      </c>
      <c r="L226">
        <f>IF(Table_TRM_Fixtures[[#This Row],[Technology]]="LED", Table_TRM_Fixtures[[#This Row],[Fixture Watts  (TRM Data)]], Table_TRM_Fixtures[[#This Row],[Lamp Watts  (TRM Data)]])</f>
        <v>174</v>
      </c>
      <c r="M226" t="str">
        <f>Table_TRM_Fixtures[[#This Row],[No. of Lamps  (TRM Data)]]</f>
        <v>N/A</v>
      </c>
      <c r="N226" t="s">
        <v>186</v>
      </c>
      <c r="O226" t="s">
        <v>186</v>
      </c>
      <c r="P226" t="s">
        <v>187</v>
      </c>
      <c r="S226" t="s">
        <v>634</v>
      </c>
      <c r="T226" t="str">
        <f>Table_TRM_Fixtures[[#This Row],[Fixture code  (TRM Data)]]</f>
        <v>LED174-FIXT</v>
      </c>
      <c r="U226" t="s">
        <v>2883</v>
      </c>
      <c r="V226" t="s">
        <v>185</v>
      </c>
      <c r="W226" t="s">
        <v>3120</v>
      </c>
      <c r="X226" t="s">
        <v>186</v>
      </c>
      <c r="AA226">
        <f>IF(Table_TRM_Fixtures[[#This Row],[Pre-EISA Baseline]]="Nominal", Table_TRM_Fixtures[[#This Row],[Fixture Watts  (TRM Data)]], Table_TRM_Fixtures[[#This Row],[Modified Baseline Fixture Watts]])</f>
        <v>174</v>
      </c>
    </row>
    <row r="227" spans="1:27" x14ac:dyDescent="0.2">
      <c r="A227" t="s">
        <v>637</v>
      </c>
      <c r="B227" t="s">
        <v>3790</v>
      </c>
      <c r="C227" t="s">
        <v>3791</v>
      </c>
      <c r="D227" t="s">
        <v>3792</v>
      </c>
      <c r="E227" t="s">
        <v>187</v>
      </c>
      <c r="F227" t="s">
        <v>186</v>
      </c>
      <c r="G227" t="s">
        <v>186</v>
      </c>
      <c r="H227">
        <v>175</v>
      </c>
      <c r="I227">
        <v>15</v>
      </c>
      <c r="J227" s="110">
        <v>225</v>
      </c>
      <c r="K227" t="s">
        <v>185</v>
      </c>
      <c r="L227">
        <f>IF(Table_TRM_Fixtures[[#This Row],[Technology]]="LED", Table_TRM_Fixtures[[#This Row],[Fixture Watts  (TRM Data)]], Table_TRM_Fixtures[[#This Row],[Lamp Watts  (TRM Data)]])</f>
        <v>175</v>
      </c>
      <c r="M227" t="str">
        <f>Table_TRM_Fixtures[[#This Row],[No. of Lamps  (TRM Data)]]</f>
        <v>N/A</v>
      </c>
      <c r="N227" t="s">
        <v>186</v>
      </c>
      <c r="O227" t="s">
        <v>186</v>
      </c>
      <c r="P227" t="s">
        <v>187</v>
      </c>
      <c r="S227" t="s">
        <v>636</v>
      </c>
      <c r="T227" t="str">
        <f>Table_TRM_Fixtures[[#This Row],[Fixture code  (TRM Data)]]</f>
        <v>LED175-FIXT</v>
      </c>
      <c r="U227" t="s">
        <v>2883</v>
      </c>
      <c r="V227" t="s">
        <v>185</v>
      </c>
      <c r="W227" t="s">
        <v>3120</v>
      </c>
      <c r="X227" t="s">
        <v>186</v>
      </c>
      <c r="AA227">
        <f>IF(Table_TRM_Fixtures[[#This Row],[Pre-EISA Baseline]]="Nominal", Table_TRM_Fixtures[[#This Row],[Fixture Watts  (TRM Data)]], Table_TRM_Fixtures[[#This Row],[Modified Baseline Fixture Watts]])</f>
        <v>175</v>
      </c>
    </row>
    <row r="228" spans="1:27" x14ac:dyDescent="0.2">
      <c r="A228" t="s">
        <v>639</v>
      </c>
      <c r="B228" t="s">
        <v>3793</v>
      </c>
      <c r="C228" t="s">
        <v>3794</v>
      </c>
      <c r="D228" t="s">
        <v>3795</v>
      </c>
      <c r="E228" t="s">
        <v>187</v>
      </c>
      <c r="F228" t="s">
        <v>186</v>
      </c>
      <c r="G228" t="s">
        <v>186</v>
      </c>
      <c r="H228">
        <v>176</v>
      </c>
      <c r="I228">
        <v>15</v>
      </c>
      <c r="J228" s="110">
        <v>226</v>
      </c>
      <c r="K228" t="s">
        <v>185</v>
      </c>
      <c r="L228">
        <f>IF(Table_TRM_Fixtures[[#This Row],[Technology]]="LED", Table_TRM_Fixtures[[#This Row],[Fixture Watts  (TRM Data)]], Table_TRM_Fixtures[[#This Row],[Lamp Watts  (TRM Data)]])</f>
        <v>176</v>
      </c>
      <c r="M228" t="str">
        <f>Table_TRM_Fixtures[[#This Row],[No. of Lamps  (TRM Data)]]</f>
        <v>N/A</v>
      </c>
      <c r="N228" t="s">
        <v>186</v>
      </c>
      <c r="O228" t="s">
        <v>186</v>
      </c>
      <c r="P228" t="s">
        <v>187</v>
      </c>
      <c r="S228" t="s">
        <v>638</v>
      </c>
      <c r="T228" t="str">
        <f>Table_TRM_Fixtures[[#This Row],[Fixture code  (TRM Data)]]</f>
        <v>LED176-FIXT</v>
      </c>
      <c r="U228" t="s">
        <v>2883</v>
      </c>
      <c r="V228" t="s">
        <v>185</v>
      </c>
      <c r="W228" t="s">
        <v>3120</v>
      </c>
      <c r="X228" t="s">
        <v>186</v>
      </c>
      <c r="AA228">
        <f>IF(Table_TRM_Fixtures[[#This Row],[Pre-EISA Baseline]]="Nominal", Table_TRM_Fixtures[[#This Row],[Fixture Watts  (TRM Data)]], Table_TRM_Fixtures[[#This Row],[Modified Baseline Fixture Watts]])</f>
        <v>176</v>
      </c>
    </row>
    <row r="229" spans="1:27" x14ac:dyDescent="0.2">
      <c r="A229" t="s">
        <v>641</v>
      </c>
      <c r="B229" t="s">
        <v>3796</v>
      </c>
      <c r="C229" t="s">
        <v>3797</v>
      </c>
      <c r="D229" t="s">
        <v>3798</v>
      </c>
      <c r="E229" t="s">
        <v>187</v>
      </c>
      <c r="F229" t="s">
        <v>186</v>
      </c>
      <c r="G229" t="s">
        <v>186</v>
      </c>
      <c r="H229">
        <v>177</v>
      </c>
      <c r="I229">
        <v>15</v>
      </c>
      <c r="J229" s="110">
        <v>227</v>
      </c>
      <c r="K229" t="s">
        <v>185</v>
      </c>
      <c r="L229">
        <f>IF(Table_TRM_Fixtures[[#This Row],[Technology]]="LED", Table_TRM_Fixtures[[#This Row],[Fixture Watts  (TRM Data)]], Table_TRM_Fixtures[[#This Row],[Lamp Watts  (TRM Data)]])</f>
        <v>177</v>
      </c>
      <c r="M229" t="str">
        <f>Table_TRM_Fixtures[[#This Row],[No. of Lamps  (TRM Data)]]</f>
        <v>N/A</v>
      </c>
      <c r="N229" t="s">
        <v>186</v>
      </c>
      <c r="O229" t="s">
        <v>186</v>
      </c>
      <c r="P229" t="s">
        <v>187</v>
      </c>
      <c r="S229" t="s">
        <v>640</v>
      </c>
      <c r="T229" t="str">
        <f>Table_TRM_Fixtures[[#This Row],[Fixture code  (TRM Data)]]</f>
        <v>LED177-FIXT</v>
      </c>
      <c r="U229" t="s">
        <v>2883</v>
      </c>
      <c r="V229" t="s">
        <v>185</v>
      </c>
      <c r="W229" t="s">
        <v>3120</v>
      </c>
      <c r="X229" t="s">
        <v>186</v>
      </c>
      <c r="AA229">
        <f>IF(Table_TRM_Fixtures[[#This Row],[Pre-EISA Baseline]]="Nominal", Table_TRM_Fixtures[[#This Row],[Fixture Watts  (TRM Data)]], Table_TRM_Fixtures[[#This Row],[Modified Baseline Fixture Watts]])</f>
        <v>177</v>
      </c>
    </row>
    <row r="230" spans="1:27" x14ac:dyDescent="0.2">
      <c r="A230" t="s">
        <v>643</v>
      </c>
      <c r="B230" t="s">
        <v>3799</v>
      </c>
      <c r="C230" t="s">
        <v>3800</v>
      </c>
      <c r="D230" t="s">
        <v>3801</v>
      </c>
      <c r="E230" t="s">
        <v>187</v>
      </c>
      <c r="F230" t="s">
        <v>186</v>
      </c>
      <c r="G230" t="s">
        <v>186</v>
      </c>
      <c r="H230">
        <v>178</v>
      </c>
      <c r="I230">
        <v>15</v>
      </c>
      <c r="J230" s="110">
        <v>228</v>
      </c>
      <c r="K230" t="s">
        <v>185</v>
      </c>
      <c r="L230">
        <f>IF(Table_TRM_Fixtures[[#This Row],[Technology]]="LED", Table_TRM_Fixtures[[#This Row],[Fixture Watts  (TRM Data)]], Table_TRM_Fixtures[[#This Row],[Lamp Watts  (TRM Data)]])</f>
        <v>178</v>
      </c>
      <c r="M230" t="str">
        <f>Table_TRM_Fixtures[[#This Row],[No. of Lamps  (TRM Data)]]</f>
        <v>N/A</v>
      </c>
      <c r="N230" t="s">
        <v>186</v>
      </c>
      <c r="O230" t="s">
        <v>186</v>
      </c>
      <c r="P230" t="s">
        <v>187</v>
      </c>
      <c r="S230" t="s">
        <v>642</v>
      </c>
      <c r="T230" t="str">
        <f>Table_TRM_Fixtures[[#This Row],[Fixture code  (TRM Data)]]</f>
        <v>LED178-FIXT</v>
      </c>
      <c r="U230" t="s">
        <v>2883</v>
      </c>
      <c r="V230" t="s">
        <v>185</v>
      </c>
      <c r="W230" t="s">
        <v>3120</v>
      </c>
      <c r="X230" t="s">
        <v>186</v>
      </c>
      <c r="AA230">
        <f>IF(Table_TRM_Fixtures[[#This Row],[Pre-EISA Baseline]]="Nominal", Table_TRM_Fixtures[[#This Row],[Fixture Watts  (TRM Data)]], Table_TRM_Fixtures[[#This Row],[Modified Baseline Fixture Watts]])</f>
        <v>178</v>
      </c>
    </row>
    <row r="231" spans="1:27" x14ac:dyDescent="0.2">
      <c r="A231" t="s">
        <v>645</v>
      </c>
      <c r="B231" t="s">
        <v>3802</v>
      </c>
      <c r="C231" t="s">
        <v>3803</v>
      </c>
      <c r="D231" t="s">
        <v>3804</v>
      </c>
      <c r="E231" t="s">
        <v>187</v>
      </c>
      <c r="F231" t="s">
        <v>186</v>
      </c>
      <c r="G231" t="s">
        <v>186</v>
      </c>
      <c r="H231">
        <v>179</v>
      </c>
      <c r="I231">
        <v>15</v>
      </c>
      <c r="J231" s="110">
        <v>229</v>
      </c>
      <c r="K231" t="s">
        <v>185</v>
      </c>
      <c r="L231">
        <f>IF(Table_TRM_Fixtures[[#This Row],[Technology]]="LED", Table_TRM_Fixtures[[#This Row],[Fixture Watts  (TRM Data)]], Table_TRM_Fixtures[[#This Row],[Lamp Watts  (TRM Data)]])</f>
        <v>179</v>
      </c>
      <c r="M231" t="str">
        <f>Table_TRM_Fixtures[[#This Row],[No. of Lamps  (TRM Data)]]</f>
        <v>N/A</v>
      </c>
      <c r="N231" t="s">
        <v>186</v>
      </c>
      <c r="O231" t="s">
        <v>186</v>
      </c>
      <c r="P231" t="s">
        <v>187</v>
      </c>
      <c r="S231" t="s">
        <v>644</v>
      </c>
      <c r="T231" t="str">
        <f>Table_TRM_Fixtures[[#This Row],[Fixture code  (TRM Data)]]</f>
        <v>LED179-FIXT</v>
      </c>
      <c r="U231" t="s">
        <v>2883</v>
      </c>
      <c r="V231" t="s">
        <v>185</v>
      </c>
      <c r="W231" t="s">
        <v>3120</v>
      </c>
      <c r="X231" t="s">
        <v>186</v>
      </c>
      <c r="AA231">
        <f>IF(Table_TRM_Fixtures[[#This Row],[Pre-EISA Baseline]]="Nominal", Table_TRM_Fixtures[[#This Row],[Fixture Watts  (TRM Data)]], Table_TRM_Fixtures[[#This Row],[Modified Baseline Fixture Watts]])</f>
        <v>179</v>
      </c>
    </row>
    <row r="232" spans="1:27" x14ac:dyDescent="0.2">
      <c r="A232" t="s">
        <v>647</v>
      </c>
      <c r="B232" t="s">
        <v>3805</v>
      </c>
      <c r="C232" t="s">
        <v>3806</v>
      </c>
      <c r="D232" t="s">
        <v>3807</v>
      </c>
      <c r="E232" t="s">
        <v>187</v>
      </c>
      <c r="F232" t="s">
        <v>186</v>
      </c>
      <c r="G232" t="s">
        <v>186</v>
      </c>
      <c r="H232">
        <v>180</v>
      </c>
      <c r="I232">
        <v>15</v>
      </c>
      <c r="J232" s="110">
        <v>230</v>
      </c>
      <c r="K232" t="s">
        <v>185</v>
      </c>
      <c r="L232">
        <f>IF(Table_TRM_Fixtures[[#This Row],[Technology]]="LED", Table_TRM_Fixtures[[#This Row],[Fixture Watts  (TRM Data)]], Table_TRM_Fixtures[[#This Row],[Lamp Watts  (TRM Data)]])</f>
        <v>180</v>
      </c>
      <c r="M232" t="str">
        <f>Table_TRM_Fixtures[[#This Row],[No. of Lamps  (TRM Data)]]</f>
        <v>N/A</v>
      </c>
      <c r="N232" t="s">
        <v>186</v>
      </c>
      <c r="O232" t="s">
        <v>186</v>
      </c>
      <c r="P232" t="s">
        <v>187</v>
      </c>
      <c r="S232" t="s">
        <v>646</v>
      </c>
      <c r="T232" t="str">
        <f>Table_TRM_Fixtures[[#This Row],[Fixture code  (TRM Data)]]</f>
        <v>LED180-FIXT</v>
      </c>
      <c r="U232" t="s">
        <v>2883</v>
      </c>
      <c r="V232" t="s">
        <v>185</v>
      </c>
      <c r="W232" t="s">
        <v>3120</v>
      </c>
      <c r="X232" t="s">
        <v>186</v>
      </c>
      <c r="AA232">
        <f>IF(Table_TRM_Fixtures[[#This Row],[Pre-EISA Baseline]]="Nominal", Table_TRM_Fixtures[[#This Row],[Fixture Watts  (TRM Data)]], Table_TRM_Fixtures[[#This Row],[Modified Baseline Fixture Watts]])</f>
        <v>180</v>
      </c>
    </row>
    <row r="233" spans="1:27" x14ac:dyDescent="0.2">
      <c r="A233" t="s">
        <v>649</v>
      </c>
      <c r="B233" t="s">
        <v>3808</v>
      </c>
      <c r="C233" t="s">
        <v>3809</v>
      </c>
      <c r="D233" t="s">
        <v>3810</v>
      </c>
      <c r="E233" t="s">
        <v>187</v>
      </c>
      <c r="F233" t="s">
        <v>186</v>
      </c>
      <c r="G233" t="s">
        <v>186</v>
      </c>
      <c r="H233">
        <v>181</v>
      </c>
      <c r="I233">
        <v>15</v>
      </c>
      <c r="J233" s="110">
        <v>231</v>
      </c>
      <c r="K233" t="s">
        <v>185</v>
      </c>
      <c r="L233">
        <f>IF(Table_TRM_Fixtures[[#This Row],[Technology]]="LED", Table_TRM_Fixtures[[#This Row],[Fixture Watts  (TRM Data)]], Table_TRM_Fixtures[[#This Row],[Lamp Watts  (TRM Data)]])</f>
        <v>181</v>
      </c>
      <c r="M233" t="str">
        <f>Table_TRM_Fixtures[[#This Row],[No. of Lamps  (TRM Data)]]</f>
        <v>N/A</v>
      </c>
      <c r="N233" t="s">
        <v>186</v>
      </c>
      <c r="O233" t="s">
        <v>186</v>
      </c>
      <c r="P233" t="s">
        <v>187</v>
      </c>
      <c r="S233" t="s">
        <v>648</v>
      </c>
      <c r="T233" t="str">
        <f>Table_TRM_Fixtures[[#This Row],[Fixture code  (TRM Data)]]</f>
        <v>LED181-FIXT</v>
      </c>
      <c r="U233" t="s">
        <v>2883</v>
      </c>
      <c r="V233" t="s">
        <v>185</v>
      </c>
      <c r="W233" t="s">
        <v>3120</v>
      </c>
      <c r="X233" t="s">
        <v>186</v>
      </c>
      <c r="AA233">
        <f>IF(Table_TRM_Fixtures[[#This Row],[Pre-EISA Baseline]]="Nominal", Table_TRM_Fixtures[[#This Row],[Fixture Watts  (TRM Data)]], Table_TRM_Fixtures[[#This Row],[Modified Baseline Fixture Watts]])</f>
        <v>181</v>
      </c>
    </row>
    <row r="234" spans="1:27" x14ac:dyDescent="0.2">
      <c r="A234" t="s">
        <v>651</v>
      </c>
      <c r="B234" t="s">
        <v>3811</v>
      </c>
      <c r="C234" t="s">
        <v>3812</v>
      </c>
      <c r="D234" t="s">
        <v>3813</v>
      </c>
      <c r="E234" t="s">
        <v>187</v>
      </c>
      <c r="F234" t="s">
        <v>186</v>
      </c>
      <c r="G234" t="s">
        <v>186</v>
      </c>
      <c r="H234">
        <v>182</v>
      </c>
      <c r="I234">
        <v>15</v>
      </c>
      <c r="J234" s="110">
        <v>232</v>
      </c>
      <c r="K234" t="s">
        <v>185</v>
      </c>
      <c r="L234">
        <f>IF(Table_TRM_Fixtures[[#This Row],[Technology]]="LED", Table_TRM_Fixtures[[#This Row],[Fixture Watts  (TRM Data)]], Table_TRM_Fixtures[[#This Row],[Lamp Watts  (TRM Data)]])</f>
        <v>182</v>
      </c>
      <c r="M234" t="str">
        <f>Table_TRM_Fixtures[[#This Row],[No. of Lamps  (TRM Data)]]</f>
        <v>N/A</v>
      </c>
      <c r="N234" t="s">
        <v>186</v>
      </c>
      <c r="O234" t="s">
        <v>186</v>
      </c>
      <c r="P234" t="s">
        <v>187</v>
      </c>
      <c r="S234" t="s">
        <v>650</v>
      </c>
      <c r="T234" t="str">
        <f>Table_TRM_Fixtures[[#This Row],[Fixture code  (TRM Data)]]</f>
        <v>LED182-FIXT</v>
      </c>
      <c r="U234" t="s">
        <v>2883</v>
      </c>
      <c r="V234" t="s">
        <v>185</v>
      </c>
      <c r="W234" t="s">
        <v>3120</v>
      </c>
      <c r="X234" t="s">
        <v>186</v>
      </c>
      <c r="AA234">
        <f>IF(Table_TRM_Fixtures[[#This Row],[Pre-EISA Baseline]]="Nominal", Table_TRM_Fixtures[[#This Row],[Fixture Watts  (TRM Data)]], Table_TRM_Fixtures[[#This Row],[Modified Baseline Fixture Watts]])</f>
        <v>182</v>
      </c>
    </row>
    <row r="235" spans="1:27" x14ac:dyDescent="0.2">
      <c r="A235" t="s">
        <v>653</v>
      </c>
      <c r="B235" t="s">
        <v>3814</v>
      </c>
      <c r="C235" t="s">
        <v>3815</v>
      </c>
      <c r="D235" t="s">
        <v>3816</v>
      </c>
      <c r="E235" t="s">
        <v>187</v>
      </c>
      <c r="F235" t="s">
        <v>186</v>
      </c>
      <c r="G235" t="s">
        <v>186</v>
      </c>
      <c r="H235">
        <v>183</v>
      </c>
      <c r="I235">
        <v>15</v>
      </c>
      <c r="J235" s="110">
        <v>233</v>
      </c>
      <c r="K235" t="s">
        <v>185</v>
      </c>
      <c r="L235">
        <f>IF(Table_TRM_Fixtures[[#This Row],[Technology]]="LED", Table_TRM_Fixtures[[#This Row],[Fixture Watts  (TRM Data)]], Table_TRM_Fixtures[[#This Row],[Lamp Watts  (TRM Data)]])</f>
        <v>183</v>
      </c>
      <c r="M235" t="str">
        <f>Table_TRM_Fixtures[[#This Row],[No. of Lamps  (TRM Data)]]</f>
        <v>N/A</v>
      </c>
      <c r="N235" t="s">
        <v>186</v>
      </c>
      <c r="O235" t="s">
        <v>186</v>
      </c>
      <c r="P235" t="s">
        <v>187</v>
      </c>
      <c r="S235" t="s">
        <v>652</v>
      </c>
      <c r="T235" t="str">
        <f>Table_TRM_Fixtures[[#This Row],[Fixture code  (TRM Data)]]</f>
        <v>LED183-FIXT</v>
      </c>
      <c r="U235" t="s">
        <v>2883</v>
      </c>
      <c r="V235" t="s">
        <v>185</v>
      </c>
      <c r="W235" t="s">
        <v>3120</v>
      </c>
      <c r="X235" t="s">
        <v>186</v>
      </c>
      <c r="AA235">
        <f>IF(Table_TRM_Fixtures[[#This Row],[Pre-EISA Baseline]]="Nominal", Table_TRM_Fixtures[[#This Row],[Fixture Watts  (TRM Data)]], Table_TRM_Fixtures[[#This Row],[Modified Baseline Fixture Watts]])</f>
        <v>183</v>
      </c>
    </row>
    <row r="236" spans="1:27" x14ac:dyDescent="0.2">
      <c r="A236" t="s">
        <v>655</v>
      </c>
      <c r="B236" t="s">
        <v>3817</v>
      </c>
      <c r="C236" t="s">
        <v>3818</v>
      </c>
      <c r="D236" t="s">
        <v>3819</v>
      </c>
      <c r="E236" t="s">
        <v>187</v>
      </c>
      <c r="F236" t="s">
        <v>186</v>
      </c>
      <c r="G236" t="s">
        <v>186</v>
      </c>
      <c r="H236">
        <v>184</v>
      </c>
      <c r="I236">
        <v>15</v>
      </c>
      <c r="J236" s="110">
        <v>234</v>
      </c>
      <c r="K236" t="s">
        <v>185</v>
      </c>
      <c r="L236">
        <f>IF(Table_TRM_Fixtures[[#This Row],[Technology]]="LED", Table_TRM_Fixtures[[#This Row],[Fixture Watts  (TRM Data)]], Table_TRM_Fixtures[[#This Row],[Lamp Watts  (TRM Data)]])</f>
        <v>184</v>
      </c>
      <c r="M236" t="str">
        <f>Table_TRM_Fixtures[[#This Row],[No. of Lamps  (TRM Data)]]</f>
        <v>N/A</v>
      </c>
      <c r="N236" t="s">
        <v>186</v>
      </c>
      <c r="O236" t="s">
        <v>186</v>
      </c>
      <c r="P236" t="s">
        <v>187</v>
      </c>
      <c r="S236" t="s">
        <v>654</v>
      </c>
      <c r="T236" t="str">
        <f>Table_TRM_Fixtures[[#This Row],[Fixture code  (TRM Data)]]</f>
        <v>LED184-FIXT</v>
      </c>
      <c r="U236" t="s">
        <v>2883</v>
      </c>
      <c r="V236" t="s">
        <v>185</v>
      </c>
      <c r="W236" t="s">
        <v>3120</v>
      </c>
      <c r="X236" t="s">
        <v>186</v>
      </c>
      <c r="AA236">
        <f>IF(Table_TRM_Fixtures[[#This Row],[Pre-EISA Baseline]]="Nominal", Table_TRM_Fixtures[[#This Row],[Fixture Watts  (TRM Data)]], Table_TRM_Fixtures[[#This Row],[Modified Baseline Fixture Watts]])</f>
        <v>184</v>
      </c>
    </row>
    <row r="237" spans="1:27" x14ac:dyDescent="0.2">
      <c r="A237" t="s">
        <v>657</v>
      </c>
      <c r="B237" t="s">
        <v>3820</v>
      </c>
      <c r="C237" t="s">
        <v>3821</v>
      </c>
      <c r="D237" t="s">
        <v>3822</v>
      </c>
      <c r="E237" t="s">
        <v>187</v>
      </c>
      <c r="F237" t="s">
        <v>186</v>
      </c>
      <c r="G237" t="s">
        <v>186</v>
      </c>
      <c r="H237">
        <v>185</v>
      </c>
      <c r="I237">
        <v>15</v>
      </c>
      <c r="J237" s="110">
        <v>235</v>
      </c>
      <c r="K237" t="s">
        <v>185</v>
      </c>
      <c r="L237">
        <f>IF(Table_TRM_Fixtures[[#This Row],[Technology]]="LED", Table_TRM_Fixtures[[#This Row],[Fixture Watts  (TRM Data)]], Table_TRM_Fixtures[[#This Row],[Lamp Watts  (TRM Data)]])</f>
        <v>185</v>
      </c>
      <c r="M237" t="str">
        <f>Table_TRM_Fixtures[[#This Row],[No. of Lamps  (TRM Data)]]</f>
        <v>N/A</v>
      </c>
      <c r="N237" t="s">
        <v>186</v>
      </c>
      <c r="O237" t="s">
        <v>186</v>
      </c>
      <c r="P237" t="s">
        <v>187</v>
      </c>
      <c r="S237" t="s">
        <v>656</v>
      </c>
      <c r="T237" t="str">
        <f>Table_TRM_Fixtures[[#This Row],[Fixture code  (TRM Data)]]</f>
        <v>LED185-FIXT</v>
      </c>
      <c r="U237" t="s">
        <v>2883</v>
      </c>
      <c r="V237" t="s">
        <v>185</v>
      </c>
      <c r="W237" t="s">
        <v>3120</v>
      </c>
      <c r="X237" t="s">
        <v>186</v>
      </c>
      <c r="AA237">
        <f>IF(Table_TRM_Fixtures[[#This Row],[Pre-EISA Baseline]]="Nominal", Table_TRM_Fixtures[[#This Row],[Fixture Watts  (TRM Data)]], Table_TRM_Fixtures[[#This Row],[Modified Baseline Fixture Watts]])</f>
        <v>185</v>
      </c>
    </row>
    <row r="238" spans="1:27" x14ac:dyDescent="0.2">
      <c r="A238" t="s">
        <v>659</v>
      </c>
      <c r="B238" t="s">
        <v>3823</v>
      </c>
      <c r="C238" t="s">
        <v>3824</v>
      </c>
      <c r="D238" t="s">
        <v>3825</v>
      </c>
      <c r="E238" t="s">
        <v>187</v>
      </c>
      <c r="F238" t="s">
        <v>186</v>
      </c>
      <c r="G238" t="s">
        <v>186</v>
      </c>
      <c r="H238">
        <v>186</v>
      </c>
      <c r="I238">
        <v>15</v>
      </c>
      <c r="J238" s="110">
        <v>236</v>
      </c>
      <c r="K238" t="s">
        <v>185</v>
      </c>
      <c r="L238">
        <f>IF(Table_TRM_Fixtures[[#This Row],[Technology]]="LED", Table_TRM_Fixtures[[#This Row],[Fixture Watts  (TRM Data)]], Table_TRM_Fixtures[[#This Row],[Lamp Watts  (TRM Data)]])</f>
        <v>186</v>
      </c>
      <c r="M238" t="str">
        <f>Table_TRM_Fixtures[[#This Row],[No. of Lamps  (TRM Data)]]</f>
        <v>N/A</v>
      </c>
      <c r="N238" t="s">
        <v>186</v>
      </c>
      <c r="O238" t="s">
        <v>186</v>
      </c>
      <c r="P238" t="s">
        <v>187</v>
      </c>
      <c r="S238" t="s">
        <v>658</v>
      </c>
      <c r="T238" t="str">
        <f>Table_TRM_Fixtures[[#This Row],[Fixture code  (TRM Data)]]</f>
        <v>LED186-FIXT</v>
      </c>
      <c r="U238" t="s">
        <v>2883</v>
      </c>
      <c r="V238" t="s">
        <v>185</v>
      </c>
      <c r="W238" t="s">
        <v>3120</v>
      </c>
      <c r="X238" t="s">
        <v>186</v>
      </c>
      <c r="AA238">
        <f>IF(Table_TRM_Fixtures[[#This Row],[Pre-EISA Baseline]]="Nominal", Table_TRM_Fixtures[[#This Row],[Fixture Watts  (TRM Data)]], Table_TRM_Fixtures[[#This Row],[Modified Baseline Fixture Watts]])</f>
        <v>186</v>
      </c>
    </row>
    <row r="239" spans="1:27" x14ac:dyDescent="0.2">
      <c r="A239" t="s">
        <v>661</v>
      </c>
      <c r="B239" t="s">
        <v>3826</v>
      </c>
      <c r="C239" t="s">
        <v>3827</v>
      </c>
      <c r="D239" t="s">
        <v>3828</v>
      </c>
      <c r="E239" t="s">
        <v>187</v>
      </c>
      <c r="F239" t="s">
        <v>186</v>
      </c>
      <c r="G239" t="s">
        <v>186</v>
      </c>
      <c r="H239">
        <v>187</v>
      </c>
      <c r="I239">
        <v>15</v>
      </c>
      <c r="J239" s="110">
        <v>237</v>
      </c>
      <c r="K239" t="s">
        <v>185</v>
      </c>
      <c r="L239">
        <f>IF(Table_TRM_Fixtures[[#This Row],[Technology]]="LED", Table_TRM_Fixtures[[#This Row],[Fixture Watts  (TRM Data)]], Table_TRM_Fixtures[[#This Row],[Lamp Watts  (TRM Data)]])</f>
        <v>187</v>
      </c>
      <c r="M239" t="str">
        <f>Table_TRM_Fixtures[[#This Row],[No. of Lamps  (TRM Data)]]</f>
        <v>N/A</v>
      </c>
      <c r="N239" t="s">
        <v>186</v>
      </c>
      <c r="O239" t="s">
        <v>186</v>
      </c>
      <c r="P239" t="s">
        <v>187</v>
      </c>
      <c r="S239" t="s">
        <v>660</v>
      </c>
      <c r="T239" t="str">
        <f>Table_TRM_Fixtures[[#This Row],[Fixture code  (TRM Data)]]</f>
        <v>LED187-FIXT</v>
      </c>
      <c r="U239" t="s">
        <v>2883</v>
      </c>
      <c r="V239" t="s">
        <v>185</v>
      </c>
      <c r="W239" t="s">
        <v>3120</v>
      </c>
      <c r="X239" t="s">
        <v>186</v>
      </c>
      <c r="AA239">
        <f>IF(Table_TRM_Fixtures[[#This Row],[Pre-EISA Baseline]]="Nominal", Table_TRM_Fixtures[[#This Row],[Fixture Watts  (TRM Data)]], Table_TRM_Fixtures[[#This Row],[Modified Baseline Fixture Watts]])</f>
        <v>187</v>
      </c>
    </row>
    <row r="240" spans="1:27" x14ac:dyDescent="0.2">
      <c r="A240" t="s">
        <v>663</v>
      </c>
      <c r="B240" t="s">
        <v>3829</v>
      </c>
      <c r="C240" t="s">
        <v>3830</v>
      </c>
      <c r="D240" t="s">
        <v>3831</v>
      </c>
      <c r="E240" t="s">
        <v>187</v>
      </c>
      <c r="F240" t="s">
        <v>186</v>
      </c>
      <c r="G240" t="s">
        <v>186</v>
      </c>
      <c r="H240">
        <v>188</v>
      </c>
      <c r="I240">
        <v>15</v>
      </c>
      <c r="J240" s="110">
        <v>238</v>
      </c>
      <c r="K240" t="s">
        <v>185</v>
      </c>
      <c r="L240">
        <f>IF(Table_TRM_Fixtures[[#This Row],[Technology]]="LED", Table_TRM_Fixtures[[#This Row],[Fixture Watts  (TRM Data)]], Table_TRM_Fixtures[[#This Row],[Lamp Watts  (TRM Data)]])</f>
        <v>188</v>
      </c>
      <c r="M240" t="str">
        <f>Table_TRM_Fixtures[[#This Row],[No. of Lamps  (TRM Data)]]</f>
        <v>N/A</v>
      </c>
      <c r="N240" t="s">
        <v>186</v>
      </c>
      <c r="O240" t="s">
        <v>186</v>
      </c>
      <c r="P240" t="s">
        <v>187</v>
      </c>
      <c r="S240" t="s">
        <v>662</v>
      </c>
      <c r="T240" t="str">
        <f>Table_TRM_Fixtures[[#This Row],[Fixture code  (TRM Data)]]</f>
        <v>LED188-FIXT</v>
      </c>
      <c r="U240" t="s">
        <v>2883</v>
      </c>
      <c r="V240" t="s">
        <v>185</v>
      </c>
      <c r="W240" t="s">
        <v>3120</v>
      </c>
      <c r="X240" t="s">
        <v>186</v>
      </c>
      <c r="AA240">
        <f>IF(Table_TRM_Fixtures[[#This Row],[Pre-EISA Baseline]]="Nominal", Table_TRM_Fixtures[[#This Row],[Fixture Watts  (TRM Data)]], Table_TRM_Fixtures[[#This Row],[Modified Baseline Fixture Watts]])</f>
        <v>188</v>
      </c>
    </row>
    <row r="241" spans="1:27" x14ac:dyDescent="0.2">
      <c r="A241" t="s">
        <v>665</v>
      </c>
      <c r="B241" t="s">
        <v>3832</v>
      </c>
      <c r="C241" t="s">
        <v>3833</v>
      </c>
      <c r="D241" t="s">
        <v>3834</v>
      </c>
      <c r="E241" t="s">
        <v>187</v>
      </c>
      <c r="F241" t="s">
        <v>186</v>
      </c>
      <c r="G241" t="s">
        <v>186</v>
      </c>
      <c r="H241">
        <v>189</v>
      </c>
      <c r="I241">
        <v>15</v>
      </c>
      <c r="J241" s="110">
        <v>239</v>
      </c>
      <c r="K241" t="s">
        <v>185</v>
      </c>
      <c r="L241">
        <f>IF(Table_TRM_Fixtures[[#This Row],[Technology]]="LED", Table_TRM_Fixtures[[#This Row],[Fixture Watts  (TRM Data)]], Table_TRM_Fixtures[[#This Row],[Lamp Watts  (TRM Data)]])</f>
        <v>189</v>
      </c>
      <c r="M241" t="str">
        <f>Table_TRM_Fixtures[[#This Row],[No. of Lamps  (TRM Data)]]</f>
        <v>N/A</v>
      </c>
      <c r="N241" t="s">
        <v>186</v>
      </c>
      <c r="O241" t="s">
        <v>186</v>
      </c>
      <c r="P241" t="s">
        <v>187</v>
      </c>
      <c r="S241" t="s">
        <v>664</v>
      </c>
      <c r="T241" t="str">
        <f>Table_TRM_Fixtures[[#This Row],[Fixture code  (TRM Data)]]</f>
        <v>LED189-FIXT</v>
      </c>
      <c r="U241" t="s">
        <v>2883</v>
      </c>
      <c r="V241" t="s">
        <v>185</v>
      </c>
      <c r="W241" t="s">
        <v>3120</v>
      </c>
      <c r="X241" t="s">
        <v>186</v>
      </c>
      <c r="AA241">
        <f>IF(Table_TRM_Fixtures[[#This Row],[Pre-EISA Baseline]]="Nominal", Table_TRM_Fixtures[[#This Row],[Fixture Watts  (TRM Data)]], Table_TRM_Fixtures[[#This Row],[Modified Baseline Fixture Watts]])</f>
        <v>189</v>
      </c>
    </row>
    <row r="242" spans="1:27" x14ac:dyDescent="0.2">
      <c r="A242" t="s">
        <v>667</v>
      </c>
      <c r="B242" t="s">
        <v>3835</v>
      </c>
      <c r="C242" t="s">
        <v>3836</v>
      </c>
      <c r="D242" t="s">
        <v>3837</v>
      </c>
      <c r="E242" t="s">
        <v>187</v>
      </c>
      <c r="F242" t="s">
        <v>186</v>
      </c>
      <c r="G242" t="s">
        <v>186</v>
      </c>
      <c r="H242">
        <v>190</v>
      </c>
      <c r="I242">
        <v>15</v>
      </c>
      <c r="J242" s="110">
        <v>240</v>
      </c>
      <c r="K242" t="s">
        <v>185</v>
      </c>
      <c r="L242">
        <f>IF(Table_TRM_Fixtures[[#This Row],[Technology]]="LED", Table_TRM_Fixtures[[#This Row],[Fixture Watts  (TRM Data)]], Table_TRM_Fixtures[[#This Row],[Lamp Watts  (TRM Data)]])</f>
        <v>190</v>
      </c>
      <c r="M242" t="str">
        <f>Table_TRM_Fixtures[[#This Row],[No. of Lamps  (TRM Data)]]</f>
        <v>N/A</v>
      </c>
      <c r="N242" t="s">
        <v>186</v>
      </c>
      <c r="O242" t="s">
        <v>186</v>
      </c>
      <c r="P242" t="s">
        <v>187</v>
      </c>
      <c r="S242" t="s">
        <v>666</v>
      </c>
      <c r="T242" t="str">
        <f>Table_TRM_Fixtures[[#This Row],[Fixture code  (TRM Data)]]</f>
        <v>LED190-FIXT</v>
      </c>
      <c r="U242" t="s">
        <v>2883</v>
      </c>
      <c r="V242" t="s">
        <v>185</v>
      </c>
      <c r="W242" t="s">
        <v>3120</v>
      </c>
      <c r="X242" t="s">
        <v>186</v>
      </c>
      <c r="AA242">
        <f>IF(Table_TRM_Fixtures[[#This Row],[Pre-EISA Baseline]]="Nominal", Table_TRM_Fixtures[[#This Row],[Fixture Watts  (TRM Data)]], Table_TRM_Fixtures[[#This Row],[Modified Baseline Fixture Watts]])</f>
        <v>190</v>
      </c>
    </row>
    <row r="243" spans="1:27" x14ac:dyDescent="0.2">
      <c r="A243" t="s">
        <v>669</v>
      </c>
      <c r="B243" t="s">
        <v>3838</v>
      </c>
      <c r="C243" t="s">
        <v>3839</v>
      </c>
      <c r="D243" t="s">
        <v>3840</v>
      </c>
      <c r="E243" t="s">
        <v>187</v>
      </c>
      <c r="F243" t="s">
        <v>186</v>
      </c>
      <c r="G243" t="s">
        <v>186</v>
      </c>
      <c r="H243">
        <v>191</v>
      </c>
      <c r="I243">
        <v>15</v>
      </c>
      <c r="J243" s="110">
        <v>241</v>
      </c>
      <c r="K243" t="s">
        <v>185</v>
      </c>
      <c r="L243">
        <f>IF(Table_TRM_Fixtures[[#This Row],[Technology]]="LED", Table_TRM_Fixtures[[#This Row],[Fixture Watts  (TRM Data)]], Table_TRM_Fixtures[[#This Row],[Lamp Watts  (TRM Data)]])</f>
        <v>191</v>
      </c>
      <c r="M243" t="str">
        <f>Table_TRM_Fixtures[[#This Row],[No. of Lamps  (TRM Data)]]</f>
        <v>N/A</v>
      </c>
      <c r="N243" t="s">
        <v>186</v>
      </c>
      <c r="O243" t="s">
        <v>186</v>
      </c>
      <c r="P243" t="s">
        <v>187</v>
      </c>
      <c r="S243" t="s">
        <v>668</v>
      </c>
      <c r="T243" t="str">
        <f>Table_TRM_Fixtures[[#This Row],[Fixture code  (TRM Data)]]</f>
        <v>LED191-FIXT</v>
      </c>
      <c r="U243" t="s">
        <v>2883</v>
      </c>
      <c r="V243" t="s">
        <v>185</v>
      </c>
      <c r="W243" t="s">
        <v>3120</v>
      </c>
      <c r="X243" t="s">
        <v>186</v>
      </c>
      <c r="AA243">
        <f>IF(Table_TRM_Fixtures[[#This Row],[Pre-EISA Baseline]]="Nominal", Table_TRM_Fixtures[[#This Row],[Fixture Watts  (TRM Data)]], Table_TRM_Fixtures[[#This Row],[Modified Baseline Fixture Watts]])</f>
        <v>191</v>
      </c>
    </row>
    <row r="244" spans="1:27" x14ac:dyDescent="0.2">
      <c r="A244" t="s">
        <v>671</v>
      </c>
      <c r="B244" t="s">
        <v>3841</v>
      </c>
      <c r="C244" t="s">
        <v>3842</v>
      </c>
      <c r="D244" t="s">
        <v>3843</v>
      </c>
      <c r="E244" t="s">
        <v>187</v>
      </c>
      <c r="F244" t="s">
        <v>186</v>
      </c>
      <c r="G244" t="s">
        <v>186</v>
      </c>
      <c r="H244">
        <v>192</v>
      </c>
      <c r="I244">
        <v>15</v>
      </c>
      <c r="J244" s="110">
        <v>242</v>
      </c>
      <c r="K244" t="s">
        <v>185</v>
      </c>
      <c r="L244">
        <f>IF(Table_TRM_Fixtures[[#This Row],[Technology]]="LED", Table_TRM_Fixtures[[#This Row],[Fixture Watts  (TRM Data)]], Table_TRM_Fixtures[[#This Row],[Lamp Watts  (TRM Data)]])</f>
        <v>192</v>
      </c>
      <c r="M244" t="str">
        <f>Table_TRM_Fixtures[[#This Row],[No. of Lamps  (TRM Data)]]</f>
        <v>N/A</v>
      </c>
      <c r="N244" t="s">
        <v>186</v>
      </c>
      <c r="O244" t="s">
        <v>186</v>
      </c>
      <c r="P244" t="s">
        <v>187</v>
      </c>
      <c r="S244" t="s">
        <v>670</v>
      </c>
      <c r="T244" t="str">
        <f>Table_TRM_Fixtures[[#This Row],[Fixture code  (TRM Data)]]</f>
        <v>LED192-FIXT</v>
      </c>
      <c r="U244" t="s">
        <v>2883</v>
      </c>
      <c r="V244" t="s">
        <v>185</v>
      </c>
      <c r="W244" t="s">
        <v>3120</v>
      </c>
      <c r="X244" t="s">
        <v>186</v>
      </c>
      <c r="AA244">
        <f>IF(Table_TRM_Fixtures[[#This Row],[Pre-EISA Baseline]]="Nominal", Table_TRM_Fixtures[[#This Row],[Fixture Watts  (TRM Data)]], Table_TRM_Fixtures[[#This Row],[Modified Baseline Fixture Watts]])</f>
        <v>192</v>
      </c>
    </row>
    <row r="245" spans="1:27" x14ac:dyDescent="0.2">
      <c r="A245" t="s">
        <v>673</v>
      </c>
      <c r="B245" t="s">
        <v>3844</v>
      </c>
      <c r="C245" t="s">
        <v>3845</v>
      </c>
      <c r="D245" t="s">
        <v>3846</v>
      </c>
      <c r="E245" t="s">
        <v>187</v>
      </c>
      <c r="F245" t="s">
        <v>186</v>
      </c>
      <c r="G245" t="s">
        <v>186</v>
      </c>
      <c r="H245">
        <v>193</v>
      </c>
      <c r="I245">
        <v>15</v>
      </c>
      <c r="J245" s="110">
        <v>243</v>
      </c>
      <c r="K245" t="s">
        <v>185</v>
      </c>
      <c r="L245">
        <f>IF(Table_TRM_Fixtures[[#This Row],[Technology]]="LED", Table_TRM_Fixtures[[#This Row],[Fixture Watts  (TRM Data)]], Table_TRM_Fixtures[[#This Row],[Lamp Watts  (TRM Data)]])</f>
        <v>193</v>
      </c>
      <c r="M245" t="str">
        <f>Table_TRM_Fixtures[[#This Row],[No. of Lamps  (TRM Data)]]</f>
        <v>N/A</v>
      </c>
      <c r="N245" t="s">
        <v>186</v>
      </c>
      <c r="O245" t="s">
        <v>186</v>
      </c>
      <c r="P245" t="s">
        <v>187</v>
      </c>
      <c r="S245" t="s">
        <v>672</v>
      </c>
      <c r="T245" t="str">
        <f>Table_TRM_Fixtures[[#This Row],[Fixture code  (TRM Data)]]</f>
        <v>LED193-FIXT</v>
      </c>
      <c r="U245" t="s">
        <v>2883</v>
      </c>
      <c r="V245" t="s">
        <v>185</v>
      </c>
      <c r="W245" t="s">
        <v>3120</v>
      </c>
      <c r="X245" t="s">
        <v>186</v>
      </c>
      <c r="AA245">
        <f>IF(Table_TRM_Fixtures[[#This Row],[Pre-EISA Baseline]]="Nominal", Table_TRM_Fixtures[[#This Row],[Fixture Watts  (TRM Data)]], Table_TRM_Fixtures[[#This Row],[Modified Baseline Fixture Watts]])</f>
        <v>193</v>
      </c>
    </row>
    <row r="246" spans="1:27" x14ac:dyDescent="0.2">
      <c r="A246" t="s">
        <v>675</v>
      </c>
      <c r="B246" t="s">
        <v>3847</v>
      </c>
      <c r="C246" t="s">
        <v>3848</v>
      </c>
      <c r="D246" t="s">
        <v>3849</v>
      </c>
      <c r="E246" t="s">
        <v>187</v>
      </c>
      <c r="F246" t="s">
        <v>186</v>
      </c>
      <c r="G246" t="s">
        <v>186</v>
      </c>
      <c r="H246">
        <v>194</v>
      </c>
      <c r="I246">
        <v>15</v>
      </c>
      <c r="J246" s="110">
        <v>244</v>
      </c>
      <c r="K246" t="s">
        <v>185</v>
      </c>
      <c r="L246">
        <f>IF(Table_TRM_Fixtures[[#This Row],[Technology]]="LED", Table_TRM_Fixtures[[#This Row],[Fixture Watts  (TRM Data)]], Table_TRM_Fixtures[[#This Row],[Lamp Watts  (TRM Data)]])</f>
        <v>194</v>
      </c>
      <c r="M246" t="str">
        <f>Table_TRM_Fixtures[[#This Row],[No. of Lamps  (TRM Data)]]</f>
        <v>N/A</v>
      </c>
      <c r="N246" t="s">
        <v>186</v>
      </c>
      <c r="O246" t="s">
        <v>186</v>
      </c>
      <c r="P246" t="s">
        <v>187</v>
      </c>
      <c r="S246" t="s">
        <v>674</v>
      </c>
      <c r="T246" t="str">
        <f>Table_TRM_Fixtures[[#This Row],[Fixture code  (TRM Data)]]</f>
        <v>LED194-FIXT</v>
      </c>
      <c r="U246" t="s">
        <v>2883</v>
      </c>
      <c r="V246" t="s">
        <v>185</v>
      </c>
      <c r="W246" t="s">
        <v>3120</v>
      </c>
      <c r="X246" t="s">
        <v>186</v>
      </c>
      <c r="AA246">
        <f>IF(Table_TRM_Fixtures[[#This Row],[Pre-EISA Baseline]]="Nominal", Table_TRM_Fixtures[[#This Row],[Fixture Watts  (TRM Data)]], Table_TRM_Fixtures[[#This Row],[Modified Baseline Fixture Watts]])</f>
        <v>194</v>
      </c>
    </row>
    <row r="247" spans="1:27" x14ac:dyDescent="0.2">
      <c r="A247" t="s">
        <v>677</v>
      </c>
      <c r="B247" t="s">
        <v>3850</v>
      </c>
      <c r="C247" t="s">
        <v>3851</v>
      </c>
      <c r="D247" t="s">
        <v>3852</v>
      </c>
      <c r="E247" t="s">
        <v>187</v>
      </c>
      <c r="F247" t="s">
        <v>186</v>
      </c>
      <c r="G247" t="s">
        <v>186</v>
      </c>
      <c r="H247">
        <v>195</v>
      </c>
      <c r="I247">
        <v>15</v>
      </c>
      <c r="J247" s="110">
        <v>245</v>
      </c>
      <c r="K247" t="s">
        <v>185</v>
      </c>
      <c r="L247">
        <f>IF(Table_TRM_Fixtures[[#This Row],[Technology]]="LED", Table_TRM_Fixtures[[#This Row],[Fixture Watts  (TRM Data)]], Table_TRM_Fixtures[[#This Row],[Lamp Watts  (TRM Data)]])</f>
        <v>195</v>
      </c>
      <c r="M247" t="str">
        <f>Table_TRM_Fixtures[[#This Row],[No. of Lamps  (TRM Data)]]</f>
        <v>N/A</v>
      </c>
      <c r="N247" t="s">
        <v>186</v>
      </c>
      <c r="O247" t="s">
        <v>186</v>
      </c>
      <c r="P247" t="s">
        <v>187</v>
      </c>
      <c r="S247" t="s">
        <v>676</v>
      </c>
      <c r="T247" t="str">
        <f>Table_TRM_Fixtures[[#This Row],[Fixture code  (TRM Data)]]</f>
        <v>LED195-FIXT</v>
      </c>
      <c r="U247" t="s">
        <v>2883</v>
      </c>
      <c r="V247" t="s">
        <v>185</v>
      </c>
      <c r="W247" t="s">
        <v>3120</v>
      </c>
      <c r="X247" t="s">
        <v>186</v>
      </c>
      <c r="AA247">
        <f>IF(Table_TRM_Fixtures[[#This Row],[Pre-EISA Baseline]]="Nominal", Table_TRM_Fixtures[[#This Row],[Fixture Watts  (TRM Data)]], Table_TRM_Fixtures[[#This Row],[Modified Baseline Fixture Watts]])</f>
        <v>195</v>
      </c>
    </row>
    <row r="248" spans="1:27" x14ac:dyDescent="0.2">
      <c r="A248" t="s">
        <v>679</v>
      </c>
      <c r="B248" t="s">
        <v>3853</v>
      </c>
      <c r="C248" t="s">
        <v>3854</v>
      </c>
      <c r="D248" t="s">
        <v>3855</v>
      </c>
      <c r="E248" t="s">
        <v>187</v>
      </c>
      <c r="F248" t="s">
        <v>186</v>
      </c>
      <c r="G248" t="s">
        <v>186</v>
      </c>
      <c r="H248">
        <v>196</v>
      </c>
      <c r="I248">
        <v>15</v>
      </c>
      <c r="J248" s="110">
        <v>246</v>
      </c>
      <c r="K248" t="s">
        <v>185</v>
      </c>
      <c r="L248">
        <f>IF(Table_TRM_Fixtures[[#This Row],[Technology]]="LED", Table_TRM_Fixtures[[#This Row],[Fixture Watts  (TRM Data)]], Table_TRM_Fixtures[[#This Row],[Lamp Watts  (TRM Data)]])</f>
        <v>196</v>
      </c>
      <c r="M248" t="str">
        <f>Table_TRM_Fixtures[[#This Row],[No. of Lamps  (TRM Data)]]</f>
        <v>N/A</v>
      </c>
      <c r="N248" t="s">
        <v>186</v>
      </c>
      <c r="O248" t="s">
        <v>186</v>
      </c>
      <c r="P248" t="s">
        <v>187</v>
      </c>
      <c r="S248" t="s">
        <v>678</v>
      </c>
      <c r="T248" t="str">
        <f>Table_TRM_Fixtures[[#This Row],[Fixture code  (TRM Data)]]</f>
        <v>LED196-FIXT</v>
      </c>
      <c r="U248" t="s">
        <v>2883</v>
      </c>
      <c r="V248" t="s">
        <v>185</v>
      </c>
      <c r="W248" t="s">
        <v>3120</v>
      </c>
      <c r="X248" t="s">
        <v>186</v>
      </c>
      <c r="AA248">
        <f>IF(Table_TRM_Fixtures[[#This Row],[Pre-EISA Baseline]]="Nominal", Table_TRM_Fixtures[[#This Row],[Fixture Watts  (TRM Data)]], Table_TRM_Fixtures[[#This Row],[Modified Baseline Fixture Watts]])</f>
        <v>196</v>
      </c>
    </row>
    <row r="249" spans="1:27" x14ac:dyDescent="0.2">
      <c r="A249" t="s">
        <v>681</v>
      </c>
      <c r="B249" t="s">
        <v>3856</v>
      </c>
      <c r="C249" t="s">
        <v>3857</v>
      </c>
      <c r="D249" t="s">
        <v>3858</v>
      </c>
      <c r="E249" t="s">
        <v>187</v>
      </c>
      <c r="F249" t="s">
        <v>186</v>
      </c>
      <c r="G249" t="s">
        <v>186</v>
      </c>
      <c r="H249">
        <v>197</v>
      </c>
      <c r="I249">
        <v>15</v>
      </c>
      <c r="J249" s="110">
        <v>247</v>
      </c>
      <c r="K249" t="s">
        <v>185</v>
      </c>
      <c r="L249">
        <f>IF(Table_TRM_Fixtures[[#This Row],[Technology]]="LED", Table_TRM_Fixtures[[#This Row],[Fixture Watts  (TRM Data)]], Table_TRM_Fixtures[[#This Row],[Lamp Watts  (TRM Data)]])</f>
        <v>197</v>
      </c>
      <c r="M249" t="str">
        <f>Table_TRM_Fixtures[[#This Row],[No. of Lamps  (TRM Data)]]</f>
        <v>N/A</v>
      </c>
      <c r="N249" t="s">
        <v>186</v>
      </c>
      <c r="O249" t="s">
        <v>186</v>
      </c>
      <c r="P249" t="s">
        <v>187</v>
      </c>
      <c r="S249" t="s">
        <v>680</v>
      </c>
      <c r="T249" t="str">
        <f>Table_TRM_Fixtures[[#This Row],[Fixture code  (TRM Data)]]</f>
        <v>LED197-FIXT</v>
      </c>
      <c r="U249" t="s">
        <v>2883</v>
      </c>
      <c r="V249" t="s">
        <v>185</v>
      </c>
      <c r="W249" t="s">
        <v>3120</v>
      </c>
      <c r="X249" t="s">
        <v>186</v>
      </c>
      <c r="AA249">
        <f>IF(Table_TRM_Fixtures[[#This Row],[Pre-EISA Baseline]]="Nominal", Table_TRM_Fixtures[[#This Row],[Fixture Watts  (TRM Data)]], Table_TRM_Fixtures[[#This Row],[Modified Baseline Fixture Watts]])</f>
        <v>197</v>
      </c>
    </row>
    <row r="250" spans="1:27" x14ac:dyDescent="0.2">
      <c r="A250" t="s">
        <v>683</v>
      </c>
      <c r="B250" t="s">
        <v>3859</v>
      </c>
      <c r="C250" t="s">
        <v>3860</v>
      </c>
      <c r="D250" t="s">
        <v>3861</v>
      </c>
      <c r="E250" t="s">
        <v>187</v>
      </c>
      <c r="F250" t="s">
        <v>186</v>
      </c>
      <c r="G250" t="s">
        <v>186</v>
      </c>
      <c r="H250">
        <v>198</v>
      </c>
      <c r="I250">
        <v>15</v>
      </c>
      <c r="J250" s="110">
        <v>248</v>
      </c>
      <c r="K250" t="s">
        <v>185</v>
      </c>
      <c r="L250">
        <f>IF(Table_TRM_Fixtures[[#This Row],[Technology]]="LED", Table_TRM_Fixtures[[#This Row],[Fixture Watts  (TRM Data)]], Table_TRM_Fixtures[[#This Row],[Lamp Watts  (TRM Data)]])</f>
        <v>198</v>
      </c>
      <c r="M250" t="str">
        <f>Table_TRM_Fixtures[[#This Row],[No. of Lamps  (TRM Data)]]</f>
        <v>N/A</v>
      </c>
      <c r="N250" t="s">
        <v>186</v>
      </c>
      <c r="O250" t="s">
        <v>186</v>
      </c>
      <c r="P250" t="s">
        <v>187</v>
      </c>
      <c r="S250" t="s">
        <v>682</v>
      </c>
      <c r="T250" t="str">
        <f>Table_TRM_Fixtures[[#This Row],[Fixture code  (TRM Data)]]</f>
        <v>LED198-FIXT</v>
      </c>
      <c r="U250" t="s">
        <v>2883</v>
      </c>
      <c r="V250" t="s">
        <v>185</v>
      </c>
      <c r="W250" t="s">
        <v>3120</v>
      </c>
      <c r="X250" t="s">
        <v>186</v>
      </c>
      <c r="AA250">
        <f>IF(Table_TRM_Fixtures[[#This Row],[Pre-EISA Baseline]]="Nominal", Table_TRM_Fixtures[[#This Row],[Fixture Watts  (TRM Data)]], Table_TRM_Fixtures[[#This Row],[Modified Baseline Fixture Watts]])</f>
        <v>198</v>
      </c>
    </row>
    <row r="251" spans="1:27" x14ac:dyDescent="0.2">
      <c r="A251" t="s">
        <v>685</v>
      </c>
      <c r="B251" t="s">
        <v>3862</v>
      </c>
      <c r="C251" t="s">
        <v>3863</v>
      </c>
      <c r="D251" t="s">
        <v>3864</v>
      </c>
      <c r="E251" t="s">
        <v>187</v>
      </c>
      <c r="F251" t="s">
        <v>186</v>
      </c>
      <c r="G251" t="s">
        <v>186</v>
      </c>
      <c r="H251">
        <v>199</v>
      </c>
      <c r="I251">
        <v>15</v>
      </c>
      <c r="J251" s="110">
        <v>249</v>
      </c>
      <c r="K251" t="s">
        <v>185</v>
      </c>
      <c r="L251">
        <f>IF(Table_TRM_Fixtures[[#This Row],[Technology]]="LED", Table_TRM_Fixtures[[#This Row],[Fixture Watts  (TRM Data)]], Table_TRM_Fixtures[[#This Row],[Lamp Watts  (TRM Data)]])</f>
        <v>199</v>
      </c>
      <c r="M251" t="str">
        <f>Table_TRM_Fixtures[[#This Row],[No. of Lamps  (TRM Data)]]</f>
        <v>N/A</v>
      </c>
      <c r="N251" t="s">
        <v>186</v>
      </c>
      <c r="O251" t="s">
        <v>186</v>
      </c>
      <c r="P251" t="s">
        <v>187</v>
      </c>
      <c r="S251" t="s">
        <v>684</v>
      </c>
      <c r="T251" t="str">
        <f>Table_TRM_Fixtures[[#This Row],[Fixture code  (TRM Data)]]</f>
        <v>LED199-FIXT</v>
      </c>
      <c r="U251" t="s">
        <v>2883</v>
      </c>
      <c r="V251" t="s">
        <v>185</v>
      </c>
      <c r="W251" t="s">
        <v>3120</v>
      </c>
      <c r="X251" t="s">
        <v>186</v>
      </c>
      <c r="AA251">
        <f>IF(Table_TRM_Fixtures[[#This Row],[Pre-EISA Baseline]]="Nominal", Table_TRM_Fixtures[[#This Row],[Fixture Watts  (TRM Data)]], Table_TRM_Fixtures[[#This Row],[Modified Baseline Fixture Watts]])</f>
        <v>199</v>
      </c>
    </row>
    <row r="252" spans="1:27" x14ac:dyDescent="0.2">
      <c r="A252" t="s">
        <v>687</v>
      </c>
      <c r="B252" t="s">
        <v>3865</v>
      </c>
      <c r="C252" t="s">
        <v>3866</v>
      </c>
      <c r="D252" t="s">
        <v>3867</v>
      </c>
      <c r="E252" t="s">
        <v>187</v>
      </c>
      <c r="F252" t="s">
        <v>186</v>
      </c>
      <c r="G252" t="s">
        <v>186</v>
      </c>
      <c r="H252">
        <v>200</v>
      </c>
      <c r="I252">
        <v>15</v>
      </c>
      <c r="J252" s="110">
        <v>250</v>
      </c>
      <c r="K252" t="s">
        <v>185</v>
      </c>
      <c r="L252">
        <f>IF(Table_TRM_Fixtures[[#This Row],[Technology]]="LED", Table_TRM_Fixtures[[#This Row],[Fixture Watts  (TRM Data)]], Table_TRM_Fixtures[[#This Row],[Lamp Watts  (TRM Data)]])</f>
        <v>200</v>
      </c>
      <c r="M252" t="str">
        <f>Table_TRM_Fixtures[[#This Row],[No. of Lamps  (TRM Data)]]</f>
        <v>N/A</v>
      </c>
      <c r="N252" t="s">
        <v>186</v>
      </c>
      <c r="O252" t="s">
        <v>186</v>
      </c>
      <c r="P252" t="s">
        <v>187</v>
      </c>
      <c r="S252" t="s">
        <v>686</v>
      </c>
      <c r="T252" t="str">
        <f>Table_TRM_Fixtures[[#This Row],[Fixture code  (TRM Data)]]</f>
        <v>LED200-FIXT</v>
      </c>
      <c r="U252" t="s">
        <v>2883</v>
      </c>
      <c r="V252" t="s">
        <v>185</v>
      </c>
      <c r="W252" t="s">
        <v>3120</v>
      </c>
      <c r="X252" t="s">
        <v>186</v>
      </c>
      <c r="AA252">
        <f>IF(Table_TRM_Fixtures[[#This Row],[Pre-EISA Baseline]]="Nominal", Table_TRM_Fixtures[[#This Row],[Fixture Watts  (TRM Data)]], Table_TRM_Fixtures[[#This Row],[Modified Baseline Fixture Watts]])</f>
        <v>200</v>
      </c>
    </row>
    <row r="253" spans="1:27" x14ac:dyDescent="0.2">
      <c r="A253" t="s">
        <v>689</v>
      </c>
      <c r="B253" t="s">
        <v>3868</v>
      </c>
      <c r="C253" t="s">
        <v>3869</v>
      </c>
      <c r="D253" t="s">
        <v>3870</v>
      </c>
      <c r="E253" t="s">
        <v>187</v>
      </c>
      <c r="F253" t="s">
        <v>186</v>
      </c>
      <c r="G253" t="s">
        <v>186</v>
      </c>
      <c r="H253">
        <v>201</v>
      </c>
      <c r="I253">
        <v>15</v>
      </c>
      <c r="J253" s="110">
        <v>251</v>
      </c>
      <c r="K253" t="s">
        <v>185</v>
      </c>
      <c r="L253">
        <f>IF(Table_TRM_Fixtures[[#This Row],[Technology]]="LED", Table_TRM_Fixtures[[#This Row],[Fixture Watts  (TRM Data)]], Table_TRM_Fixtures[[#This Row],[Lamp Watts  (TRM Data)]])</f>
        <v>201</v>
      </c>
      <c r="M253" t="str">
        <f>Table_TRM_Fixtures[[#This Row],[No. of Lamps  (TRM Data)]]</f>
        <v>N/A</v>
      </c>
      <c r="N253" t="s">
        <v>186</v>
      </c>
      <c r="O253" t="s">
        <v>186</v>
      </c>
      <c r="P253" t="s">
        <v>187</v>
      </c>
      <c r="S253" t="s">
        <v>688</v>
      </c>
      <c r="T253" t="str">
        <f>Table_TRM_Fixtures[[#This Row],[Fixture code  (TRM Data)]]</f>
        <v>LED201-FIXT</v>
      </c>
      <c r="U253" t="s">
        <v>2883</v>
      </c>
      <c r="V253" t="s">
        <v>185</v>
      </c>
      <c r="W253" t="s">
        <v>3120</v>
      </c>
      <c r="X253" t="s">
        <v>186</v>
      </c>
      <c r="AA253">
        <f>IF(Table_TRM_Fixtures[[#This Row],[Pre-EISA Baseline]]="Nominal", Table_TRM_Fixtures[[#This Row],[Fixture Watts  (TRM Data)]], Table_TRM_Fixtures[[#This Row],[Modified Baseline Fixture Watts]])</f>
        <v>201</v>
      </c>
    </row>
    <row r="254" spans="1:27" x14ac:dyDescent="0.2">
      <c r="A254" t="s">
        <v>691</v>
      </c>
      <c r="B254" t="s">
        <v>3871</v>
      </c>
      <c r="C254" t="s">
        <v>3872</v>
      </c>
      <c r="D254" t="s">
        <v>3873</v>
      </c>
      <c r="E254" t="s">
        <v>187</v>
      </c>
      <c r="F254" t="s">
        <v>186</v>
      </c>
      <c r="G254" t="s">
        <v>186</v>
      </c>
      <c r="H254">
        <v>202</v>
      </c>
      <c r="I254">
        <v>15</v>
      </c>
      <c r="J254" s="110">
        <v>252</v>
      </c>
      <c r="K254" t="s">
        <v>185</v>
      </c>
      <c r="L254">
        <f>IF(Table_TRM_Fixtures[[#This Row],[Technology]]="LED", Table_TRM_Fixtures[[#This Row],[Fixture Watts  (TRM Data)]], Table_TRM_Fixtures[[#This Row],[Lamp Watts  (TRM Data)]])</f>
        <v>202</v>
      </c>
      <c r="M254" t="str">
        <f>Table_TRM_Fixtures[[#This Row],[No. of Lamps  (TRM Data)]]</f>
        <v>N/A</v>
      </c>
      <c r="N254" t="s">
        <v>186</v>
      </c>
      <c r="O254" t="s">
        <v>186</v>
      </c>
      <c r="P254" t="s">
        <v>187</v>
      </c>
      <c r="S254" t="s">
        <v>690</v>
      </c>
      <c r="T254" t="str">
        <f>Table_TRM_Fixtures[[#This Row],[Fixture code  (TRM Data)]]</f>
        <v>LED202-FIXT</v>
      </c>
      <c r="U254" t="s">
        <v>2883</v>
      </c>
      <c r="V254" t="s">
        <v>185</v>
      </c>
      <c r="W254" t="s">
        <v>3120</v>
      </c>
      <c r="X254" t="s">
        <v>186</v>
      </c>
      <c r="AA254">
        <f>IF(Table_TRM_Fixtures[[#This Row],[Pre-EISA Baseline]]="Nominal", Table_TRM_Fixtures[[#This Row],[Fixture Watts  (TRM Data)]], Table_TRM_Fixtures[[#This Row],[Modified Baseline Fixture Watts]])</f>
        <v>202</v>
      </c>
    </row>
    <row r="255" spans="1:27" x14ac:dyDescent="0.2">
      <c r="A255" t="s">
        <v>693</v>
      </c>
      <c r="B255" t="s">
        <v>3874</v>
      </c>
      <c r="C255" t="s">
        <v>3875</v>
      </c>
      <c r="D255" t="s">
        <v>3876</v>
      </c>
      <c r="E255" t="s">
        <v>187</v>
      </c>
      <c r="F255" t="s">
        <v>186</v>
      </c>
      <c r="G255" t="s">
        <v>186</v>
      </c>
      <c r="H255">
        <v>203</v>
      </c>
      <c r="I255">
        <v>15</v>
      </c>
      <c r="J255" s="110">
        <v>253</v>
      </c>
      <c r="K255" t="s">
        <v>185</v>
      </c>
      <c r="L255">
        <f>IF(Table_TRM_Fixtures[[#This Row],[Technology]]="LED", Table_TRM_Fixtures[[#This Row],[Fixture Watts  (TRM Data)]], Table_TRM_Fixtures[[#This Row],[Lamp Watts  (TRM Data)]])</f>
        <v>203</v>
      </c>
      <c r="M255" t="str">
        <f>Table_TRM_Fixtures[[#This Row],[No. of Lamps  (TRM Data)]]</f>
        <v>N/A</v>
      </c>
      <c r="N255" t="s">
        <v>186</v>
      </c>
      <c r="O255" t="s">
        <v>186</v>
      </c>
      <c r="P255" t="s">
        <v>187</v>
      </c>
      <c r="S255" t="s">
        <v>692</v>
      </c>
      <c r="T255" t="str">
        <f>Table_TRM_Fixtures[[#This Row],[Fixture code  (TRM Data)]]</f>
        <v>LED203-FIXT</v>
      </c>
      <c r="U255" t="s">
        <v>2883</v>
      </c>
      <c r="V255" t="s">
        <v>185</v>
      </c>
      <c r="W255" t="s">
        <v>3120</v>
      </c>
      <c r="X255" t="s">
        <v>186</v>
      </c>
      <c r="AA255">
        <f>IF(Table_TRM_Fixtures[[#This Row],[Pre-EISA Baseline]]="Nominal", Table_TRM_Fixtures[[#This Row],[Fixture Watts  (TRM Data)]], Table_TRM_Fixtures[[#This Row],[Modified Baseline Fixture Watts]])</f>
        <v>203</v>
      </c>
    </row>
    <row r="256" spans="1:27" x14ac:dyDescent="0.2">
      <c r="A256" t="s">
        <v>695</v>
      </c>
      <c r="B256" t="s">
        <v>3877</v>
      </c>
      <c r="C256" t="s">
        <v>3878</v>
      </c>
      <c r="D256" t="s">
        <v>3879</v>
      </c>
      <c r="E256" t="s">
        <v>187</v>
      </c>
      <c r="F256" t="s">
        <v>186</v>
      </c>
      <c r="G256" t="s">
        <v>186</v>
      </c>
      <c r="H256">
        <v>204</v>
      </c>
      <c r="I256">
        <v>15</v>
      </c>
      <c r="J256" s="110">
        <v>254</v>
      </c>
      <c r="K256" t="s">
        <v>185</v>
      </c>
      <c r="L256">
        <f>IF(Table_TRM_Fixtures[[#This Row],[Technology]]="LED", Table_TRM_Fixtures[[#This Row],[Fixture Watts  (TRM Data)]], Table_TRM_Fixtures[[#This Row],[Lamp Watts  (TRM Data)]])</f>
        <v>204</v>
      </c>
      <c r="M256" t="str">
        <f>Table_TRM_Fixtures[[#This Row],[No. of Lamps  (TRM Data)]]</f>
        <v>N/A</v>
      </c>
      <c r="N256" t="s">
        <v>186</v>
      </c>
      <c r="O256" t="s">
        <v>186</v>
      </c>
      <c r="P256" t="s">
        <v>187</v>
      </c>
      <c r="S256" t="s">
        <v>694</v>
      </c>
      <c r="T256" t="str">
        <f>Table_TRM_Fixtures[[#This Row],[Fixture code  (TRM Data)]]</f>
        <v>LED204-FIXT</v>
      </c>
      <c r="U256" t="s">
        <v>2883</v>
      </c>
      <c r="V256" t="s">
        <v>185</v>
      </c>
      <c r="W256" t="s">
        <v>3120</v>
      </c>
      <c r="X256" t="s">
        <v>186</v>
      </c>
      <c r="AA256">
        <f>IF(Table_TRM_Fixtures[[#This Row],[Pre-EISA Baseline]]="Nominal", Table_TRM_Fixtures[[#This Row],[Fixture Watts  (TRM Data)]], Table_TRM_Fixtures[[#This Row],[Modified Baseline Fixture Watts]])</f>
        <v>204</v>
      </c>
    </row>
    <row r="257" spans="1:27" x14ac:dyDescent="0.2">
      <c r="A257" t="s">
        <v>697</v>
      </c>
      <c r="B257" t="s">
        <v>3880</v>
      </c>
      <c r="C257" t="s">
        <v>3881</v>
      </c>
      <c r="D257" t="s">
        <v>3882</v>
      </c>
      <c r="E257" t="s">
        <v>187</v>
      </c>
      <c r="F257" t="s">
        <v>186</v>
      </c>
      <c r="G257" t="s">
        <v>186</v>
      </c>
      <c r="H257">
        <v>205</v>
      </c>
      <c r="I257">
        <v>15</v>
      </c>
      <c r="J257" s="110">
        <v>255</v>
      </c>
      <c r="K257" t="s">
        <v>185</v>
      </c>
      <c r="L257">
        <f>IF(Table_TRM_Fixtures[[#This Row],[Technology]]="LED", Table_TRM_Fixtures[[#This Row],[Fixture Watts  (TRM Data)]], Table_TRM_Fixtures[[#This Row],[Lamp Watts  (TRM Data)]])</f>
        <v>205</v>
      </c>
      <c r="M257" t="str">
        <f>Table_TRM_Fixtures[[#This Row],[No. of Lamps  (TRM Data)]]</f>
        <v>N/A</v>
      </c>
      <c r="N257" t="s">
        <v>186</v>
      </c>
      <c r="O257" t="s">
        <v>186</v>
      </c>
      <c r="P257" t="s">
        <v>187</v>
      </c>
      <c r="S257" t="s">
        <v>696</v>
      </c>
      <c r="T257" t="str">
        <f>Table_TRM_Fixtures[[#This Row],[Fixture code  (TRM Data)]]</f>
        <v>LED205-FIXT</v>
      </c>
      <c r="U257" t="s">
        <v>2883</v>
      </c>
      <c r="V257" t="s">
        <v>185</v>
      </c>
      <c r="W257" t="s">
        <v>3120</v>
      </c>
      <c r="X257" t="s">
        <v>186</v>
      </c>
      <c r="AA257">
        <f>IF(Table_TRM_Fixtures[[#This Row],[Pre-EISA Baseline]]="Nominal", Table_TRM_Fixtures[[#This Row],[Fixture Watts  (TRM Data)]], Table_TRM_Fixtures[[#This Row],[Modified Baseline Fixture Watts]])</f>
        <v>205</v>
      </c>
    </row>
    <row r="258" spans="1:27" x14ac:dyDescent="0.2">
      <c r="A258" t="s">
        <v>699</v>
      </c>
      <c r="B258" t="s">
        <v>3883</v>
      </c>
      <c r="C258" t="s">
        <v>3884</v>
      </c>
      <c r="D258" t="s">
        <v>3885</v>
      </c>
      <c r="E258" t="s">
        <v>187</v>
      </c>
      <c r="F258" t="s">
        <v>186</v>
      </c>
      <c r="G258" t="s">
        <v>186</v>
      </c>
      <c r="H258">
        <v>206</v>
      </c>
      <c r="I258">
        <v>15</v>
      </c>
      <c r="J258" s="110">
        <v>256</v>
      </c>
      <c r="K258" t="s">
        <v>185</v>
      </c>
      <c r="L258">
        <f>IF(Table_TRM_Fixtures[[#This Row],[Technology]]="LED", Table_TRM_Fixtures[[#This Row],[Fixture Watts  (TRM Data)]], Table_TRM_Fixtures[[#This Row],[Lamp Watts  (TRM Data)]])</f>
        <v>206</v>
      </c>
      <c r="M258" t="str">
        <f>Table_TRM_Fixtures[[#This Row],[No. of Lamps  (TRM Data)]]</f>
        <v>N/A</v>
      </c>
      <c r="N258" t="s">
        <v>186</v>
      </c>
      <c r="O258" t="s">
        <v>186</v>
      </c>
      <c r="P258" t="s">
        <v>187</v>
      </c>
      <c r="S258" t="s">
        <v>698</v>
      </c>
      <c r="T258" t="str">
        <f>Table_TRM_Fixtures[[#This Row],[Fixture code  (TRM Data)]]</f>
        <v>LED206-FIXT</v>
      </c>
      <c r="U258" t="s">
        <v>2883</v>
      </c>
      <c r="V258" t="s">
        <v>185</v>
      </c>
      <c r="W258" t="s">
        <v>3120</v>
      </c>
      <c r="X258" t="s">
        <v>186</v>
      </c>
      <c r="AA258">
        <f>IF(Table_TRM_Fixtures[[#This Row],[Pre-EISA Baseline]]="Nominal", Table_TRM_Fixtures[[#This Row],[Fixture Watts  (TRM Data)]], Table_TRM_Fixtures[[#This Row],[Modified Baseline Fixture Watts]])</f>
        <v>206</v>
      </c>
    </row>
    <row r="259" spans="1:27" x14ac:dyDescent="0.2">
      <c r="A259" t="s">
        <v>701</v>
      </c>
      <c r="B259" t="s">
        <v>3886</v>
      </c>
      <c r="C259" t="s">
        <v>3887</v>
      </c>
      <c r="D259" t="s">
        <v>3888</v>
      </c>
      <c r="E259" t="s">
        <v>187</v>
      </c>
      <c r="F259" t="s">
        <v>186</v>
      </c>
      <c r="G259" t="s">
        <v>186</v>
      </c>
      <c r="H259">
        <v>207</v>
      </c>
      <c r="I259">
        <v>15</v>
      </c>
      <c r="J259" s="110">
        <v>257</v>
      </c>
      <c r="K259" t="s">
        <v>185</v>
      </c>
      <c r="L259">
        <f>IF(Table_TRM_Fixtures[[#This Row],[Technology]]="LED", Table_TRM_Fixtures[[#This Row],[Fixture Watts  (TRM Data)]], Table_TRM_Fixtures[[#This Row],[Lamp Watts  (TRM Data)]])</f>
        <v>207</v>
      </c>
      <c r="M259" t="str">
        <f>Table_TRM_Fixtures[[#This Row],[No. of Lamps  (TRM Data)]]</f>
        <v>N/A</v>
      </c>
      <c r="N259" t="s">
        <v>186</v>
      </c>
      <c r="O259" t="s">
        <v>186</v>
      </c>
      <c r="P259" t="s">
        <v>187</v>
      </c>
      <c r="S259" t="s">
        <v>700</v>
      </c>
      <c r="T259" t="str">
        <f>Table_TRM_Fixtures[[#This Row],[Fixture code  (TRM Data)]]</f>
        <v>LED207-FIXT</v>
      </c>
      <c r="U259" t="s">
        <v>2883</v>
      </c>
      <c r="V259" t="s">
        <v>185</v>
      </c>
      <c r="W259" t="s">
        <v>3120</v>
      </c>
      <c r="X259" t="s">
        <v>186</v>
      </c>
      <c r="AA259">
        <f>IF(Table_TRM_Fixtures[[#This Row],[Pre-EISA Baseline]]="Nominal", Table_TRM_Fixtures[[#This Row],[Fixture Watts  (TRM Data)]], Table_TRM_Fixtures[[#This Row],[Modified Baseline Fixture Watts]])</f>
        <v>207</v>
      </c>
    </row>
    <row r="260" spans="1:27" x14ac:dyDescent="0.2">
      <c r="A260" t="s">
        <v>703</v>
      </c>
      <c r="B260" t="s">
        <v>3889</v>
      </c>
      <c r="C260" t="s">
        <v>3890</v>
      </c>
      <c r="D260" t="s">
        <v>3891</v>
      </c>
      <c r="E260" t="s">
        <v>187</v>
      </c>
      <c r="F260" t="s">
        <v>186</v>
      </c>
      <c r="G260" t="s">
        <v>186</v>
      </c>
      <c r="H260">
        <v>208</v>
      </c>
      <c r="I260">
        <v>15</v>
      </c>
      <c r="J260" s="110">
        <v>258</v>
      </c>
      <c r="K260" t="s">
        <v>185</v>
      </c>
      <c r="L260">
        <f>IF(Table_TRM_Fixtures[[#This Row],[Technology]]="LED", Table_TRM_Fixtures[[#This Row],[Fixture Watts  (TRM Data)]], Table_TRM_Fixtures[[#This Row],[Lamp Watts  (TRM Data)]])</f>
        <v>208</v>
      </c>
      <c r="M260" t="str">
        <f>Table_TRM_Fixtures[[#This Row],[No. of Lamps  (TRM Data)]]</f>
        <v>N/A</v>
      </c>
      <c r="N260" t="s">
        <v>186</v>
      </c>
      <c r="O260" t="s">
        <v>186</v>
      </c>
      <c r="P260" t="s">
        <v>187</v>
      </c>
      <c r="S260" t="s">
        <v>702</v>
      </c>
      <c r="T260" t="str">
        <f>Table_TRM_Fixtures[[#This Row],[Fixture code  (TRM Data)]]</f>
        <v>LED208-FIXT</v>
      </c>
      <c r="U260" t="s">
        <v>2883</v>
      </c>
      <c r="V260" t="s">
        <v>185</v>
      </c>
      <c r="W260" t="s">
        <v>3120</v>
      </c>
      <c r="X260" t="s">
        <v>186</v>
      </c>
      <c r="AA260">
        <f>IF(Table_TRM_Fixtures[[#This Row],[Pre-EISA Baseline]]="Nominal", Table_TRM_Fixtures[[#This Row],[Fixture Watts  (TRM Data)]], Table_TRM_Fixtures[[#This Row],[Modified Baseline Fixture Watts]])</f>
        <v>208</v>
      </c>
    </row>
    <row r="261" spans="1:27" x14ac:dyDescent="0.2">
      <c r="A261" t="s">
        <v>705</v>
      </c>
      <c r="B261" t="s">
        <v>3892</v>
      </c>
      <c r="C261" t="s">
        <v>3893</v>
      </c>
      <c r="D261" t="s">
        <v>3894</v>
      </c>
      <c r="E261" t="s">
        <v>187</v>
      </c>
      <c r="F261" t="s">
        <v>186</v>
      </c>
      <c r="G261" t="s">
        <v>186</v>
      </c>
      <c r="H261">
        <v>209</v>
      </c>
      <c r="I261">
        <v>15</v>
      </c>
      <c r="J261" s="110">
        <v>259</v>
      </c>
      <c r="K261" t="s">
        <v>185</v>
      </c>
      <c r="L261">
        <f>IF(Table_TRM_Fixtures[[#This Row],[Technology]]="LED", Table_TRM_Fixtures[[#This Row],[Fixture Watts  (TRM Data)]], Table_TRM_Fixtures[[#This Row],[Lamp Watts  (TRM Data)]])</f>
        <v>209</v>
      </c>
      <c r="M261" t="str">
        <f>Table_TRM_Fixtures[[#This Row],[No. of Lamps  (TRM Data)]]</f>
        <v>N/A</v>
      </c>
      <c r="N261" t="s">
        <v>186</v>
      </c>
      <c r="O261" t="s">
        <v>186</v>
      </c>
      <c r="P261" t="s">
        <v>187</v>
      </c>
      <c r="S261" t="s">
        <v>704</v>
      </c>
      <c r="T261" t="str">
        <f>Table_TRM_Fixtures[[#This Row],[Fixture code  (TRM Data)]]</f>
        <v>LED209-FIXT</v>
      </c>
      <c r="U261" t="s">
        <v>2883</v>
      </c>
      <c r="V261" t="s">
        <v>185</v>
      </c>
      <c r="W261" t="s">
        <v>3120</v>
      </c>
      <c r="X261" t="s">
        <v>186</v>
      </c>
      <c r="AA261">
        <f>IF(Table_TRM_Fixtures[[#This Row],[Pre-EISA Baseline]]="Nominal", Table_TRM_Fixtures[[#This Row],[Fixture Watts  (TRM Data)]], Table_TRM_Fixtures[[#This Row],[Modified Baseline Fixture Watts]])</f>
        <v>209</v>
      </c>
    </row>
    <row r="262" spans="1:27" x14ac:dyDescent="0.2">
      <c r="A262" t="s">
        <v>707</v>
      </c>
      <c r="B262" t="s">
        <v>3895</v>
      </c>
      <c r="C262" t="s">
        <v>3896</v>
      </c>
      <c r="D262" t="s">
        <v>3897</v>
      </c>
      <c r="E262" t="s">
        <v>187</v>
      </c>
      <c r="F262" t="s">
        <v>186</v>
      </c>
      <c r="G262" t="s">
        <v>186</v>
      </c>
      <c r="H262">
        <v>210</v>
      </c>
      <c r="I262">
        <v>15</v>
      </c>
      <c r="J262" s="110">
        <v>260</v>
      </c>
      <c r="K262" t="s">
        <v>185</v>
      </c>
      <c r="L262">
        <f>IF(Table_TRM_Fixtures[[#This Row],[Technology]]="LED", Table_TRM_Fixtures[[#This Row],[Fixture Watts  (TRM Data)]], Table_TRM_Fixtures[[#This Row],[Lamp Watts  (TRM Data)]])</f>
        <v>210</v>
      </c>
      <c r="M262" t="str">
        <f>Table_TRM_Fixtures[[#This Row],[No. of Lamps  (TRM Data)]]</f>
        <v>N/A</v>
      </c>
      <c r="N262" t="s">
        <v>186</v>
      </c>
      <c r="O262" t="s">
        <v>186</v>
      </c>
      <c r="P262" t="s">
        <v>187</v>
      </c>
      <c r="S262" t="s">
        <v>706</v>
      </c>
      <c r="T262" t="str">
        <f>Table_TRM_Fixtures[[#This Row],[Fixture code  (TRM Data)]]</f>
        <v>LED210-FIXT</v>
      </c>
      <c r="U262" t="s">
        <v>2883</v>
      </c>
      <c r="V262" t="s">
        <v>185</v>
      </c>
      <c r="W262" t="s">
        <v>3120</v>
      </c>
      <c r="X262" t="s">
        <v>186</v>
      </c>
      <c r="AA262">
        <f>IF(Table_TRM_Fixtures[[#This Row],[Pre-EISA Baseline]]="Nominal", Table_TRM_Fixtures[[#This Row],[Fixture Watts  (TRM Data)]], Table_TRM_Fixtures[[#This Row],[Modified Baseline Fixture Watts]])</f>
        <v>210</v>
      </c>
    </row>
    <row r="263" spans="1:27" x14ac:dyDescent="0.2">
      <c r="A263" t="s">
        <v>709</v>
      </c>
      <c r="B263" t="s">
        <v>3898</v>
      </c>
      <c r="C263" t="s">
        <v>3899</v>
      </c>
      <c r="D263" t="s">
        <v>3900</v>
      </c>
      <c r="E263" t="s">
        <v>187</v>
      </c>
      <c r="F263" t="s">
        <v>186</v>
      </c>
      <c r="G263" t="s">
        <v>186</v>
      </c>
      <c r="H263">
        <v>211</v>
      </c>
      <c r="I263">
        <v>15</v>
      </c>
      <c r="J263" s="110">
        <v>261</v>
      </c>
      <c r="K263" t="s">
        <v>185</v>
      </c>
      <c r="L263">
        <f>IF(Table_TRM_Fixtures[[#This Row],[Technology]]="LED", Table_TRM_Fixtures[[#This Row],[Fixture Watts  (TRM Data)]], Table_TRM_Fixtures[[#This Row],[Lamp Watts  (TRM Data)]])</f>
        <v>211</v>
      </c>
      <c r="M263" t="str">
        <f>Table_TRM_Fixtures[[#This Row],[No. of Lamps  (TRM Data)]]</f>
        <v>N/A</v>
      </c>
      <c r="N263" t="s">
        <v>186</v>
      </c>
      <c r="O263" t="s">
        <v>186</v>
      </c>
      <c r="P263" t="s">
        <v>187</v>
      </c>
      <c r="S263" t="s">
        <v>708</v>
      </c>
      <c r="T263" t="str">
        <f>Table_TRM_Fixtures[[#This Row],[Fixture code  (TRM Data)]]</f>
        <v>LED211-FIXT</v>
      </c>
      <c r="U263" t="s">
        <v>2883</v>
      </c>
      <c r="V263" t="s">
        <v>185</v>
      </c>
      <c r="W263" t="s">
        <v>3120</v>
      </c>
      <c r="X263" t="s">
        <v>186</v>
      </c>
      <c r="AA263">
        <f>IF(Table_TRM_Fixtures[[#This Row],[Pre-EISA Baseline]]="Nominal", Table_TRM_Fixtures[[#This Row],[Fixture Watts  (TRM Data)]], Table_TRM_Fixtures[[#This Row],[Modified Baseline Fixture Watts]])</f>
        <v>211</v>
      </c>
    </row>
    <row r="264" spans="1:27" x14ac:dyDescent="0.2">
      <c r="A264" t="s">
        <v>711</v>
      </c>
      <c r="B264" t="s">
        <v>3901</v>
      </c>
      <c r="C264" t="s">
        <v>3902</v>
      </c>
      <c r="D264" t="s">
        <v>3903</v>
      </c>
      <c r="E264" t="s">
        <v>187</v>
      </c>
      <c r="F264" t="s">
        <v>186</v>
      </c>
      <c r="G264" t="s">
        <v>186</v>
      </c>
      <c r="H264">
        <v>212</v>
      </c>
      <c r="I264">
        <v>15</v>
      </c>
      <c r="J264" s="110">
        <v>262</v>
      </c>
      <c r="K264" t="s">
        <v>185</v>
      </c>
      <c r="L264">
        <f>IF(Table_TRM_Fixtures[[#This Row],[Technology]]="LED", Table_TRM_Fixtures[[#This Row],[Fixture Watts  (TRM Data)]], Table_TRM_Fixtures[[#This Row],[Lamp Watts  (TRM Data)]])</f>
        <v>212</v>
      </c>
      <c r="M264" t="str">
        <f>Table_TRM_Fixtures[[#This Row],[No. of Lamps  (TRM Data)]]</f>
        <v>N/A</v>
      </c>
      <c r="N264" t="s">
        <v>186</v>
      </c>
      <c r="O264" t="s">
        <v>186</v>
      </c>
      <c r="P264" t="s">
        <v>187</v>
      </c>
      <c r="S264" t="s">
        <v>710</v>
      </c>
      <c r="T264" t="str">
        <f>Table_TRM_Fixtures[[#This Row],[Fixture code  (TRM Data)]]</f>
        <v>LED212-FIXT</v>
      </c>
      <c r="U264" t="s">
        <v>2883</v>
      </c>
      <c r="V264" t="s">
        <v>185</v>
      </c>
      <c r="W264" t="s">
        <v>3120</v>
      </c>
      <c r="X264" t="s">
        <v>186</v>
      </c>
      <c r="AA264">
        <f>IF(Table_TRM_Fixtures[[#This Row],[Pre-EISA Baseline]]="Nominal", Table_TRM_Fixtures[[#This Row],[Fixture Watts  (TRM Data)]], Table_TRM_Fixtures[[#This Row],[Modified Baseline Fixture Watts]])</f>
        <v>212</v>
      </c>
    </row>
    <row r="265" spans="1:27" x14ac:dyDescent="0.2">
      <c r="A265" t="s">
        <v>713</v>
      </c>
      <c r="B265" t="s">
        <v>3904</v>
      </c>
      <c r="C265" t="s">
        <v>3905</v>
      </c>
      <c r="D265" t="s">
        <v>3906</v>
      </c>
      <c r="E265" t="s">
        <v>187</v>
      </c>
      <c r="F265" t="s">
        <v>186</v>
      </c>
      <c r="G265" t="s">
        <v>186</v>
      </c>
      <c r="H265">
        <v>213</v>
      </c>
      <c r="I265">
        <v>15</v>
      </c>
      <c r="J265" s="110">
        <v>263</v>
      </c>
      <c r="K265" t="s">
        <v>185</v>
      </c>
      <c r="L265">
        <f>IF(Table_TRM_Fixtures[[#This Row],[Technology]]="LED", Table_TRM_Fixtures[[#This Row],[Fixture Watts  (TRM Data)]], Table_TRM_Fixtures[[#This Row],[Lamp Watts  (TRM Data)]])</f>
        <v>213</v>
      </c>
      <c r="M265" t="str">
        <f>Table_TRM_Fixtures[[#This Row],[No. of Lamps  (TRM Data)]]</f>
        <v>N/A</v>
      </c>
      <c r="N265" t="s">
        <v>186</v>
      </c>
      <c r="O265" t="s">
        <v>186</v>
      </c>
      <c r="P265" t="s">
        <v>187</v>
      </c>
      <c r="S265" t="s">
        <v>712</v>
      </c>
      <c r="T265" t="str">
        <f>Table_TRM_Fixtures[[#This Row],[Fixture code  (TRM Data)]]</f>
        <v>LED213-FIXT</v>
      </c>
      <c r="U265" t="s">
        <v>2883</v>
      </c>
      <c r="V265" t="s">
        <v>185</v>
      </c>
      <c r="W265" t="s">
        <v>3120</v>
      </c>
      <c r="X265" t="s">
        <v>186</v>
      </c>
      <c r="AA265">
        <f>IF(Table_TRM_Fixtures[[#This Row],[Pre-EISA Baseline]]="Nominal", Table_TRM_Fixtures[[#This Row],[Fixture Watts  (TRM Data)]], Table_TRM_Fixtures[[#This Row],[Modified Baseline Fixture Watts]])</f>
        <v>213</v>
      </c>
    </row>
    <row r="266" spans="1:27" x14ac:dyDescent="0.2">
      <c r="A266" t="s">
        <v>715</v>
      </c>
      <c r="B266" t="s">
        <v>3907</v>
      </c>
      <c r="C266" t="s">
        <v>3908</v>
      </c>
      <c r="D266" t="s">
        <v>3909</v>
      </c>
      <c r="E266" t="s">
        <v>187</v>
      </c>
      <c r="F266" t="s">
        <v>186</v>
      </c>
      <c r="G266" t="s">
        <v>186</v>
      </c>
      <c r="H266">
        <v>214</v>
      </c>
      <c r="I266">
        <v>15</v>
      </c>
      <c r="J266" s="110">
        <v>264</v>
      </c>
      <c r="K266" t="s">
        <v>185</v>
      </c>
      <c r="L266">
        <f>IF(Table_TRM_Fixtures[[#This Row],[Technology]]="LED", Table_TRM_Fixtures[[#This Row],[Fixture Watts  (TRM Data)]], Table_TRM_Fixtures[[#This Row],[Lamp Watts  (TRM Data)]])</f>
        <v>214</v>
      </c>
      <c r="M266" t="str">
        <f>Table_TRM_Fixtures[[#This Row],[No. of Lamps  (TRM Data)]]</f>
        <v>N/A</v>
      </c>
      <c r="N266" t="s">
        <v>186</v>
      </c>
      <c r="O266" t="s">
        <v>186</v>
      </c>
      <c r="P266" t="s">
        <v>187</v>
      </c>
      <c r="S266" t="s">
        <v>714</v>
      </c>
      <c r="T266" t="str">
        <f>Table_TRM_Fixtures[[#This Row],[Fixture code  (TRM Data)]]</f>
        <v>LED214-FIXT</v>
      </c>
      <c r="U266" t="s">
        <v>2883</v>
      </c>
      <c r="V266" t="s">
        <v>185</v>
      </c>
      <c r="W266" t="s">
        <v>3120</v>
      </c>
      <c r="X266" t="s">
        <v>186</v>
      </c>
      <c r="AA266">
        <f>IF(Table_TRM_Fixtures[[#This Row],[Pre-EISA Baseline]]="Nominal", Table_TRM_Fixtures[[#This Row],[Fixture Watts  (TRM Data)]], Table_TRM_Fixtures[[#This Row],[Modified Baseline Fixture Watts]])</f>
        <v>214</v>
      </c>
    </row>
    <row r="267" spans="1:27" x14ac:dyDescent="0.2">
      <c r="A267" t="s">
        <v>717</v>
      </c>
      <c r="B267" t="s">
        <v>3910</v>
      </c>
      <c r="C267" t="s">
        <v>3911</v>
      </c>
      <c r="D267" t="s">
        <v>3912</v>
      </c>
      <c r="E267" t="s">
        <v>187</v>
      </c>
      <c r="F267" t="s">
        <v>186</v>
      </c>
      <c r="G267" t="s">
        <v>186</v>
      </c>
      <c r="H267">
        <v>215</v>
      </c>
      <c r="I267">
        <v>15</v>
      </c>
      <c r="J267" s="110">
        <v>265</v>
      </c>
      <c r="K267" t="s">
        <v>185</v>
      </c>
      <c r="L267">
        <f>IF(Table_TRM_Fixtures[[#This Row],[Technology]]="LED", Table_TRM_Fixtures[[#This Row],[Fixture Watts  (TRM Data)]], Table_TRM_Fixtures[[#This Row],[Lamp Watts  (TRM Data)]])</f>
        <v>215</v>
      </c>
      <c r="M267" t="str">
        <f>Table_TRM_Fixtures[[#This Row],[No. of Lamps  (TRM Data)]]</f>
        <v>N/A</v>
      </c>
      <c r="N267" t="s">
        <v>186</v>
      </c>
      <c r="O267" t="s">
        <v>186</v>
      </c>
      <c r="P267" t="s">
        <v>187</v>
      </c>
      <c r="S267" t="s">
        <v>716</v>
      </c>
      <c r="T267" t="str">
        <f>Table_TRM_Fixtures[[#This Row],[Fixture code  (TRM Data)]]</f>
        <v>LED215-FIXT</v>
      </c>
      <c r="U267" t="s">
        <v>2883</v>
      </c>
      <c r="V267" t="s">
        <v>185</v>
      </c>
      <c r="W267" t="s">
        <v>3120</v>
      </c>
      <c r="X267" t="s">
        <v>186</v>
      </c>
      <c r="AA267">
        <f>IF(Table_TRM_Fixtures[[#This Row],[Pre-EISA Baseline]]="Nominal", Table_TRM_Fixtures[[#This Row],[Fixture Watts  (TRM Data)]], Table_TRM_Fixtures[[#This Row],[Modified Baseline Fixture Watts]])</f>
        <v>215</v>
      </c>
    </row>
    <row r="268" spans="1:27" x14ac:dyDescent="0.2">
      <c r="A268" t="s">
        <v>719</v>
      </c>
      <c r="B268" t="s">
        <v>3913</v>
      </c>
      <c r="C268" t="s">
        <v>3914</v>
      </c>
      <c r="D268" t="s">
        <v>3915</v>
      </c>
      <c r="E268" t="s">
        <v>187</v>
      </c>
      <c r="F268" t="s">
        <v>186</v>
      </c>
      <c r="G268" t="s">
        <v>186</v>
      </c>
      <c r="H268">
        <v>216</v>
      </c>
      <c r="I268">
        <v>15</v>
      </c>
      <c r="J268" s="110">
        <v>266</v>
      </c>
      <c r="K268" t="s">
        <v>185</v>
      </c>
      <c r="L268">
        <f>IF(Table_TRM_Fixtures[[#This Row],[Technology]]="LED", Table_TRM_Fixtures[[#This Row],[Fixture Watts  (TRM Data)]], Table_TRM_Fixtures[[#This Row],[Lamp Watts  (TRM Data)]])</f>
        <v>216</v>
      </c>
      <c r="M268" t="str">
        <f>Table_TRM_Fixtures[[#This Row],[No. of Lamps  (TRM Data)]]</f>
        <v>N/A</v>
      </c>
      <c r="N268" t="s">
        <v>186</v>
      </c>
      <c r="O268" t="s">
        <v>186</v>
      </c>
      <c r="P268" t="s">
        <v>187</v>
      </c>
      <c r="S268" t="s">
        <v>718</v>
      </c>
      <c r="T268" t="str">
        <f>Table_TRM_Fixtures[[#This Row],[Fixture code  (TRM Data)]]</f>
        <v>LED216-FIXT</v>
      </c>
      <c r="U268" t="s">
        <v>2883</v>
      </c>
      <c r="V268" t="s">
        <v>185</v>
      </c>
      <c r="W268" t="s">
        <v>3120</v>
      </c>
      <c r="X268" t="s">
        <v>186</v>
      </c>
      <c r="AA268">
        <f>IF(Table_TRM_Fixtures[[#This Row],[Pre-EISA Baseline]]="Nominal", Table_TRM_Fixtures[[#This Row],[Fixture Watts  (TRM Data)]], Table_TRM_Fixtures[[#This Row],[Modified Baseline Fixture Watts]])</f>
        <v>216</v>
      </c>
    </row>
    <row r="269" spans="1:27" x14ac:dyDescent="0.2">
      <c r="A269" t="s">
        <v>721</v>
      </c>
      <c r="B269" t="s">
        <v>3916</v>
      </c>
      <c r="C269" t="s">
        <v>3917</v>
      </c>
      <c r="D269" t="s">
        <v>3918</v>
      </c>
      <c r="E269" t="s">
        <v>187</v>
      </c>
      <c r="F269" t="s">
        <v>186</v>
      </c>
      <c r="G269" t="s">
        <v>186</v>
      </c>
      <c r="H269">
        <v>217</v>
      </c>
      <c r="I269">
        <v>15</v>
      </c>
      <c r="J269" s="110">
        <v>267</v>
      </c>
      <c r="K269" t="s">
        <v>185</v>
      </c>
      <c r="L269">
        <f>IF(Table_TRM_Fixtures[[#This Row],[Technology]]="LED", Table_TRM_Fixtures[[#This Row],[Fixture Watts  (TRM Data)]], Table_TRM_Fixtures[[#This Row],[Lamp Watts  (TRM Data)]])</f>
        <v>217</v>
      </c>
      <c r="M269" t="str">
        <f>Table_TRM_Fixtures[[#This Row],[No. of Lamps  (TRM Data)]]</f>
        <v>N/A</v>
      </c>
      <c r="N269" t="s">
        <v>186</v>
      </c>
      <c r="O269" t="s">
        <v>186</v>
      </c>
      <c r="P269" t="s">
        <v>187</v>
      </c>
      <c r="S269" t="s">
        <v>720</v>
      </c>
      <c r="T269" t="str">
        <f>Table_TRM_Fixtures[[#This Row],[Fixture code  (TRM Data)]]</f>
        <v>LED217-FIXT</v>
      </c>
      <c r="U269" t="s">
        <v>2883</v>
      </c>
      <c r="V269" t="s">
        <v>185</v>
      </c>
      <c r="W269" t="s">
        <v>3120</v>
      </c>
      <c r="X269" t="s">
        <v>186</v>
      </c>
      <c r="AA269">
        <f>IF(Table_TRM_Fixtures[[#This Row],[Pre-EISA Baseline]]="Nominal", Table_TRM_Fixtures[[#This Row],[Fixture Watts  (TRM Data)]], Table_TRM_Fixtures[[#This Row],[Modified Baseline Fixture Watts]])</f>
        <v>217</v>
      </c>
    </row>
    <row r="270" spans="1:27" x14ac:dyDescent="0.2">
      <c r="A270" t="s">
        <v>723</v>
      </c>
      <c r="B270" t="s">
        <v>3919</v>
      </c>
      <c r="C270" t="s">
        <v>3920</v>
      </c>
      <c r="D270" t="s">
        <v>3921</v>
      </c>
      <c r="E270" t="s">
        <v>187</v>
      </c>
      <c r="F270" t="s">
        <v>186</v>
      </c>
      <c r="G270" t="s">
        <v>186</v>
      </c>
      <c r="H270">
        <v>218</v>
      </c>
      <c r="I270">
        <v>15</v>
      </c>
      <c r="J270" s="110">
        <v>268</v>
      </c>
      <c r="K270" t="s">
        <v>185</v>
      </c>
      <c r="L270">
        <f>IF(Table_TRM_Fixtures[[#This Row],[Technology]]="LED", Table_TRM_Fixtures[[#This Row],[Fixture Watts  (TRM Data)]], Table_TRM_Fixtures[[#This Row],[Lamp Watts  (TRM Data)]])</f>
        <v>218</v>
      </c>
      <c r="M270" t="str">
        <f>Table_TRM_Fixtures[[#This Row],[No. of Lamps  (TRM Data)]]</f>
        <v>N/A</v>
      </c>
      <c r="N270" t="s">
        <v>186</v>
      </c>
      <c r="O270" t="s">
        <v>186</v>
      </c>
      <c r="P270" t="s">
        <v>187</v>
      </c>
      <c r="S270" t="s">
        <v>722</v>
      </c>
      <c r="T270" t="str">
        <f>Table_TRM_Fixtures[[#This Row],[Fixture code  (TRM Data)]]</f>
        <v>LED218-FIXT</v>
      </c>
      <c r="U270" t="s">
        <v>2883</v>
      </c>
      <c r="V270" t="s">
        <v>185</v>
      </c>
      <c r="W270" t="s">
        <v>3120</v>
      </c>
      <c r="X270" t="s">
        <v>186</v>
      </c>
      <c r="AA270">
        <f>IF(Table_TRM_Fixtures[[#This Row],[Pre-EISA Baseline]]="Nominal", Table_TRM_Fixtures[[#This Row],[Fixture Watts  (TRM Data)]], Table_TRM_Fixtures[[#This Row],[Modified Baseline Fixture Watts]])</f>
        <v>218</v>
      </c>
    </row>
    <row r="271" spans="1:27" x14ac:dyDescent="0.2">
      <c r="A271" t="s">
        <v>725</v>
      </c>
      <c r="B271" t="s">
        <v>3922</v>
      </c>
      <c r="C271" t="s">
        <v>3923</v>
      </c>
      <c r="D271" t="s">
        <v>3924</v>
      </c>
      <c r="E271" t="s">
        <v>187</v>
      </c>
      <c r="F271" t="s">
        <v>186</v>
      </c>
      <c r="G271" t="s">
        <v>186</v>
      </c>
      <c r="H271">
        <v>219</v>
      </c>
      <c r="I271">
        <v>15</v>
      </c>
      <c r="J271" s="110">
        <v>269</v>
      </c>
      <c r="K271" t="s">
        <v>185</v>
      </c>
      <c r="L271">
        <f>IF(Table_TRM_Fixtures[[#This Row],[Technology]]="LED", Table_TRM_Fixtures[[#This Row],[Fixture Watts  (TRM Data)]], Table_TRM_Fixtures[[#This Row],[Lamp Watts  (TRM Data)]])</f>
        <v>219</v>
      </c>
      <c r="M271" t="str">
        <f>Table_TRM_Fixtures[[#This Row],[No. of Lamps  (TRM Data)]]</f>
        <v>N/A</v>
      </c>
      <c r="N271" t="s">
        <v>186</v>
      </c>
      <c r="O271" t="s">
        <v>186</v>
      </c>
      <c r="P271" t="s">
        <v>187</v>
      </c>
      <c r="S271" t="s">
        <v>724</v>
      </c>
      <c r="T271" t="str">
        <f>Table_TRM_Fixtures[[#This Row],[Fixture code  (TRM Data)]]</f>
        <v>LED219-FIXT</v>
      </c>
      <c r="U271" t="s">
        <v>2883</v>
      </c>
      <c r="V271" t="s">
        <v>185</v>
      </c>
      <c r="W271" t="s">
        <v>3120</v>
      </c>
      <c r="X271" t="s">
        <v>186</v>
      </c>
      <c r="AA271">
        <f>IF(Table_TRM_Fixtures[[#This Row],[Pre-EISA Baseline]]="Nominal", Table_TRM_Fixtures[[#This Row],[Fixture Watts  (TRM Data)]], Table_TRM_Fixtures[[#This Row],[Modified Baseline Fixture Watts]])</f>
        <v>219</v>
      </c>
    </row>
    <row r="272" spans="1:27" x14ac:dyDescent="0.2">
      <c r="A272" t="s">
        <v>727</v>
      </c>
      <c r="B272" t="s">
        <v>3925</v>
      </c>
      <c r="C272" t="s">
        <v>3926</v>
      </c>
      <c r="D272" t="s">
        <v>3927</v>
      </c>
      <c r="E272" t="s">
        <v>187</v>
      </c>
      <c r="F272" t="s">
        <v>186</v>
      </c>
      <c r="G272" t="s">
        <v>186</v>
      </c>
      <c r="H272">
        <v>220</v>
      </c>
      <c r="I272">
        <v>15</v>
      </c>
      <c r="J272" s="110">
        <v>270</v>
      </c>
      <c r="K272" t="s">
        <v>185</v>
      </c>
      <c r="L272">
        <f>IF(Table_TRM_Fixtures[[#This Row],[Technology]]="LED", Table_TRM_Fixtures[[#This Row],[Fixture Watts  (TRM Data)]], Table_TRM_Fixtures[[#This Row],[Lamp Watts  (TRM Data)]])</f>
        <v>220</v>
      </c>
      <c r="M272" t="str">
        <f>Table_TRM_Fixtures[[#This Row],[No. of Lamps  (TRM Data)]]</f>
        <v>N/A</v>
      </c>
      <c r="N272" t="s">
        <v>186</v>
      </c>
      <c r="O272" t="s">
        <v>186</v>
      </c>
      <c r="P272" t="s">
        <v>187</v>
      </c>
      <c r="S272" t="s">
        <v>726</v>
      </c>
      <c r="T272" t="str">
        <f>Table_TRM_Fixtures[[#This Row],[Fixture code  (TRM Data)]]</f>
        <v>LED220-FIXT</v>
      </c>
      <c r="U272" t="s">
        <v>2883</v>
      </c>
      <c r="V272" t="s">
        <v>185</v>
      </c>
      <c r="W272" t="s">
        <v>3120</v>
      </c>
      <c r="X272" t="s">
        <v>186</v>
      </c>
      <c r="AA272">
        <f>IF(Table_TRM_Fixtures[[#This Row],[Pre-EISA Baseline]]="Nominal", Table_TRM_Fixtures[[#This Row],[Fixture Watts  (TRM Data)]], Table_TRM_Fixtures[[#This Row],[Modified Baseline Fixture Watts]])</f>
        <v>220</v>
      </c>
    </row>
    <row r="273" spans="1:27" x14ac:dyDescent="0.2">
      <c r="A273" t="s">
        <v>729</v>
      </c>
      <c r="B273" t="s">
        <v>3928</v>
      </c>
      <c r="C273" t="s">
        <v>3929</v>
      </c>
      <c r="D273" t="s">
        <v>3930</v>
      </c>
      <c r="E273" t="s">
        <v>187</v>
      </c>
      <c r="F273" t="s">
        <v>186</v>
      </c>
      <c r="G273" t="s">
        <v>186</v>
      </c>
      <c r="H273">
        <v>221</v>
      </c>
      <c r="I273">
        <v>15</v>
      </c>
      <c r="J273" s="110">
        <v>271</v>
      </c>
      <c r="K273" t="s">
        <v>185</v>
      </c>
      <c r="L273">
        <f>IF(Table_TRM_Fixtures[[#This Row],[Technology]]="LED", Table_TRM_Fixtures[[#This Row],[Fixture Watts  (TRM Data)]], Table_TRM_Fixtures[[#This Row],[Lamp Watts  (TRM Data)]])</f>
        <v>221</v>
      </c>
      <c r="M273" t="str">
        <f>Table_TRM_Fixtures[[#This Row],[No. of Lamps  (TRM Data)]]</f>
        <v>N/A</v>
      </c>
      <c r="N273" t="s">
        <v>186</v>
      </c>
      <c r="O273" t="s">
        <v>186</v>
      </c>
      <c r="P273" t="s">
        <v>187</v>
      </c>
      <c r="S273" t="s">
        <v>728</v>
      </c>
      <c r="T273" t="str">
        <f>Table_TRM_Fixtures[[#This Row],[Fixture code  (TRM Data)]]</f>
        <v>LED221-FIXT</v>
      </c>
      <c r="U273" t="s">
        <v>2883</v>
      </c>
      <c r="V273" t="s">
        <v>185</v>
      </c>
      <c r="W273" t="s">
        <v>3120</v>
      </c>
      <c r="X273" t="s">
        <v>186</v>
      </c>
      <c r="AA273">
        <f>IF(Table_TRM_Fixtures[[#This Row],[Pre-EISA Baseline]]="Nominal", Table_TRM_Fixtures[[#This Row],[Fixture Watts  (TRM Data)]], Table_TRM_Fixtures[[#This Row],[Modified Baseline Fixture Watts]])</f>
        <v>221</v>
      </c>
    </row>
    <row r="274" spans="1:27" x14ac:dyDescent="0.2">
      <c r="A274" t="s">
        <v>731</v>
      </c>
      <c r="B274" t="s">
        <v>3931</v>
      </c>
      <c r="C274" t="s">
        <v>3932</v>
      </c>
      <c r="D274" t="s">
        <v>3933</v>
      </c>
      <c r="E274" t="s">
        <v>187</v>
      </c>
      <c r="F274" t="s">
        <v>186</v>
      </c>
      <c r="G274" t="s">
        <v>186</v>
      </c>
      <c r="H274">
        <v>222</v>
      </c>
      <c r="I274">
        <v>15</v>
      </c>
      <c r="J274" s="110">
        <v>272</v>
      </c>
      <c r="K274" t="s">
        <v>185</v>
      </c>
      <c r="L274">
        <f>IF(Table_TRM_Fixtures[[#This Row],[Technology]]="LED", Table_TRM_Fixtures[[#This Row],[Fixture Watts  (TRM Data)]], Table_TRM_Fixtures[[#This Row],[Lamp Watts  (TRM Data)]])</f>
        <v>222</v>
      </c>
      <c r="M274" t="str">
        <f>Table_TRM_Fixtures[[#This Row],[No. of Lamps  (TRM Data)]]</f>
        <v>N/A</v>
      </c>
      <c r="N274" t="s">
        <v>186</v>
      </c>
      <c r="O274" t="s">
        <v>186</v>
      </c>
      <c r="P274" t="s">
        <v>187</v>
      </c>
      <c r="S274" t="s">
        <v>730</v>
      </c>
      <c r="T274" t="str">
        <f>Table_TRM_Fixtures[[#This Row],[Fixture code  (TRM Data)]]</f>
        <v>LED222-FIXT</v>
      </c>
      <c r="U274" t="s">
        <v>2883</v>
      </c>
      <c r="V274" t="s">
        <v>185</v>
      </c>
      <c r="W274" t="s">
        <v>3120</v>
      </c>
      <c r="X274" t="s">
        <v>186</v>
      </c>
      <c r="AA274">
        <f>IF(Table_TRM_Fixtures[[#This Row],[Pre-EISA Baseline]]="Nominal", Table_TRM_Fixtures[[#This Row],[Fixture Watts  (TRM Data)]], Table_TRM_Fixtures[[#This Row],[Modified Baseline Fixture Watts]])</f>
        <v>222</v>
      </c>
    </row>
    <row r="275" spans="1:27" x14ac:dyDescent="0.2">
      <c r="A275" t="s">
        <v>733</v>
      </c>
      <c r="B275" t="s">
        <v>3934</v>
      </c>
      <c r="C275" t="s">
        <v>3935</v>
      </c>
      <c r="D275" t="s">
        <v>3936</v>
      </c>
      <c r="E275" t="s">
        <v>187</v>
      </c>
      <c r="F275" t="s">
        <v>186</v>
      </c>
      <c r="G275" t="s">
        <v>186</v>
      </c>
      <c r="H275">
        <v>223</v>
      </c>
      <c r="I275">
        <v>15</v>
      </c>
      <c r="J275" s="110">
        <v>273</v>
      </c>
      <c r="K275" t="s">
        <v>185</v>
      </c>
      <c r="L275">
        <f>IF(Table_TRM_Fixtures[[#This Row],[Technology]]="LED", Table_TRM_Fixtures[[#This Row],[Fixture Watts  (TRM Data)]], Table_TRM_Fixtures[[#This Row],[Lamp Watts  (TRM Data)]])</f>
        <v>223</v>
      </c>
      <c r="M275" t="str">
        <f>Table_TRM_Fixtures[[#This Row],[No. of Lamps  (TRM Data)]]</f>
        <v>N/A</v>
      </c>
      <c r="N275" t="s">
        <v>186</v>
      </c>
      <c r="O275" t="s">
        <v>186</v>
      </c>
      <c r="P275" t="s">
        <v>187</v>
      </c>
      <c r="S275" t="s">
        <v>732</v>
      </c>
      <c r="T275" t="str">
        <f>Table_TRM_Fixtures[[#This Row],[Fixture code  (TRM Data)]]</f>
        <v>LED223-FIXT</v>
      </c>
      <c r="U275" t="s">
        <v>2883</v>
      </c>
      <c r="V275" t="s">
        <v>185</v>
      </c>
      <c r="W275" t="s">
        <v>3120</v>
      </c>
      <c r="X275" t="s">
        <v>186</v>
      </c>
      <c r="AA275">
        <f>IF(Table_TRM_Fixtures[[#This Row],[Pre-EISA Baseline]]="Nominal", Table_TRM_Fixtures[[#This Row],[Fixture Watts  (TRM Data)]], Table_TRM_Fixtures[[#This Row],[Modified Baseline Fixture Watts]])</f>
        <v>223</v>
      </c>
    </row>
    <row r="276" spans="1:27" x14ac:dyDescent="0.2">
      <c r="A276" t="s">
        <v>735</v>
      </c>
      <c r="B276" t="s">
        <v>3937</v>
      </c>
      <c r="C276" t="s">
        <v>3938</v>
      </c>
      <c r="D276" t="s">
        <v>3939</v>
      </c>
      <c r="E276" t="s">
        <v>187</v>
      </c>
      <c r="F276" t="s">
        <v>186</v>
      </c>
      <c r="G276" t="s">
        <v>186</v>
      </c>
      <c r="H276">
        <v>224</v>
      </c>
      <c r="I276">
        <v>15</v>
      </c>
      <c r="J276" s="110">
        <v>274</v>
      </c>
      <c r="K276" t="s">
        <v>185</v>
      </c>
      <c r="L276">
        <f>IF(Table_TRM_Fixtures[[#This Row],[Technology]]="LED", Table_TRM_Fixtures[[#This Row],[Fixture Watts  (TRM Data)]], Table_TRM_Fixtures[[#This Row],[Lamp Watts  (TRM Data)]])</f>
        <v>224</v>
      </c>
      <c r="M276" t="str">
        <f>Table_TRM_Fixtures[[#This Row],[No. of Lamps  (TRM Data)]]</f>
        <v>N/A</v>
      </c>
      <c r="N276" t="s">
        <v>186</v>
      </c>
      <c r="O276" t="s">
        <v>186</v>
      </c>
      <c r="P276" t="s">
        <v>187</v>
      </c>
      <c r="S276" t="s">
        <v>734</v>
      </c>
      <c r="T276" t="str">
        <f>Table_TRM_Fixtures[[#This Row],[Fixture code  (TRM Data)]]</f>
        <v>LED224-FIXT</v>
      </c>
      <c r="U276" t="s">
        <v>2883</v>
      </c>
      <c r="V276" t="s">
        <v>185</v>
      </c>
      <c r="W276" t="s">
        <v>3120</v>
      </c>
      <c r="X276" t="s">
        <v>186</v>
      </c>
      <c r="AA276">
        <f>IF(Table_TRM_Fixtures[[#This Row],[Pre-EISA Baseline]]="Nominal", Table_TRM_Fixtures[[#This Row],[Fixture Watts  (TRM Data)]], Table_TRM_Fixtures[[#This Row],[Modified Baseline Fixture Watts]])</f>
        <v>224</v>
      </c>
    </row>
    <row r="277" spans="1:27" x14ac:dyDescent="0.2">
      <c r="A277" t="s">
        <v>737</v>
      </c>
      <c r="B277" t="s">
        <v>3940</v>
      </c>
      <c r="C277" t="s">
        <v>3941</v>
      </c>
      <c r="D277" t="s">
        <v>3942</v>
      </c>
      <c r="E277" t="s">
        <v>187</v>
      </c>
      <c r="F277" t="s">
        <v>186</v>
      </c>
      <c r="G277" t="s">
        <v>186</v>
      </c>
      <c r="H277">
        <v>225</v>
      </c>
      <c r="I277">
        <v>15</v>
      </c>
      <c r="J277" s="110">
        <v>275</v>
      </c>
      <c r="K277" t="s">
        <v>185</v>
      </c>
      <c r="L277">
        <f>IF(Table_TRM_Fixtures[[#This Row],[Technology]]="LED", Table_TRM_Fixtures[[#This Row],[Fixture Watts  (TRM Data)]], Table_TRM_Fixtures[[#This Row],[Lamp Watts  (TRM Data)]])</f>
        <v>225</v>
      </c>
      <c r="M277" t="str">
        <f>Table_TRM_Fixtures[[#This Row],[No. of Lamps  (TRM Data)]]</f>
        <v>N/A</v>
      </c>
      <c r="N277" t="s">
        <v>186</v>
      </c>
      <c r="O277" t="s">
        <v>186</v>
      </c>
      <c r="P277" t="s">
        <v>187</v>
      </c>
      <c r="S277" t="s">
        <v>736</v>
      </c>
      <c r="T277" t="str">
        <f>Table_TRM_Fixtures[[#This Row],[Fixture code  (TRM Data)]]</f>
        <v>LED225-FIXT</v>
      </c>
      <c r="U277" t="s">
        <v>2883</v>
      </c>
      <c r="V277" t="s">
        <v>185</v>
      </c>
      <c r="W277" t="s">
        <v>3120</v>
      </c>
      <c r="X277" t="s">
        <v>186</v>
      </c>
      <c r="AA277">
        <f>IF(Table_TRM_Fixtures[[#This Row],[Pre-EISA Baseline]]="Nominal", Table_TRM_Fixtures[[#This Row],[Fixture Watts  (TRM Data)]], Table_TRM_Fixtures[[#This Row],[Modified Baseline Fixture Watts]])</f>
        <v>225</v>
      </c>
    </row>
    <row r="278" spans="1:27" x14ac:dyDescent="0.2">
      <c r="A278" t="s">
        <v>739</v>
      </c>
      <c r="B278" t="s">
        <v>3943</v>
      </c>
      <c r="C278" t="s">
        <v>3944</v>
      </c>
      <c r="D278" t="s">
        <v>3945</v>
      </c>
      <c r="E278" t="s">
        <v>187</v>
      </c>
      <c r="F278" t="s">
        <v>186</v>
      </c>
      <c r="G278" t="s">
        <v>186</v>
      </c>
      <c r="H278">
        <v>226</v>
      </c>
      <c r="I278">
        <v>15</v>
      </c>
      <c r="J278" s="110">
        <v>276</v>
      </c>
      <c r="K278" t="s">
        <v>185</v>
      </c>
      <c r="L278">
        <f>IF(Table_TRM_Fixtures[[#This Row],[Technology]]="LED", Table_TRM_Fixtures[[#This Row],[Fixture Watts  (TRM Data)]], Table_TRM_Fixtures[[#This Row],[Lamp Watts  (TRM Data)]])</f>
        <v>226</v>
      </c>
      <c r="M278" t="str">
        <f>Table_TRM_Fixtures[[#This Row],[No. of Lamps  (TRM Data)]]</f>
        <v>N/A</v>
      </c>
      <c r="N278" t="s">
        <v>186</v>
      </c>
      <c r="O278" t="s">
        <v>186</v>
      </c>
      <c r="P278" t="s">
        <v>187</v>
      </c>
      <c r="S278" t="s">
        <v>738</v>
      </c>
      <c r="T278" t="str">
        <f>Table_TRM_Fixtures[[#This Row],[Fixture code  (TRM Data)]]</f>
        <v>LED226-FIXT</v>
      </c>
      <c r="U278" t="s">
        <v>2883</v>
      </c>
      <c r="V278" t="s">
        <v>185</v>
      </c>
      <c r="W278" t="s">
        <v>3120</v>
      </c>
      <c r="X278" t="s">
        <v>186</v>
      </c>
      <c r="AA278">
        <f>IF(Table_TRM_Fixtures[[#This Row],[Pre-EISA Baseline]]="Nominal", Table_TRM_Fixtures[[#This Row],[Fixture Watts  (TRM Data)]], Table_TRM_Fixtures[[#This Row],[Modified Baseline Fixture Watts]])</f>
        <v>226</v>
      </c>
    </row>
    <row r="279" spans="1:27" x14ac:dyDescent="0.2">
      <c r="A279" t="s">
        <v>741</v>
      </c>
      <c r="B279" t="s">
        <v>3946</v>
      </c>
      <c r="C279" t="s">
        <v>3947</v>
      </c>
      <c r="D279" t="s">
        <v>3948</v>
      </c>
      <c r="E279" t="s">
        <v>187</v>
      </c>
      <c r="F279" t="s">
        <v>186</v>
      </c>
      <c r="G279" t="s">
        <v>186</v>
      </c>
      <c r="H279">
        <v>227</v>
      </c>
      <c r="I279">
        <v>15</v>
      </c>
      <c r="J279" s="110">
        <v>277</v>
      </c>
      <c r="K279" t="s">
        <v>185</v>
      </c>
      <c r="L279">
        <f>IF(Table_TRM_Fixtures[[#This Row],[Technology]]="LED", Table_TRM_Fixtures[[#This Row],[Fixture Watts  (TRM Data)]], Table_TRM_Fixtures[[#This Row],[Lamp Watts  (TRM Data)]])</f>
        <v>227</v>
      </c>
      <c r="M279" t="str">
        <f>Table_TRM_Fixtures[[#This Row],[No. of Lamps  (TRM Data)]]</f>
        <v>N/A</v>
      </c>
      <c r="N279" t="s">
        <v>186</v>
      </c>
      <c r="O279" t="s">
        <v>186</v>
      </c>
      <c r="P279" t="s">
        <v>187</v>
      </c>
      <c r="S279" t="s">
        <v>740</v>
      </c>
      <c r="T279" t="str">
        <f>Table_TRM_Fixtures[[#This Row],[Fixture code  (TRM Data)]]</f>
        <v>LED227-FIXT</v>
      </c>
      <c r="U279" t="s">
        <v>2883</v>
      </c>
      <c r="V279" t="s">
        <v>185</v>
      </c>
      <c r="W279" t="s">
        <v>3120</v>
      </c>
      <c r="X279" t="s">
        <v>186</v>
      </c>
      <c r="AA279">
        <f>IF(Table_TRM_Fixtures[[#This Row],[Pre-EISA Baseline]]="Nominal", Table_TRM_Fixtures[[#This Row],[Fixture Watts  (TRM Data)]], Table_TRM_Fixtures[[#This Row],[Modified Baseline Fixture Watts]])</f>
        <v>227</v>
      </c>
    </row>
    <row r="280" spans="1:27" x14ac:dyDescent="0.2">
      <c r="A280" t="s">
        <v>743</v>
      </c>
      <c r="B280" t="s">
        <v>3949</v>
      </c>
      <c r="C280" t="s">
        <v>3950</v>
      </c>
      <c r="D280" t="s">
        <v>3951</v>
      </c>
      <c r="E280" t="s">
        <v>187</v>
      </c>
      <c r="F280" t="s">
        <v>186</v>
      </c>
      <c r="G280" t="s">
        <v>186</v>
      </c>
      <c r="H280">
        <v>228</v>
      </c>
      <c r="I280">
        <v>15</v>
      </c>
      <c r="J280" s="110">
        <v>278</v>
      </c>
      <c r="K280" t="s">
        <v>185</v>
      </c>
      <c r="L280">
        <f>IF(Table_TRM_Fixtures[[#This Row],[Technology]]="LED", Table_TRM_Fixtures[[#This Row],[Fixture Watts  (TRM Data)]], Table_TRM_Fixtures[[#This Row],[Lamp Watts  (TRM Data)]])</f>
        <v>228</v>
      </c>
      <c r="M280" t="str">
        <f>Table_TRM_Fixtures[[#This Row],[No. of Lamps  (TRM Data)]]</f>
        <v>N/A</v>
      </c>
      <c r="N280" t="s">
        <v>186</v>
      </c>
      <c r="O280" t="s">
        <v>186</v>
      </c>
      <c r="P280" t="s">
        <v>187</v>
      </c>
      <c r="S280" t="s">
        <v>742</v>
      </c>
      <c r="T280" t="str">
        <f>Table_TRM_Fixtures[[#This Row],[Fixture code  (TRM Data)]]</f>
        <v>LED228-FIXT</v>
      </c>
      <c r="U280" t="s">
        <v>2883</v>
      </c>
      <c r="V280" t="s">
        <v>185</v>
      </c>
      <c r="W280" t="s">
        <v>3120</v>
      </c>
      <c r="X280" t="s">
        <v>186</v>
      </c>
      <c r="AA280">
        <f>IF(Table_TRM_Fixtures[[#This Row],[Pre-EISA Baseline]]="Nominal", Table_TRM_Fixtures[[#This Row],[Fixture Watts  (TRM Data)]], Table_TRM_Fixtures[[#This Row],[Modified Baseline Fixture Watts]])</f>
        <v>228</v>
      </c>
    </row>
    <row r="281" spans="1:27" x14ac:dyDescent="0.2">
      <c r="A281" t="s">
        <v>745</v>
      </c>
      <c r="B281" t="s">
        <v>3952</v>
      </c>
      <c r="C281" t="s">
        <v>3953</v>
      </c>
      <c r="D281" t="s">
        <v>3954</v>
      </c>
      <c r="E281" t="s">
        <v>187</v>
      </c>
      <c r="F281" t="s">
        <v>186</v>
      </c>
      <c r="G281" t="s">
        <v>186</v>
      </c>
      <c r="H281">
        <v>229</v>
      </c>
      <c r="I281">
        <v>15</v>
      </c>
      <c r="J281" s="110">
        <v>279</v>
      </c>
      <c r="K281" t="s">
        <v>185</v>
      </c>
      <c r="L281">
        <f>IF(Table_TRM_Fixtures[[#This Row],[Technology]]="LED", Table_TRM_Fixtures[[#This Row],[Fixture Watts  (TRM Data)]], Table_TRM_Fixtures[[#This Row],[Lamp Watts  (TRM Data)]])</f>
        <v>229</v>
      </c>
      <c r="M281" t="str">
        <f>Table_TRM_Fixtures[[#This Row],[No. of Lamps  (TRM Data)]]</f>
        <v>N/A</v>
      </c>
      <c r="N281" t="s">
        <v>186</v>
      </c>
      <c r="O281" t="s">
        <v>186</v>
      </c>
      <c r="P281" t="s">
        <v>187</v>
      </c>
      <c r="S281" t="s">
        <v>744</v>
      </c>
      <c r="T281" t="str">
        <f>Table_TRM_Fixtures[[#This Row],[Fixture code  (TRM Data)]]</f>
        <v>LED229-FIXT</v>
      </c>
      <c r="U281" t="s">
        <v>2883</v>
      </c>
      <c r="V281" t="s">
        <v>185</v>
      </c>
      <c r="W281" t="s">
        <v>3120</v>
      </c>
      <c r="X281" t="s">
        <v>186</v>
      </c>
      <c r="AA281">
        <f>IF(Table_TRM_Fixtures[[#This Row],[Pre-EISA Baseline]]="Nominal", Table_TRM_Fixtures[[#This Row],[Fixture Watts  (TRM Data)]], Table_TRM_Fixtures[[#This Row],[Modified Baseline Fixture Watts]])</f>
        <v>229</v>
      </c>
    </row>
    <row r="282" spans="1:27" x14ac:dyDescent="0.2">
      <c r="A282" t="s">
        <v>747</v>
      </c>
      <c r="B282" t="s">
        <v>3955</v>
      </c>
      <c r="C282" t="s">
        <v>3956</v>
      </c>
      <c r="D282" t="s">
        <v>3957</v>
      </c>
      <c r="E282" t="s">
        <v>187</v>
      </c>
      <c r="F282" t="s">
        <v>186</v>
      </c>
      <c r="G282" t="s">
        <v>186</v>
      </c>
      <c r="H282">
        <v>230</v>
      </c>
      <c r="I282">
        <v>15</v>
      </c>
      <c r="J282" s="110">
        <v>280</v>
      </c>
      <c r="K282" t="s">
        <v>185</v>
      </c>
      <c r="L282">
        <f>IF(Table_TRM_Fixtures[[#This Row],[Technology]]="LED", Table_TRM_Fixtures[[#This Row],[Fixture Watts  (TRM Data)]], Table_TRM_Fixtures[[#This Row],[Lamp Watts  (TRM Data)]])</f>
        <v>230</v>
      </c>
      <c r="M282" t="str">
        <f>Table_TRM_Fixtures[[#This Row],[No. of Lamps  (TRM Data)]]</f>
        <v>N/A</v>
      </c>
      <c r="N282" t="s">
        <v>186</v>
      </c>
      <c r="O282" t="s">
        <v>186</v>
      </c>
      <c r="P282" t="s">
        <v>187</v>
      </c>
      <c r="S282" t="s">
        <v>746</v>
      </c>
      <c r="T282" t="str">
        <f>Table_TRM_Fixtures[[#This Row],[Fixture code  (TRM Data)]]</f>
        <v>LED230-FIXT</v>
      </c>
      <c r="U282" t="s">
        <v>2883</v>
      </c>
      <c r="V282" t="s">
        <v>185</v>
      </c>
      <c r="W282" t="s">
        <v>3120</v>
      </c>
      <c r="X282" t="s">
        <v>186</v>
      </c>
      <c r="AA282">
        <f>IF(Table_TRM_Fixtures[[#This Row],[Pre-EISA Baseline]]="Nominal", Table_TRM_Fixtures[[#This Row],[Fixture Watts  (TRM Data)]], Table_TRM_Fixtures[[#This Row],[Modified Baseline Fixture Watts]])</f>
        <v>230</v>
      </c>
    </row>
    <row r="283" spans="1:27" x14ac:dyDescent="0.2">
      <c r="A283" t="s">
        <v>749</v>
      </c>
      <c r="B283" t="s">
        <v>3958</v>
      </c>
      <c r="C283" t="s">
        <v>3959</v>
      </c>
      <c r="D283" t="s">
        <v>3960</v>
      </c>
      <c r="E283" t="s">
        <v>187</v>
      </c>
      <c r="F283" t="s">
        <v>186</v>
      </c>
      <c r="G283" t="s">
        <v>186</v>
      </c>
      <c r="H283">
        <v>231</v>
      </c>
      <c r="I283">
        <v>15</v>
      </c>
      <c r="J283" s="110">
        <v>281</v>
      </c>
      <c r="K283" t="s">
        <v>185</v>
      </c>
      <c r="L283">
        <f>IF(Table_TRM_Fixtures[[#This Row],[Technology]]="LED", Table_TRM_Fixtures[[#This Row],[Fixture Watts  (TRM Data)]], Table_TRM_Fixtures[[#This Row],[Lamp Watts  (TRM Data)]])</f>
        <v>231</v>
      </c>
      <c r="M283" t="str">
        <f>Table_TRM_Fixtures[[#This Row],[No. of Lamps  (TRM Data)]]</f>
        <v>N/A</v>
      </c>
      <c r="N283" t="s">
        <v>186</v>
      </c>
      <c r="O283" t="s">
        <v>186</v>
      </c>
      <c r="P283" t="s">
        <v>187</v>
      </c>
      <c r="S283" t="s">
        <v>748</v>
      </c>
      <c r="T283" t="str">
        <f>Table_TRM_Fixtures[[#This Row],[Fixture code  (TRM Data)]]</f>
        <v>LED231-FIXT</v>
      </c>
      <c r="U283" t="s">
        <v>2883</v>
      </c>
      <c r="V283" t="s">
        <v>185</v>
      </c>
      <c r="W283" t="s">
        <v>3120</v>
      </c>
      <c r="X283" t="s">
        <v>186</v>
      </c>
      <c r="AA283">
        <f>IF(Table_TRM_Fixtures[[#This Row],[Pre-EISA Baseline]]="Nominal", Table_TRM_Fixtures[[#This Row],[Fixture Watts  (TRM Data)]], Table_TRM_Fixtures[[#This Row],[Modified Baseline Fixture Watts]])</f>
        <v>231</v>
      </c>
    </row>
    <row r="284" spans="1:27" x14ac:dyDescent="0.2">
      <c r="A284" t="s">
        <v>751</v>
      </c>
      <c r="B284" t="s">
        <v>3961</v>
      </c>
      <c r="C284" t="s">
        <v>3962</v>
      </c>
      <c r="D284" t="s">
        <v>3963</v>
      </c>
      <c r="E284" t="s">
        <v>187</v>
      </c>
      <c r="F284" t="s">
        <v>186</v>
      </c>
      <c r="G284" t="s">
        <v>186</v>
      </c>
      <c r="H284">
        <v>232</v>
      </c>
      <c r="I284">
        <v>15</v>
      </c>
      <c r="J284" s="110">
        <v>282</v>
      </c>
      <c r="K284" t="s">
        <v>185</v>
      </c>
      <c r="L284">
        <f>IF(Table_TRM_Fixtures[[#This Row],[Technology]]="LED", Table_TRM_Fixtures[[#This Row],[Fixture Watts  (TRM Data)]], Table_TRM_Fixtures[[#This Row],[Lamp Watts  (TRM Data)]])</f>
        <v>232</v>
      </c>
      <c r="M284" t="str">
        <f>Table_TRM_Fixtures[[#This Row],[No. of Lamps  (TRM Data)]]</f>
        <v>N/A</v>
      </c>
      <c r="N284" t="s">
        <v>186</v>
      </c>
      <c r="O284" t="s">
        <v>186</v>
      </c>
      <c r="P284" t="s">
        <v>187</v>
      </c>
      <c r="S284" t="s">
        <v>750</v>
      </c>
      <c r="T284" t="str">
        <f>Table_TRM_Fixtures[[#This Row],[Fixture code  (TRM Data)]]</f>
        <v>LED232-FIXT</v>
      </c>
      <c r="U284" t="s">
        <v>2883</v>
      </c>
      <c r="V284" t="s">
        <v>185</v>
      </c>
      <c r="W284" t="s">
        <v>3120</v>
      </c>
      <c r="X284" t="s">
        <v>186</v>
      </c>
      <c r="AA284">
        <f>IF(Table_TRM_Fixtures[[#This Row],[Pre-EISA Baseline]]="Nominal", Table_TRM_Fixtures[[#This Row],[Fixture Watts  (TRM Data)]], Table_TRM_Fixtures[[#This Row],[Modified Baseline Fixture Watts]])</f>
        <v>232</v>
      </c>
    </row>
    <row r="285" spans="1:27" x14ac:dyDescent="0.2">
      <c r="A285" t="s">
        <v>753</v>
      </c>
      <c r="B285" t="s">
        <v>3964</v>
      </c>
      <c r="C285" t="s">
        <v>3965</v>
      </c>
      <c r="D285" t="s">
        <v>3966</v>
      </c>
      <c r="E285" t="s">
        <v>187</v>
      </c>
      <c r="F285" t="s">
        <v>186</v>
      </c>
      <c r="G285" t="s">
        <v>186</v>
      </c>
      <c r="H285">
        <v>233</v>
      </c>
      <c r="I285">
        <v>15</v>
      </c>
      <c r="J285" s="110">
        <v>283</v>
      </c>
      <c r="K285" t="s">
        <v>185</v>
      </c>
      <c r="L285">
        <f>IF(Table_TRM_Fixtures[[#This Row],[Technology]]="LED", Table_TRM_Fixtures[[#This Row],[Fixture Watts  (TRM Data)]], Table_TRM_Fixtures[[#This Row],[Lamp Watts  (TRM Data)]])</f>
        <v>233</v>
      </c>
      <c r="M285" t="str">
        <f>Table_TRM_Fixtures[[#This Row],[No. of Lamps  (TRM Data)]]</f>
        <v>N/A</v>
      </c>
      <c r="N285" t="s">
        <v>186</v>
      </c>
      <c r="O285" t="s">
        <v>186</v>
      </c>
      <c r="P285" t="s">
        <v>187</v>
      </c>
      <c r="S285" t="s">
        <v>752</v>
      </c>
      <c r="T285" t="str">
        <f>Table_TRM_Fixtures[[#This Row],[Fixture code  (TRM Data)]]</f>
        <v>LED233-FIXT</v>
      </c>
      <c r="U285" t="s">
        <v>2883</v>
      </c>
      <c r="V285" t="s">
        <v>185</v>
      </c>
      <c r="W285" t="s">
        <v>3120</v>
      </c>
      <c r="X285" t="s">
        <v>186</v>
      </c>
      <c r="AA285">
        <f>IF(Table_TRM_Fixtures[[#This Row],[Pre-EISA Baseline]]="Nominal", Table_TRM_Fixtures[[#This Row],[Fixture Watts  (TRM Data)]], Table_TRM_Fixtures[[#This Row],[Modified Baseline Fixture Watts]])</f>
        <v>233</v>
      </c>
    </row>
    <row r="286" spans="1:27" x14ac:dyDescent="0.2">
      <c r="A286" t="s">
        <v>755</v>
      </c>
      <c r="B286" t="s">
        <v>3967</v>
      </c>
      <c r="C286" t="s">
        <v>3968</v>
      </c>
      <c r="D286" t="s">
        <v>3969</v>
      </c>
      <c r="E286" t="s">
        <v>187</v>
      </c>
      <c r="F286" t="s">
        <v>186</v>
      </c>
      <c r="G286" t="s">
        <v>186</v>
      </c>
      <c r="H286">
        <v>234</v>
      </c>
      <c r="I286">
        <v>15</v>
      </c>
      <c r="J286" s="110">
        <v>284</v>
      </c>
      <c r="K286" t="s">
        <v>185</v>
      </c>
      <c r="L286">
        <f>IF(Table_TRM_Fixtures[[#This Row],[Technology]]="LED", Table_TRM_Fixtures[[#This Row],[Fixture Watts  (TRM Data)]], Table_TRM_Fixtures[[#This Row],[Lamp Watts  (TRM Data)]])</f>
        <v>234</v>
      </c>
      <c r="M286" t="str">
        <f>Table_TRM_Fixtures[[#This Row],[No. of Lamps  (TRM Data)]]</f>
        <v>N/A</v>
      </c>
      <c r="N286" t="s">
        <v>186</v>
      </c>
      <c r="O286" t="s">
        <v>186</v>
      </c>
      <c r="P286" t="s">
        <v>187</v>
      </c>
      <c r="S286" t="s">
        <v>754</v>
      </c>
      <c r="T286" t="str">
        <f>Table_TRM_Fixtures[[#This Row],[Fixture code  (TRM Data)]]</f>
        <v>LED234-FIXT</v>
      </c>
      <c r="U286" t="s">
        <v>2883</v>
      </c>
      <c r="V286" t="s">
        <v>185</v>
      </c>
      <c r="W286" t="s">
        <v>3120</v>
      </c>
      <c r="X286" t="s">
        <v>186</v>
      </c>
      <c r="AA286">
        <f>IF(Table_TRM_Fixtures[[#This Row],[Pre-EISA Baseline]]="Nominal", Table_TRM_Fixtures[[#This Row],[Fixture Watts  (TRM Data)]], Table_TRM_Fixtures[[#This Row],[Modified Baseline Fixture Watts]])</f>
        <v>234</v>
      </c>
    </row>
    <row r="287" spans="1:27" x14ac:dyDescent="0.2">
      <c r="A287" t="s">
        <v>757</v>
      </c>
      <c r="B287" t="s">
        <v>3970</v>
      </c>
      <c r="C287" t="s">
        <v>3971</v>
      </c>
      <c r="D287" t="s">
        <v>3972</v>
      </c>
      <c r="E287" t="s">
        <v>187</v>
      </c>
      <c r="F287" t="s">
        <v>186</v>
      </c>
      <c r="G287" t="s">
        <v>186</v>
      </c>
      <c r="H287">
        <v>235</v>
      </c>
      <c r="I287">
        <v>15</v>
      </c>
      <c r="J287" s="110">
        <v>285</v>
      </c>
      <c r="K287" t="s">
        <v>185</v>
      </c>
      <c r="L287">
        <f>IF(Table_TRM_Fixtures[[#This Row],[Technology]]="LED", Table_TRM_Fixtures[[#This Row],[Fixture Watts  (TRM Data)]], Table_TRM_Fixtures[[#This Row],[Lamp Watts  (TRM Data)]])</f>
        <v>235</v>
      </c>
      <c r="M287" t="str">
        <f>Table_TRM_Fixtures[[#This Row],[No. of Lamps  (TRM Data)]]</f>
        <v>N/A</v>
      </c>
      <c r="N287" t="s">
        <v>186</v>
      </c>
      <c r="O287" t="s">
        <v>186</v>
      </c>
      <c r="P287" t="s">
        <v>187</v>
      </c>
      <c r="S287" t="s">
        <v>756</v>
      </c>
      <c r="T287" t="str">
        <f>Table_TRM_Fixtures[[#This Row],[Fixture code  (TRM Data)]]</f>
        <v>LED235-FIXT</v>
      </c>
      <c r="U287" t="s">
        <v>2883</v>
      </c>
      <c r="V287" t="s">
        <v>185</v>
      </c>
      <c r="W287" t="s">
        <v>3120</v>
      </c>
      <c r="X287" t="s">
        <v>186</v>
      </c>
      <c r="AA287">
        <f>IF(Table_TRM_Fixtures[[#This Row],[Pre-EISA Baseline]]="Nominal", Table_TRM_Fixtures[[#This Row],[Fixture Watts  (TRM Data)]], Table_TRM_Fixtures[[#This Row],[Modified Baseline Fixture Watts]])</f>
        <v>235</v>
      </c>
    </row>
    <row r="288" spans="1:27" x14ac:dyDescent="0.2">
      <c r="A288" t="s">
        <v>759</v>
      </c>
      <c r="B288" t="s">
        <v>3973</v>
      </c>
      <c r="C288" t="s">
        <v>3974</v>
      </c>
      <c r="D288" t="s">
        <v>3975</v>
      </c>
      <c r="E288" t="s">
        <v>187</v>
      </c>
      <c r="F288" t="s">
        <v>186</v>
      </c>
      <c r="G288" t="s">
        <v>186</v>
      </c>
      <c r="H288">
        <v>236</v>
      </c>
      <c r="I288">
        <v>15</v>
      </c>
      <c r="J288" s="110">
        <v>286</v>
      </c>
      <c r="K288" t="s">
        <v>185</v>
      </c>
      <c r="L288">
        <f>IF(Table_TRM_Fixtures[[#This Row],[Technology]]="LED", Table_TRM_Fixtures[[#This Row],[Fixture Watts  (TRM Data)]], Table_TRM_Fixtures[[#This Row],[Lamp Watts  (TRM Data)]])</f>
        <v>236</v>
      </c>
      <c r="M288" t="str">
        <f>Table_TRM_Fixtures[[#This Row],[No. of Lamps  (TRM Data)]]</f>
        <v>N/A</v>
      </c>
      <c r="N288" t="s">
        <v>186</v>
      </c>
      <c r="O288" t="s">
        <v>186</v>
      </c>
      <c r="P288" t="s">
        <v>187</v>
      </c>
      <c r="S288" t="s">
        <v>758</v>
      </c>
      <c r="T288" t="str">
        <f>Table_TRM_Fixtures[[#This Row],[Fixture code  (TRM Data)]]</f>
        <v>LED236-FIXT</v>
      </c>
      <c r="U288" t="s">
        <v>2883</v>
      </c>
      <c r="V288" t="s">
        <v>185</v>
      </c>
      <c r="W288" t="s">
        <v>3120</v>
      </c>
      <c r="X288" t="s">
        <v>186</v>
      </c>
      <c r="AA288">
        <f>IF(Table_TRM_Fixtures[[#This Row],[Pre-EISA Baseline]]="Nominal", Table_TRM_Fixtures[[#This Row],[Fixture Watts  (TRM Data)]], Table_TRM_Fixtures[[#This Row],[Modified Baseline Fixture Watts]])</f>
        <v>236</v>
      </c>
    </row>
    <row r="289" spans="1:27" x14ac:dyDescent="0.2">
      <c r="A289" t="s">
        <v>761</v>
      </c>
      <c r="B289" t="s">
        <v>3976</v>
      </c>
      <c r="C289" t="s">
        <v>3977</v>
      </c>
      <c r="D289" t="s">
        <v>3978</v>
      </c>
      <c r="E289" t="s">
        <v>187</v>
      </c>
      <c r="F289" t="s">
        <v>186</v>
      </c>
      <c r="G289" t="s">
        <v>186</v>
      </c>
      <c r="H289">
        <v>237</v>
      </c>
      <c r="I289">
        <v>15</v>
      </c>
      <c r="J289" s="110">
        <v>287</v>
      </c>
      <c r="K289" t="s">
        <v>185</v>
      </c>
      <c r="L289">
        <f>IF(Table_TRM_Fixtures[[#This Row],[Technology]]="LED", Table_TRM_Fixtures[[#This Row],[Fixture Watts  (TRM Data)]], Table_TRM_Fixtures[[#This Row],[Lamp Watts  (TRM Data)]])</f>
        <v>237</v>
      </c>
      <c r="M289" t="str">
        <f>Table_TRM_Fixtures[[#This Row],[No. of Lamps  (TRM Data)]]</f>
        <v>N/A</v>
      </c>
      <c r="N289" t="s">
        <v>186</v>
      </c>
      <c r="O289" t="s">
        <v>186</v>
      </c>
      <c r="P289" t="s">
        <v>187</v>
      </c>
      <c r="S289" t="s">
        <v>760</v>
      </c>
      <c r="T289" t="str">
        <f>Table_TRM_Fixtures[[#This Row],[Fixture code  (TRM Data)]]</f>
        <v>LED237-FIXT</v>
      </c>
      <c r="U289" t="s">
        <v>2883</v>
      </c>
      <c r="V289" t="s">
        <v>185</v>
      </c>
      <c r="W289" t="s">
        <v>3120</v>
      </c>
      <c r="X289" t="s">
        <v>186</v>
      </c>
      <c r="AA289">
        <f>IF(Table_TRM_Fixtures[[#This Row],[Pre-EISA Baseline]]="Nominal", Table_TRM_Fixtures[[#This Row],[Fixture Watts  (TRM Data)]], Table_TRM_Fixtures[[#This Row],[Modified Baseline Fixture Watts]])</f>
        <v>237</v>
      </c>
    </row>
    <row r="290" spans="1:27" x14ac:dyDescent="0.2">
      <c r="A290" t="s">
        <v>763</v>
      </c>
      <c r="B290" t="s">
        <v>3979</v>
      </c>
      <c r="C290" t="s">
        <v>3980</v>
      </c>
      <c r="D290" t="s">
        <v>3981</v>
      </c>
      <c r="E290" t="s">
        <v>187</v>
      </c>
      <c r="F290" t="s">
        <v>186</v>
      </c>
      <c r="G290" t="s">
        <v>186</v>
      </c>
      <c r="H290">
        <v>238</v>
      </c>
      <c r="I290">
        <v>15</v>
      </c>
      <c r="J290" s="110">
        <v>288</v>
      </c>
      <c r="K290" t="s">
        <v>185</v>
      </c>
      <c r="L290">
        <f>IF(Table_TRM_Fixtures[[#This Row],[Technology]]="LED", Table_TRM_Fixtures[[#This Row],[Fixture Watts  (TRM Data)]], Table_TRM_Fixtures[[#This Row],[Lamp Watts  (TRM Data)]])</f>
        <v>238</v>
      </c>
      <c r="M290" t="str">
        <f>Table_TRM_Fixtures[[#This Row],[No. of Lamps  (TRM Data)]]</f>
        <v>N/A</v>
      </c>
      <c r="N290" t="s">
        <v>186</v>
      </c>
      <c r="O290" t="s">
        <v>186</v>
      </c>
      <c r="P290" t="s">
        <v>187</v>
      </c>
      <c r="S290" t="s">
        <v>762</v>
      </c>
      <c r="T290" t="str">
        <f>Table_TRM_Fixtures[[#This Row],[Fixture code  (TRM Data)]]</f>
        <v>LED238-FIXT</v>
      </c>
      <c r="U290" t="s">
        <v>2883</v>
      </c>
      <c r="V290" t="s">
        <v>185</v>
      </c>
      <c r="W290" t="s">
        <v>3120</v>
      </c>
      <c r="X290" t="s">
        <v>186</v>
      </c>
      <c r="AA290">
        <f>IF(Table_TRM_Fixtures[[#This Row],[Pre-EISA Baseline]]="Nominal", Table_TRM_Fixtures[[#This Row],[Fixture Watts  (TRM Data)]], Table_TRM_Fixtures[[#This Row],[Modified Baseline Fixture Watts]])</f>
        <v>238</v>
      </c>
    </row>
    <row r="291" spans="1:27" x14ac:dyDescent="0.2">
      <c r="A291" t="s">
        <v>765</v>
      </c>
      <c r="B291" t="s">
        <v>3982</v>
      </c>
      <c r="C291" t="s">
        <v>3983</v>
      </c>
      <c r="D291" t="s">
        <v>3984</v>
      </c>
      <c r="E291" t="s">
        <v>187</v>
      </c>
      <c r="F291" t="s">
        <v>186</v>
      </c>
      <c r="G291" t="s">
        <v>186</v>
      </c>
      <c r="H291">
        <v>239</v>
      </c>
      <c r="I291">
        <v>15</v>
      </c>
      <c r="J291" s="110">
        <v>289</v>
      </c>
      <c r="K291" t="s">
        <v>185</v>
      </c>
      <c r="L291">
        <f>IF(Table_TRM_Fixtures[[#This Row],[Technology]]="LED", Table_TRM_Fixtures[[#This Row],[Fixture Watts  (TRM Data)]], Table_TRM_Fixtures[[#This Row],[Lamp Watts  (TRM Data)]])</f>
        <v>239</v>
      </c>
      <c r="M291" t="str">
        <f>Table_TRM_Fixtures[[#This Row],[No. of Lamps  (TRM Data)]]</f>
        <v>N/A</v>
      </c>
      <c r="N291" t="s">
        <v>186</v>
      </c>
      <c r="O291" t="s">
        <v>186</v>
      </c>
      <c r="P291" t="s">
        <v>187</v>
      </c>
      <c r="S291" t="s">
        <v>764</v>
      </c>
      <c r="T291" t="str">
        <f>Table_TRM_Fixtures[[#This Row],[Fixture code  (TRM Data)]]</f>
        <v>LED239-FIXT</v>
      </c>
      <c r="U291" t="s">
        <v>2883</v>
      </c>
      <c r="V291" t="s">
        <v>185</v>
      </c>
      <c r="W291" t="s">
        <v>3120</v>
      </c>
      <c r="X291" t="s">
        <v>186</v>
      </c>
      <c r="AA291">
        <f>IF(Table_TRM_Fixtures[[#This Row],[Pre-EISA Baseline]]="Nominal", Table_TRM_Fixtures[[#This Row],[Fixture Watts  (TRM Data)]], Table_TRM_Fixtures[[#This Row],[Modified Baseline Fixture Watts]])</f>
        <v>239</v>
      </c>
    </row>
    <row r="292" spans="1:27" x14ac:dyDescent="0.2">
      <c r="A292" t="s">
        <v>767</v>
      </c>
      <c r="B292" t="s">
        <v>3985</v>
      </c>
      <c r="C292" t="s">
        <v>3986</v>
      </c>
      <c r="D292" t="s">
        <v>3987</v>
      </c>
      <c r="E292" t="s">
        <v>187</v>
      </c>
      <c r="F292" t="s">
        <v>186</v>
      </c>
      <c r="G292" t="s">
        <v>186</v>
      </c>
      <c r="H292">
        <v>240</v>
      </c>
      <c r="I292">
        <v>15</v>
      </c>
      <c r="J292" s="110">
        <v>290</v>
      </c>
      <c r="K292" t="s">
        <v>185</v>
      </c>
      <c r="L292">
        <f>IF(Table_TRM_Fixtures[[#This Row],[Technology]]="LED", Table_TRM_Fixtures[[#This Row],[Fixture Watts  (TRM Data)]], Table_TRM_Fixtures[[#This Row],[Lamp Watts  (TRM Data)]])</f>
        <v>240</v>
      </c>
      <c r="M292" t="str">
        <f>Table_TRM_Fixtures[[#This Row],[No. of Lamps  (TRM Data)]]</f>
        <v>N/A</v>
      </c>
      <c r="N292" t="s">
        <v>186</v>
      </c>
      <c r="O292" t="s">
        <v>186</v>
      </c>
      <c r="P292" t="s">
        <v>187</v>
      </c>
      <c r="S292" t="s">
        <v>766</v>
      </c>
      <c r="T292" t="str">
        <f>Table_TRM_Fixtures[[#This Row],[Fixture code  (TRM Data)]]</f>
        <v>LED240-FIXT</v>
      </c>
      <c r="U292" t="s">
        <v>2883</v>
      </c>
      <c r="V292" t="s">
        <v>185</v>
      </c>
      <c r="W292" t="s">
        <v>3120</v>
      </c>
      <c r="X292" t="s">
        <v>186</v>
      </c>
      <c r="AA292">
        <f>IF(Table_TRM_Fixtures[[#This Row],[Pre-EISA Baseline]]="Nominal", Table_TRM_Fixtures[[#This Row],[Fixture Watts  (TRM Data)]], Table_TRM_Fixtures[[#This Row],[Modified Baseline Fixture Watts]])</f>
        <v>240</v>
      </c>
    </row>
    <row r="293" spans="1:27" x14ac:dyDescent="0.2">
      <c r="A293" t="s">
        <v>769</v>
      </c>
      <c r="B293" t="s">
        <v>3988</v>
      </c>
      <c r="C293" t="s">
        <v>3989</v>
      </c>
      <c r="D293" t="s">
        <v>3990</v>
      </c>
      <c r="E293" t="s">
        <v>187</v>
      </c>
      <c r="F293" t="s">
        <v>186</v>
      </c>
      <c r="G293" t="s">
        <v>186</v>
      </c>
      <c r="H293">
        <v>241</v>
      </c>
      <c r="I293">
        <v>15</v>
      </c>
      <c r="J293" s="110">
        <v>291</v>
      </c>
      <c r="K293" t="s">
        <v>185</v>
      </c>
      <c r="L293">
        <f>IF(Table_TRM_Fixtures[[#This Row],[Technology]]="LED", Table_TRM_Fixtures[[#This Row],[Fixture Watts  (TRM Data)]], Table_TRM_Fixtures[[#This Row],[Lamp Watts  (TRM Data)]])</f>
        <v>241</v>
      </c>
      <c r="M293" t="str">
        <f>Table_TRM_Fixtures[[#This Row],[No. of Lamps  (TRM Data)]]</f>
        <v>N/A</v>
      </c>
      <c r="N293" t="s">
        <v>186</v>
      </c>
      <c r="O293" t="s">
        <v>186</v>
      </c>
      <c r="P293" t="s">
        <v>187</v>
      </c>
      <c r="S293" t="s">
        <v>768</v>
      </c>
      <c r="T293" t="str">
        <f>Table_TRM_Fixtures[[#This Row],[Fixture code  (TRM Data)]]</f>
        <v>LED241-FIXT</v>
      </c>
      <c r="U293" t="s">
        <v>2883</v>
      </c>
      <c r="V293" t="s">
        <v>185</v>
      </c>
      <c r="W293" t="s">
        <v>3120</v>
      </c>
      <c r="X293" t="s">
        <v>186</v>
      </c>
      <c r="AA293">
        <f>IF(Table_TRM_Fixtures[[#This Row],[Pre-EISA Baseline]]="Nominal", Table_TRM_Fixtures[[#This Row],[Fixture Watts  (TRM Data)]], Table_TRM_Fixtures[[#This Row],[Modified Baseline Fixture Watts]])</f>
        <v>241</v>
      </c>
    </row>
    <row r="294" spans="1:27" x14ac:dyDescent="0.2">
      <c r="A294" t="s">
        <v>771</v>
      </c>
      <c r="B294" t="s">
        <v>3991</v>
      </c>
      <c r="C294" t="s">
        <v>3992</v>
      </c>
      <c r="D294" t="s">
        <v>3993</v>
      </c>
      <c r="E294" t="s">
        <v>187</v>
      </c>
      <c r="F294" t="s">
        <v>186</v>
      </c>
      <c r="G294" t="s">
        <v>186</v>
      </c>
      <c r="H294">
        <v>242</v>
      </c>
      <c r="I294">
        <v>15</v>
      </c>
      <c r="J294" s="110">
        <v>292</v>
      </c>
      <c r="K294" t="s">
        <v>185</v>
      </c>
      <c r="L294">
        <f>IF(Table_TRM_Fixtures[[#This Row],[Technology]]="LED", Table_TRM_Fixtures[[#This Row],[Fixture Watts  (TRM Data)]], Table_TRM_Fixtures[[#This Row],[Lamp Watts  (TRM Data)]])</f>
        <v>242</v>
      </c>
      <c r="M294" t="str">
        <f>Table_TRM_Fixtures[[#This Row],[No. of Lamps  (TRM Data)]]</f>
        <v>N/A</v>
      </c>
      <c r="N294" t="s">
        <v>186</v>
      </c>
      <c r="O294" t="s">
        <v>186</v>
      </c>
      <c r="P294" t="s">
        <v>187</v>
      </c>
      <c r="S294" t="s">
        <v>770</v>
      </c>
      <c r="T294" t="str">
        <f>Table_TRM_Fixtures[[#This Row],[Fixture code  (TRM Data)]]</f>
        <v>LED242-FIXT</v>
      </c>
      <c r="U294" t="s">
        <v>2883</v>
      </c>
      <c r="V294" t="s">
        <v>185</v>
      </c>
      <c r="W294" t="s">
        <v>3120</v>
      </c>
      <c r="X294" t="s">
        <v>186</v>
      </c>
      <c r="AA294">
        <f>IF(Table_TRM_Fixtures[[#This Row],[Pre-EISA Baseline]]="Nominal", Table_TRM_Fixtures[[#This Row],[Fixture Watts  (TRM Data)]], Table_TRM_Fixtures[[#This Row],[Modified Baseline Fixture Watts]])</f>
        <v>242</v>
      </c>
    </row>
    <row r="295" spans="1:27" x14ac:dyDescent="0.2">
      <c r="A295" t="s">
        <v>773</v>
      </c>
      <c r="B295" t="s">
        <v>3994</v>
      </c>
      <c r="C295" t="s">
        <v>3995</v>
      </c>
      <c r="D295" t="s">
        <v>3996</v>
      </c>
      <c r="E295" t="s">
        <v>187</v>
      </c>
      <c r="F295" t="s">
        <v>186</v>
      </c>
      <c r="G295" t="s">
        <v>186</v>
      </c>
      <c r="H295">
        <v>243</v>
      </c>
      <c r="I295">
        <v>15</v>
      </c>
      <c r="J295" s="110">
        <v>293</v>
      </c>
      <c r="K295" t="s">
        <v>185</v>
      </c>
      <c r="L295">
        <f>IF(Table_TRM_Fixtures[[#This Row],[Technology]]="LED", Table_TRM_Fixtures[[#This Row],[Fixture Watts  (TRM Data)]], Table_TRM_Fixtures[[#This Row],[Lamp Watts  (TRM Data)]])</f>
        <v>243</v>
      </c>
      <c r="M295" t="str">
        <f>Table_TRM_Fixtures[[#This Row],[No. of Lamps  (TRM Data)]]</f>
        <v>N/A</v>
      </c>
      <c r="N295" t="s">
        <v>186</v>
      </c>
      <c r="O295" t="s">
        <v>186</v>
      </c>
      <c r="P295" t="s">
        <v>187</v>
      </c>
      <c r="S295" t="s">
        <v>772</v>
      </c>
      <c r="T295" t="str">
        <f>Table_TRM_Fixtures[[#This Row],[Fixture code  (TRM Data)]]</f>
        <v>LED243-FIXT</v>
      </c>
      <c r="U295" t="s">
        <v>2883</v>
      </c>
      <c r="V295" t="s">
        <v>185</v>
      </c>
      <c r="W295" t="s">
        <v>3120</v>
      </c>
      <c r="X295" t="s">
        <v>186</v>
      </c>
      <c r="AA295">
        <f>IF(Table_TRM_Fixtures[[#This Row],[Pre-EISA Baseline]]="Nominal", Table_TRM_Fixtures[[#This Row],[Fixture Watts  (TRM Data)]], Table_TRM_Fixtures[[#This Row],[Modified Baseline Fixture Watts]])</f>
        <v>243</v>
      </c>
    </row>
    <row r="296" spans="1:27" x14ac:dyDescent="0.2">
      <c r="A296" t="s">
        <v>775</v>
      </c>
      <c r="B296" t="s">
        <v>3997</v>
      </c>
      <c r="C296" t="s">
        <v>3998</v>
      </c>
      <c r="D296" t="s">
        <v>3999</v>
      </c>
      <c r="E296" t="s">
        <v>187</v>
      </c>
      <c r="F296" t="s">
        <v>186</v>
      </c>
      <c r="G296" t="s">
        <v>186</v>
      </c>
      <c r="H296">
        <v>244</v>
      </c>
      <c r="I296">
        <v>15</v>
      </c>
      <c r="J296" s="110">
        <v>294</v>
      </c>
      <c r="K296" t="s">
        <v>185</v>
      </c>
      <c r="L296">
        <f>IF(Table_TRM_Fixtures[[#This Row],[Technology]]="LED", Table_TRM_Fixtures[[#This Row],[Fixture Watts  (TRM Data)]], Table_TRM_Fixtures[[#This Row],[Lamp Watts  (TRM Data)]])</f>
        <v>244</v>
      </c>
      <c r="M296" t="str">
        <f>Table_TRM_Fixtures[[#This Row],[No. of Lamps  (TRM Data)]]</f>
        <v>N/A</v>
      </c>
      <c r="N296" t="s">
        <v>186</v>
      </c>
      <c r="O296" t="s">
        <v>186</v>
      </c>
      <c r="P296" t="s">
        <v>187</v>
      </c>
      <c r="S296" t="s">
        <v>774</v>
      </c>
      <c r="T296" t="str">
        <f>Table_TRM_Fixtures[[#This Row],[Fixture code  (TRM Data)]]</f>
        <v>LED244-FIXT</v>
      </c>
      <c r="U296" t="s">
        <v>2883</v>
      </c>
      <c r="V296" t="s">
        <v>185</v>
      </c>
      <c r="W296" t="s">
        <v>3120</v>
      </c>
      <c r="X296" t="s">
        <v>186</v>
      </c>
      <c r="AA296">
        <f>IF(Table_TRM_Fixtures[[#This Row],[Pre-EISA Baseline]]="Nominal", Table_TRM_Fixtures[[#This Row],[Fixture Watts  (TRM Data)]], Table_TRM_Fixtures[[#This Row],[Modified Baseline Fixture Watts]])</f>
        <v>244</v>
      </c>
    </row>
    <row r="297" spans="1:27" x14ac:dyDescent="0.2">
      <c r="A297" t="s">
        <v>777</v>
      </c>
      <c r="B297" t="s">
        <v>4000</v>
      </c>
      <c r="C297" t="s">
        <v>4001</v>
      </c>
      <c r="D297" t="s">
        <v>4002</v>
      </c>
      <c r="E297" t="s">
        <v>187</v>
      </c>
      <c r="F297" t="s">
        <v>186</v>
      </c>
      <c r="G297" t="s">
        <v>186</v>
      </c>
      <c r="H297">
        <v>245</v>
      </c>
      <c r="I297">
        <v>15</v>
      </c>
      <c r="J297" s="110">
        <v>295</v>
      </c>
      <c r="K297" t="s">
        <v>185</v>
      </c>
      <c r="L297">
        <f>IF(Table_TRM_Fixtures[[#This Row],[Technology]]="LED", Table_TRM_Fixtures[[#This Row],[Fixture Watts  (TRM Data)]], Table_TRM_Fixtures[[#This Row],[Lamp Watts  (TRM Data)]])</f>
        <v>245</v>
      </c>
      <c r="M297" t="str">
        <f>Table_TRM_Fixtures[[#This Row],[No. of Lamps  (TRM Data)]]</f>
        <v>N/A</v>
      </c>
      <c r="N297" t="s">
        <v>186</v>
      </c>
      <c r="O297" t="s">
        <v>186</v>
      </c>
      <c r="P297" t="s">
        <v>187</v>
      </c>
      <c r="S297" t="s">
        <v>776</v>
      </c>
      <c r="T297" t="str">
        <f>Table_TRM_Fixtures[[#This Row],[Fixture code  (TRM Data)]]</f>
        <v>LED245-FIXT</v>
      </c>
      <c r="U297" t="s">
        <v>2883</v>
      </c>
      <c r="V297" t="s">
        <v>185</v>
      </c>
      <c r="W297" t="s">
        <v>3120</v>
      </c>
      <c r="X297" t="s">
        <v>186</v>
      </c>
      <c r="AA297">
        <f>IF(Table_TRM_Fixtures[[#This Row],[Pre-EISA Baseline]]="Nominal", Table_TRM_Fixtures[[#This Row],[Fixture Watts  (TRM Data)]], Table_TRM_Fixtures[[#This Row],[Modified Baseline Fixture Watts]])</f>
        <v>245</v>
      </c>
    </row>
    <row r="298" spans="1:27" x14ac:dyDescent="0.2">
      <c r="A298" t="s">
        <v>779</v>
      </c>
      <c r="B298" t="s">
        <v>4003</v>
      </c>
      <c r="C298" t="s">
        <v>4004</v>
      </c>
      <c r="D298" t="s">
        <v>4005</v>
      </c>
      <c r="E298" t="s">
        <v>187</v>
      </c>
      <c r="F298" t="s">
        <v>186</v>
      </c>
      <c r="G298" t="s">
        <v>186</v>
      </c>
      <c r="H298">
        <v>246</v>
      </c>
      <c r="I298">
        <v>15</v>
      </c>
      <c r="J298" s="110">
        <v>296</v>
      </c>
      <c r="K298" t="s">
        <v>185</v>
      </c>
      <c r="L298">
        <f>IF(Table_TRM_Fixtures[[#This Row],[Technology]]="LED", Table_TRM_Fixtures[[#This Row],[Fixture Watts  (TRM Data)]], Table_TRM_Fixtures[[#This Row],[Lamp Watts  (TRM Data)]])</f>
        <v>246</v>
      </c>
      <c r="M298" t="str">
        <f>Table_TRM_Fixtures[[#This Row],[No. of Lamps  (TRM Data)]]</f>
        <v>N/A</v>
      </c>
      <c r="N298" t="s">
        <v>186</v>
      </c>
      <c r="O298" t="s">
        <v>186</v>
      </c>
      <c r="P298" t="s">
        <v>187</v>
      </c>
      <c r="S298" t="s">
        <v>778</v>
      </c>
      <c r="T298" t="str">
        <f>Table_TRM_Fixtures[[#This Row],[Fixture code  (TRM Data)]]</f>
        <v>LED246-FIXT</v>
      </c>
      <c r="U298" t="s">
        <v>2883</v>
      </c>
      <c r="V298" t="s">
        <v>185</v>
      </c>
      <c r="W298" t="s">
        <v>3120</v>
      </c>
      <c r="X298" t="s">
        <v>186</v>
      </c>
      <c r="AA298">
        <f>IF(Table_TRM_Fixtures[[#This Row],[Pre-EISA Baseline]]="Nominal", Table_TRM_Fixtures[[#This Row],[Fixture Watts  (TRM Data)]], Table_TRM_Fixtures[[#This Row],[Modified Baseline Fixture Watts]])</f>
        <v>246</v>
      </c>
    </row>
    <row r="299" spans="1:27" x14ac:dyDescent="0.2">
      <c r="A299" t="s">
        <v>781</v>
      </c>
      <c r="B299" t="s">
        <v>4006</v>
      </c>
      <c r="C299" t="s">
        <v>4007</v>
      </c>
      <c r="D299" t="s">
        <v>4008</v>
      </c>
      <c r="E299" t="s">
        <v>187</v>
      </c>
      <c r="F299" t="s">
        <v>186</v>
      </c>
      <c r="G299" t="s">
        <v>186</v>
      </c>
      <c r="H299">
        <v>247</v>
      </c>
      <c r="I299">
        <v>15</v>
      </c>
      <c r="J299" s="110">
        <v>297</v>
      </c>
      <c r="K299" t="s">
        <v>185</v>
      </c>
      <c r="L299">
        <f>IF(Table_TRM_Fixtures[[#This Row],[Technology]]="LED", Table_TRM_Fixtures[[#This Row],[Fixture Watts  (TRM Data)]], Table_TRM_Fixtures[[#This Row],[Lamp Watts  (TRM Data)]])</f>
        <v>247</v>
      </c>
      <c r="M299" t="str">
        <f>Table_TRM_Fixtures[[#This Row],[No. of Lamps  (TRM Data)]]</f>
        <v>N/A</v>
      </c>
      <c r="N299" t="s">
        <v>186</v>
      </c>
      <c r="O299" t="s">
        <v>186</v>
      </c>
      <c r="P299" t="s">
        <v>187</v>
      </c>
      <c r="S299" t="s">
        <v>780</v>
      </c>
      <c r="T299" t="str">
        <f>Table_TRM_Fixtures[[#This Row],[Fixture code  (TRM Data)]]</f>
        <v>LED247-FIXT</v>
      </c>
      <c r="U299" t="s">
        <v>2883</v>
      </c>
      <c r="V299" t="s">
        <v>185</v>
      </c>
      <c r="W299" t="s">
        <v>3120</v>
      </c>
      <c r="X299" t="s">
        <v>186</v>
      </c>
      <c r="AA299">
        <f>IF(Table_TRM_Fixtures[[#This Row],[Pre-EISA Baseline]]="Nominal", Table_TRM_Fixtures[[#This Row],[Fixture Watts  (TRM Data)]], Table_TRM_Fixtures[[#This Row],[Modified Baseline Fixture Watts]])</f>
        <v>247</v>
      </c>
    </row>
    <row r="300" spans="1:27" x14ac:dyDescent="0.2">
      <c r="A300" t="s">
        <v>783</v>
      </c>
      <c r="B300" t="s">
        <v>4009</v>
      </c>
      <c r="C300" t="s">
        <v>4010</v>
      </c>
      <c r="D300" t="s">
        <v>4011</v>
      </c>
      <c r="E300" t="s">
        <v>187</v>
      </c>
      <c r="F300" t="s">
        <v>186</v>
      </c>
      <c r="G300" t="s">
        <v>186</v>
      </c>
      <c r="H300">
        <v>248</v>
      </c>
      <c r="I300">
        <v>15</v>
      </c>
      <c r="J300" s="110">
        <v>298</v>
      </c>
      <c r="K300" t="s">
        <v>185</v>
      </c>
      <c r="L300">
        <f>IF(Table_TRM_Fixtures[[#This Row],[Technology]]="LED", Table_TRM_Fixtures[[#This Row],[Fixture Watts  (TRM Data)]], Table_TRM_Fixtures[[#This Row],[Lamp Watts  (TRM Data)]])</f>
        <v>248</v>
      </c>
      <c r="M300" t="str">
        <f>Table_TRM_Fixtures[[#This Row],[No. of Lamps  (TRM Data)]]</f>
        <v>N/A</v>
      </c>
      <c r="N300" t="s">
        <v>186</v>
      </c>
      <c r="O300" t="s">
        <v>186</v>
      </c>
      <c r="P300" t="s">
        <v>187</v>
      </c>
      <c r="S300" t="s">
        <v>782</v>
      </c>
      <c r="T300" t="str">
        <f>Table_TRM_Fixtures[[#This Row],[Fixture code  (TRM Data)]]</f>
        <v>LED248-FIXT</v>
      </c>
      <c r="U300" t="s">
        <v>2883</v>
      </c>
      <c r="V300" t="s">
        <v>185</v>
      </c>
      <c r="W300" t="s">
        <v>3120</v>
      </c>
      <c r="X300" t="s">
        <v>186</v>
      </c>
      <c r="AA300">
        <f>IF(Table_TRM_Fixtures[[#This Row],[Pre-EISA Baseline]]="Nominal", Table_TRM_Fixtures[[#This Row],[Fixture Watts  (TRM Data)]], Table_TRM_Fixtures[[#This Row],[Modified Baseline Fixture Watts]])</f>
        <v>248</v>
      </c>
    </row>
    <row r="301" spans="1:27" x14ac:dyDescent="0.2">
      <c r="A301" t="s">
        <v>785</v>
      </c>
      <c r="B301" t="s">
        <v>4012</v>
      </c>
      <c r="C301" t="s">
        <v>4013</v>
      </c>
      <c r="D301" t="s">
        <v>4014</v>
      </c>
      <c r="E301" t="s">
        <v>187</v>
      </c>
      <c r="F301" t="s">
        <v>186</v>
      </c>
      <c r="G301" t="s">
        <v>186</v>
      </c>
      <c r="H301">
        <v>249</v>
      </c>
      <c r="I301">
        <v>15</v>
      </c>
      <c r="J301" s="110">
        <v>299</v>
      </c>
      <c r="K301" t="s">
        <v>185</v>
      </c>
      <c r="L301">
        <f>IF(Table_TRM_Fixtures[[#This Row],[Technology]]="LED", Table_TRM_Fixtures[[#This Row],[Fixture Watts  (TRM Data)]], Table_TRM_Fixtures[[#This Row],[Lamp Watts  (TRM Data)]])</f>
        <v>249</v>
      </c>
      <c r="M301" t="str">
        <f>Table_TRM_Fixtures[[#This Row],[No. of Lamps  (TRM Data)]]</f>
        <v>N/A</v>
      </c>
      <c r="N301" t="s">
        <v>186</v>
      </c>
      <c r="O301" t="s">
        <v>186</v>
      </c>
      <c r="P301" t="s">
        <v>187</v>
      </c>
      <c r="S301" t="s">
        <v>784</v>
      </c>
      <c r="T301" t="str">
        <f>Table_TRM_Fixtures[[#This Row],[Fixture code  (TRM Data)]]</f>
        <v>LED249-FIXT</v>
      </c>
      <c r="U301" t="s">
        <v>2883</v>
      </c>
      <c r="V301" t="s">
        <v>185</v>
      </c>
      <c r="W301" t="s">
        <v>3120</v>
      </c>
      <c r="X301" t="s">
        <v>186</v>
      </c>
      <c r="AA301">
        <f>IF(Table_TRM_Fixtures[[#This Row],[Pre-EISA Baseline]]="Nominal", Table_TRM_Fixtures[[#This Row],[Fixture Watts  (TRM Data)]], Table_TRM_Fixtures[[#This Row],[Modified Baseline Fixture Watts]])</f>
        <v>249</v>
      </c>
    </row>
    <row r="302" spans="1:27" x14ac:dyDescent="0.2">
      <c r="A302" t="s">
        <v>787</v>
      </c>
      <c r="B302" t="s">
        <v>4015</v>
      </c>
      <c r="C302" t="s">
        <v>4016</v>
      </c>
      <c r="D302" t="s">
        <v>4017</v>
      </c>
      <c r="E302" t="s">
        <v>187</v>
      </c>
      <c r="F302" t="s">
        <v>186</v>
      </c>
      <c r="G302" t="s">
        <v>186</v>
      </c>
      <c r="H302">
        <v>250</v>
      </c>
      <c r="I302">
        <v>15</v>
      </c>
      <c r="J302" s="110">
        <v>300</v>
      </c>
      <c r="K302" t="s">
        <v>185</v>
      </c>
      <c r="L302">
        <f>IF(Table_TRM_Fixtures[[#This Row],[Technology]]="LED", Table_TRM_Fixtures[[#This Row],[Fixture Watts  (TRM Data)]], Table_TRM_Fixtures[[#This Row],[Lamp Watts  (TRM Data)]])</f>
        <v>250</v>
      </c>
      <c r="M302" t="str">
        <f>Table_TRM_Fixtures[[#This Row],[No. of Lamps  (TRM Data)]]</f>
        <v>N/A</v>
      </c>
      <c r="N302" t="s">
        <v>186</v>
      </c>
      <c r="O302" t="s">
        <v>186</v>
      </c>
      <c r="P302" t="s">
        <v>187</v>
      </c>
      <c r="S302" t="s">
        <v>786</v>
      </c>
      <c r="T302" t="str">
        <f>Table_TRM_Fixtures[[#This Row],[Fixture code  (TRM Data)]]</f>
        <v>LED250-FIXT</v>
      </c>
      <c r="U302" t="s">
        <v>2883</v>
      </c>
      <c r="V302" t="s">
        <v>185</v>
      </c>
      <c r="W302" t="s">
        <v>3120</v>
      </c>
      <c r="X302" t="s">
        <v>186</v>
      </c>
      <c r="AA302">
        <f>IF(Table_TRM_Fixtures[[#This Row],[Pre-EISA Baseline]]="Nominal", Table_TRM_Fixtures[[#This Row],[Fixture Watts  (TRM Data)]], Table_TRM_Fixtures[[#This Row],[Modified Baseline Fixture Watts]])</f>
        <v>250</v>
      </c>
    </row>
    <row r="303" spans="1:27" x14ac:dyDescent="0.2">
      <c r="A303" t="s">
        <v>789</v>
      </c>
      <c r="B303" t="s">
        <v>4018</v>
      </c>
      <c r="C303" t="s">
        <v>4019</v>
      </c>
      <c r="D303" t="s">
        <v>4020</v>
      </c>
      <c r="E303" t="s">
        <v>187</v>
      </c>
      <c r="F303" t="s">
        <v>186</v>
      </c>
      <c r="G303" t="s">
        <v>186</v>
      </c>
      <c r="H303">
        <v>251</v>
      </c>
      <c r="I303">
        <v>15</v>
      </c>
      <c r="J303" s="110">
        <v>301</v>
      </c>
      <c r="K303" t="s">
        <v>185</v>
      </c>
      <c r="L303">
        <f>IF(Table_TRM_Fixtures[[#This Row],[Technology]]="LED", Table_TRM_Fixtures[[#This Row],[Fixture Watts  (TRM Data)]], Table_TRM_Fixtures[[#This Row],[Lamp Watts  (TRM Data)]])</f>
        <v>251</v>
      </c>
      <c r="M303" t="str">
        <f>Table_TRM_Fixtures[[#This Row],[No. of Lamps  (TRM Data)]]</f>
        <v>N/A</v>
      </c>
      <c r="N303" t="s">
        <v>186</v>
      </c>
      <c r="O303" t="s">
        <v>186</v>
      </c>
      <c r="P303" t="s">
        <v>187</v>
      </c>
      <c r="S303" t="s">
        <v>788</v>
      </c>
      <c r="T303" t="str">
        <f>Table_TRM_Fixtures[[#This Row],[Fixture code  (TRM Data)]]</f>
        <v>LED251-FIXT</v>
      </c>
      <c r="U303" t="s">
        <v>2883</v>
      </c>
      <c r="V303" t="s">
        <v>185</v>
      </c>
      <c r="W303" t="s">
        <v>3120</v>
      </c>
      <c r="X303" t="s">
        <v>186</v>
      </c>
      <c r="AA303">
        <f>IF(Table_TRM_Fixtures[[#This Row],[Pre-EISA Baseline]]="Nominal", Table_TRM_Fixtures[[#This Row],[Fixture Watts  (TRM Data)]], Table_TRM_Fixtures[[#This Row],[Modified Baseline Fixture Watts]])</f>
        <v>251</v>
      </c>
    </row>
    <row r="304" spans="1:27" x14ac:dyDescent="0.2">
      <c r="A304" t="s">
        <v>791</v>
      </c>
      <c r="B304" t="s">
        <v>4021</v>
      </c>
      <c r="C304" t="s">
        <v>4022</v>
      </c>
      <c r="D304" t="s">
        <v>4023</v>
      </c>
      <c r="E304" t="s">
        <v>187</v>
      </c>
      <c r="F304" t="s">
        <v>186</v>
      </c>
      <c r="G304" t="s">
        <v>186</v>
      </c>
      <c r="H304">
        <v>252</v>
      </c>
      <c r="I304">
        <v>15</v>
      </c>
      <c r="J304" s="110">
        <v>302</v>
      </c>
      <c r="K304" t="s">
        <v>185</v>
      </c>
      <c r="L304">
        <f>IF(Table_TRM_Fixtures[[#This Row],[Technology]]="LED", Table_TRM_Fixtures[[#This Row],[Fixture Watts  (TRM Data)]], Table_TRM_Fixtures[[#This Row],[Lamp Watts  (TRM Data)]])</f>
        <v>252</v>
      </c>
      <c r="M304" t="str">
        <f>Table_TRM_Fixtures[[#This Row],[No. of Lamps  (TRM Data)]]</f>
        <v>N/A</v>
      </c>
      <c r="N304" t="s">
        <v>186</v>
      </c>
      <c r="O304" t="s">
        <v>186</v>
      </c>
      <c r="P304" t="s">
        <v>187</v>
      </c>
      <c r="S304" t="s">
        <v>790</v>
      </c>
      <c r="T304" t="str">
        <f>Table_TRM_Fixtures[[#This Row],[Fixture code  (TRM Data)]]</f>
        <v>LED252-FIXT</v>
      </c>
      <c r="U304" t="s">
        <v>2883</v>
      </c>
      <c r="V304" t="s">
        <v>185</v>
      </c>
      <c r="W304" t="s">
        <v>3120</v>
      </c>
      <c r="X304" t="s">
        <v>186</v>
      </c>
      <c r="AA304">
        <f>IF(Table_TRM_Fixtures[[#This Row],[Pre-EISA Baseline]]="Nominal", Table_TRM_Fixtures[[#This Row],[Fixture Watts  (TRM Data)]], Table_TRM_Fixtures[[#This Row],[Modified Baseline Fixture Watts]])</f>
        <v>252</v>
      </c>
    </row>
    <row r="305" spans="1:27" x14ac:dyDescent="0.2">
      <c r="A305" t="s">
        <v>793</v>
      </c>
      <c r="B305" t="s">
        <v>4024</v>
      </c>
      <c r="C305" t="s">
        <v>4025</v>
      </c>
      <c r="D305" t="s">
        <v>4026</v>
      </c>
      <c r="E305" t="s">
        <v>187</v>
      </c>
      <c r="F305" t="s">
        <v>186</v>
      </c>
      <c r="G305" t="s">
        <v>186</v>
      </c>
      <c r="H305">
        <v>253</v>
      </c>
      <c r="I305">
        <v>15</v>
      </c>
      <c r="J305" s="110">
        <v>303</v>
      </c>
      <c r="K305" t="s">
        <v>185</v>
      </c>
      <c r="L305">
        <f>IF(Table_TRM_Fixtures[[#This Row],[Technology]]="LED", Table_TRM_Fixtures[[#This Row],[Fixture Watts  (TRM Data)]], Table_TRM_Fixtures[[#This Row],[Lamp Watts  (TRM Data)]])</f>
        <v>253</v>
      </c>
      <c r="M305" t="str">
        <f>Table_TRM_Fixtures[[#This Row],[No. of Lamps  (TRM Data)]]</f>
        <v>N/A</v>
      </c>
      <c r="N305" t="s">
        <v>186</v>
      </c>
      <c r="O305" t="s">
        <v>186</v>
      </c>
      <c r="P305" t="s">
        <v>187</v>
      </c>
      <c r="S305" t="s">
        <v>792</v>
      </c>
      <c r="T305" t="str">
        <f>Table_TRM_Fixtures[[#This Row],[Fixture code  (TRM Data)]]</f>
        <v>LED253-FIXT</v>
      </c>
      <c r="U305" t="s">
        <v>2883</v>
      </c>
      <c r="V305" t="s">
        <v>185</v>
      </c>
      <c r="W305" t="s">
        <v>3120</v>
      </c>
      <c r="X305" t="s">
        <v>186</v>
      </c>
      <c r="AA305">
        <f>IF(Table_TRM_Fixtures[[#This Row],[Pre-EISA Baseline]]="Nominal", Table_TRM_Fixtures[[#This Row],[Fixture Watts  (TRM Data)]], Table_TRM_Fixtures[[#This Row],[Modified Baseline Fixture Watts]])</f>
        <v>253</v>
      </c>
    </row>
    <row r="306" spans="1:27" x14ac:dyDescent="0.2">
      <c r="A306" t="s">
        <v>795</v>
      </c>
      <c r="B306" t="s">
        <v>4027</v>
      </c>
      <c r="C306" t="s">
        <v>4028</v>
      </c>
      <c r="D306" t="s">
        <v>4029</v>
      </c>
      <c r="E306" t="s">
        <v>187</v>
      </c>
      <c r="F306" t="s">
        <v>186</v>
      </c>
      <c r="G306" t="s">
        <v>186</v>
      </c>
      <c r="H306">
        <v>254</v>
      </c>
      <c r="I306">
        <v>15</v>
      </c>
      <c r="J306" s="110">
        <v>304</v>
      </c>
      <c r="K306" t="s">
        <v>185</v>
      </c>
      <c r="L306">
        <f>IF(Table_TRM_Fixtures[[#This Row],[Technology]]="LED", Table_TRM_Fixtures[[#This Row],[Fixture Watts  (TRM Data)]], Table_TRM_Fixtures[[#This Row],[Lamp Watts  (TRM Data)]])</f>
        <v>254</v>
      </c>
      <c r="M306" t="str">
        <f>Table_TRM_Fixtures[[#This Row],[No. of Lamps  (TRM Data)]]</f>
        <v>N/A</v>
      </c>
      <c r="N306" t="s">
        <v>186</v>
      </c>
      <c r="O306" t="s">
        <v>186</v>
      </c>
      <c r="P306" t="s">
        <v>187</v>
      </c>
      <c r="S306" t="s">
        <v>794</v>
      </c>
      <c r="T306" t="str">
        <f>Table_TRM_Fixtures[[#This Row],[Fixture code  (TRM Data)]]</f>
        <v>LED254-FIXT</v>
      </c>
      <c r="U306" t="s">
        <v>2883</v>
      </c>
      <c r="V306" t="s">
        <v>185</v>
      </c>
      <c r="W306" t="s">
        <v>3120</v>
      </c>
      <c r="X306" t="s">
        <v>186</v>
      </c>
      <c r="AA306">
        <f>IF(Table_TRM_Fixtures[[#This Row],[Pre-EISA Baseline]]="Nominal", Table_TRM_Fixtures[[#This Row],[Fixture Watts  (TRM Data)]], Table_TRM_Fixtures[[#This Row],[Modified Baseline Fixture Watts]])</f>
        <v>254</v>
      </c>
    </row>
    <row r="307" spans="1:27" x14ac:dyDescent="0.2">
      <c r="A307" t="s">
        <v>797</v>
      </c>
      <c r="B307" t="s">
        <v>4030</v>
      </c>
      <c r="C307" t="s">
        <v>4031</v>
      </c>
      <c r="D307" t="s">
        <v>4032</v>
      </c>
      <c r="E307" t="s">
        <v>187</v>
      </c>
      <c r="F307" t="s">
        <v>186</v>
      </c>
      <c r="G307" t="s">
        <v>186</v>
      </c>
      <c r="H307">
        <v>255</v>
      </c>
      <c r="I307">
        <v>15</v>
      </c>
      <c r="J307" s="110">
        <v>305</v>
      </c>
      <c r="K307" t="s">
        <v>185</v>
      </c>
      <c r="L307">
        <f>IF(Table_TRM_Fixtures[[#This Row],[Technology]]="LED", Table_TRM_Fixtures[[#This Row],[Fixture Watts  (TRM Data)]], Table_TRM_Fixtures[[#This Row],[Lamp Watts  (TRM Data)]])</f>
        <v>255</v>
      </c>
      <c r="M307" t="str">
        <f>Table_TRM_Fixtures[[#This Row],[No. of Lamps  (TRM Data)]]</f>
        <v>N/A</v>
      </c>
      <c r="N307" t="s">
        <v>186</v>
      </c>
      <c r="O307" t="s">
        <v>186</v>
      </c>
      <c r="P307" t="s">
        <v>187</v>
      </c>
      <c r="S307" t="s">
        <v>796</v>
      </c>
      <c r="T307" t="str">
        <f>Table_TRM_Fixtures[[#This Row],[Fixture code  (TRM Data)]]</f>
        <v>LED255-FIXT</v>
      </c>
      <c r="U307" t="s">
        <v>2883</v>
      </c>
      <c r="V307" t="s">
        <v>185</v>
      </c>
      <c r="W307" t="s">
        <v>3120</v>
      </c>
      <c r="X307" t="s">
        <v>186</v>
      </c>
      <c r="AA307">
        <f>IF(Table_TRM_Fixtures[[#This Row],[Pre-EISA Baseline]]="Nominal", Table_TRM_Fixtures[[#This Row],[Fixture Watts  (TRM Data)]], Table_TRM_Fixtures[[#This Row],[Modified Baseline Fixture Watts]])</f>
        <v>255</v>
      </c>
    </row>
    <row r="308" spans="1:27" x14ac:dyDescent="0.2">
      <c r="A308" t="s">
        <v>799</v>
      </c>
      <c r="B308" t="s">
        <v>4033</v>
      </c>
      <c r="C308" t="s">
        <v>4034</v>
      </c>
      <c r="D308" t="s">
        <v>4035</v>
      </c>
      <c r="E308" t="s">
        <v>187</v>
      </c>
      <c r="F308" t="s">
        <v>186</v>
      </c>
      <c r="G308" t="s">
        <v>186</v>
      </c>
      <c r="H308">
        <v>256</v>
      </c>
      <c r="I308">
        <v>15</v>
      </c>
      <c r="J308" s="110">
        <v>306</v>
      </c>
      <c r="K308" t="s">
        <v>185</v>
      </c>
      <c r="L308">
        <f>IF(Table_TRM_Fixtures[[#This Row],[Technology]]="LED", Table_TRM_Fixtures[[#This Row],[Fixture Watts  (TRM Data)]], Table_TRM_Fixtures[[#This Row],[Lamp Watts  (TRM Data)]])</f>
        <v>256</v>
      </c>
      <c r="M308" t="str">
        <f>Table_TRM_Fixtures[[#This Row],[No. of Lamps  (TRM Data)]]</f>
        <v>N/A</v>
      </c>
      <c r="N308" t="s">
        <v>186</v>
      </c>
      <c r="O308" t="s">
        <v>186</v>
      </c>
      <c r="P308" t="s">
        <v>187</v>
      </c>
      <c r="S308" t="s">
        <v>798</v>
      </c>
      <c r="T308" t="str">
        <f>Table_TRM_Fixtures[[#This Row],[Fixture code  (TRM Data)]]</f>
        <v>LED256-FIXT</v>
      </c>
      <c r="U308" t="s">
        <v>2883</v>
      </c>
      <c r="V308" t="s">
        <v>185</v>
      </c>
      <c r="W308" t="s">
        <v>3120</v>
      </c>
      <c r="X308" t="s">
        <v>186</v>
      </c>
      <c r="AA308">
        <f>IF(Table_TRM_Fixtures[[#This Row],[Pre-EISA Baseline]]="Nominal", Table_TRM_Fixtures[[#This Row],[Fixture Watts  (TRM Data)]], Table_TRM_Fixtures[[#This Row],[Modified Baseline Fixture Watts]])</f>
        <v>256</v>
      </c>
    </row>
    <row r="309" spans="1:27" x14ac:dyDescent="0.2">
      <c r="A309" t="s">
        <v>801</v>
      </c>
      <c r="B309" t="s">
        <v>4036</v>
      </c>
      <c r="C309" t="s">
        <v>4037</v>
      </c>
      <c r="D309" t="s">
        <v>4038</v>
      </c>
      <c r="E309" t="s">
        <v>187</v>
      </c>
      <c r="F309" t="s">
        <v>186</v>
      </c>
      <c r="G309" t="s">
        <v>186</v>
      </c>
      <c r="H309">
        <v>257</v>
      </c>
      <c r="I309">
        <v>15</v>
      </c>
      <c r="J309" s="110">
        <v>307</v>
      </c>
      <c r="K309" t="s">
        <v>185</v>
      </c>
      <c r="L309">
        <f>IF(Table_TRM_Fixtures[[#This Row],[Technology]]="LED", Table_TRM_Fixtures[[#This Row],[Fixture Watts  (TRM Data)]], Table_TRM_Fixtures[[#This Row],[Lamp Watts  (TRM Data)]])</f>
        <v>257</v>
      </c>
      <c r="M309" t="str">
        <f>Table_TRM_Fixtures[[#This Row],[No. of Lamps  (TRM Data)]]</f>
        <v>N/A</v>
      </c>
      <c r="N309" t="s">
        <v>186</v>
      </c>
      <c r="O309" t="s">
        <v>186</v>
      </c>
      <c r="P309" t="s">
        <v>187</v>
      </c>
      <c r="S309" t="s">
        <v>800</v>
      </c>
      <c r="T309" t="str">
        <f>Table_TRM_Fixtures[[#This Row],[Fixture code  (TRM Data)]]</f>
        <v>LED257-FIXT</v>
      </c>
      <c r="U309" t="s">
        <v>2883</v>
      </c>
      <c r="V309" t="s">
        <v>185</v>
      </c>
      <c r="W309" t="s">
        <v>3120</v>
      </c>
      <c r="X309" t="s">
        <v>186</v>
      </c>
      <c r="AA309">
        <f>IF(Table_TRM_Fixtures[[#This Row],[Pre-EISA Baseline]]="Nominal", Table_TRM_Fixtures[[#This Row],[Fixture Watts  (TRM Data)]], Table_TRM_Fixtures[[#This Row],[Modified Baseline Fixture Watts]])</f>
        <v>257</v>
      </c>
    </row>
    <row r="310" spans="1:27" x14ac:dyDescent="0.2">
      <c r="A310" t="s">
        <v>803</v>
      </c>
      <c r="B310" t="s">
        <v>4039</v>
      </c>
      <c r="C310" t="s">
        <v>4040</v>
      </c>
      <c r="D310" t="s">
        <v>4041</v>
      </c>
      <c r="E310" t="s">
        <v>187</v>
      </c>
      <c r="F310" t="s">
        <v>186</v>
      </c>
      <c r="G310" t="s">
        <v>186</v>
      </c>
      <c r="H310">
        <v>258</v>
      </c>
      <c r="I310">
        <v>15</v>
      </c>
      <c r="J310" s="110">
        <v>308</v>
      </c>
      <c r="K310" t="s">
        <v>185</v>
      </c>
      <c r="L310">
        <f>IF(Table_TRM_Fixtures[[#This Row],[Technology]]="LED", Table_TRM_Fixtures[[#This Row],[Fixture Watts  (TRM Data)]], Table_TRM_Fixtures[[#This Row],[Lamp Watts  (TRM Data)]])</f>
        <v>258</v>
      </c>
      <c r="M310" t="str">
        <f>Table_TRM_Fixtures[[#This Row],[No. of Lamps  (TRM Data)]]</f>
        <v>N/A</v>
      </c>
      <c r="N310" t="s">
        <v>186</v>
      </c>
      <c r="O310" t="s">
        <v>186</v>
      </c>
      <c r="P310" t="s">
        <v>187</v>
      </c>
      <c r="S310" t="s">
        <v>802</v>
      </c>
      <c r="T310" t="str">
        <f>Table_TRM_Fixtures[[#This Row],[Fixture code  (TRM Data)]]</f>
        <v>LED258-FIXT</v>
      </c>
      <c r="U310" t="s">
        <v>2883</v>
      </c>
      <c r="V310" t="s">
        <v>185</v>
      </c>
      <c r="W310" t="s">
        <v>3120</v>
      </c>
      <c r="X310" t="s">
        <v>186</v>
      </c>
      <c r="AA310">
        <f>IF(Table_TRM_Fixtures[[#This Row],[Pre-EISA Baseline]]="Nominal", Table_TRM_Fixtures[[#This Row],[Fixture Watts  (TRM Data)]], Table_TRM_Fixtures[[#This Row],[Modified Baseline Fixture Watts]])</f>
        <v>258</v>
      </c>
    </row>
    <row r="311" spans="1:27" x14ac:dyDescent="0.2">
      <c r="A311" t="s">
        <v>805</v>
      </c>
      <c r="B311" t="s">
        <v>4042</v>
      </c>
      <c r="C311" t="s">
        <v>4043</v>
      </c>
      <c r="D311" t="s">
        <v>4044</v>
      </c>
      <c r="E311" t="s">
        <v>187</v>
      </c>
      <c r="F311" t="s">
        <v>186</v>
      </c>
      <c r="G311" t="s">
        <v>186</v>
      </c>
      <c r="H311">
        <v>259</v>
      </c>
      <c r="I311">
        <v>15</v>
      </c>
      <c r="J311" s="110">
        <v>309</v>
      </c>
      <c r="K311" t="s">
        <v>185</v>
      </c>
      <c r="L311">
        <f>IF(Table_TRM_Fixtures[[#This Row],[Technology]]="LED", Table_TRM_Fixtures[[#This Row],[Fixture Watts  (TRM Data)]], Table_TRM_Fixtures[[#This Row],[Lamp Watts  (TRM Data)]])</f>
        <v>259</v>
      </c>
      <c r="M311" t="str">
        <f>Table_TRM_Fixtures[[#This Row],[No. of Lamps  (TRM Data)]]</f>
        <v>N/A</v>
      </c>
      <c r="N311" t="s">
        <v>186</v>
      </c>
      <c r="O311" t="s">
        <v>186</v>
      </c>
      <c r="P311" t="s">
        <v>187</v>
      </c>
      <c r="S311" t="s">
        <v>804</v>
      </c>
      <c r="T311" t="str">
        <f>Table_TRM_Fixtures[[#This Row],[Fixture code  (TRM Data)]]</f>
        <v>LED259-FIXT</v>
      </c>
      <c r="U311" t="s">
        <v>2883</v>
      </c>
      <c r="V311" t="s">
        <v>185</v>
      </c>
      <c r="W311" t="s">
        <v>3120</v>
      </c>
      <c r="X311" t="s">
        <v>186</v>
      </c>
      <c r="AA311">
        <f>IF(Table_TRM_Fixtures[[#This Row],[Pre-EISA Baseline]]="Nominal", Table_TRM_Fixtures[[#This Row],[Fixture Watts  (TRM Data)]], Table_TRM_Fixtures[[#This Row],[Modified Baseline Fixture Watts]])</f>
        <v>259</v>
      </c>
    </row>
    <row r="312" spans="1:27" x14ac:dyDescent="0.2">
      <c r="A312" t="s">
        <v>807</v>
      </c>
      <c r="B312" t="s">
        <v>4045</v>
      </c>
      <c r="C312" t="s">
        <v>4046</v>
      </c>
      <c r="D312" t="s">
        <v>4047</v>
      </c>
      <c r="E312" t="s">
        <v>187</v>
      </c>
      <c r="F312" t="s">
        <v>186</v>
      </c>
      <c r="G312" t="s">
        <v>186</v>
      </c>
      <c r="H312">
        <v>260</v>
      </c>
      <c r="I312">
        <v>15</v>
      </c>
      <c r="J312" s="110">
        <v>310</v>
      </c>
      <c r="K312" t="s">
        <v>185</v>
      </c>
      <c r="L312">
        <f>IF(Table_TRM_Fixtures[[#This Row],[Technology]]="LED", Table_TRM_Fixtures[[#This Row],[Fixture Watts  (TRM Data)]], Table_TRM_Fixtures[[#This Row],[Lamp Watts  (TRM Data)]])</f>
        <v>260</v>
      </c>
      <c r="M312" t="str">
        <f>Table_TRM_Fixtures[[#This Row],[No. of Lamps  (TRM Data)]]</f>
        <v>N/A</v>
      </c>
      <c r="N312" t="s">
        <v>186</v>
      </c>
      <c r="O312" t="s">
        <v>186</v>
      </c>
      <c r="P312" t="s">
        <v>187</v>
      </c>
      <c r="S312" t="s">
        <v>806</v>
      </c>
      <c r="T312" t="str">
        <f>Table_TRM_Fixtures[[#This Row],[Fixture code  (TRM Data)]]</f>
        <v>LED260-FIXT</v>
      </c>
      <c r="U312" t="s">
        <v>2883</v>
      </c>
      <c r="V312" t="s">
        <v>185</v>
      </c>
      <c r="W312" t="s">
        <v>3120</v>
      </c>
      <c r="X312" t="s">
        <v>186</v>
      </c>
      <c r="AA312">
        <f>IF(Table_TRM_Fixtures[[#This Row],[Pre-EISA Baseline]]="Nominal", Table_TRM_Fixtures[[#This Row],[Fixture Watts  (TRM Data)]], Table_TRM_Fixtures[[#This Row],[Modified Baseline Fixture Watts]])</f>
        <v>260</v>
      </c>
    </row>
    <row r="313" spans="1:27" x14ac:dyDescent="0.2">
      <c r="A313" t="s">
        <v>809</v>
      </c>
      <c r="B313" t="s">
        <v>4048</v>
      </c>
      <c r="C313" t="s">
        <v>4049</v>
      </c>
      <c r="D313" t="s">
        <v>4050</v>
      </c>
      <c r="E313" t="s">
        <v>187</v>
      </c>
      <c r="F313" t="s">
        <v>186</v>
      </c>
      <c r="G313" t="s">
        <v>186</v>
      </c>
      <c r="H313">
        <v>261</v>
      </c>
      <c r="I313">
        <v>15</v>
      </c>
      <c r="J313" s="110">
        <v>311</v>
      </c>
      <c r="K313" t="s">
        <v>185</v>
      </c>
      <c r="L313">
        <f>IF(Table_TRM_Fixtures[[#This Row],[Technology]]="LED", Table_TRM_Fixtures[[#This Row],[Fixture Watts  (TRM Data)]], Table_TRM_Fixtures[[#This Row],[Lamp Watts  (TRM Data)]])</f>
        <v>261</v>
      </c>
      <c r="M313" t="str">
        <f>Table_TRM_Fixtures[[#This Row],[No. of Lamps  (TRM Data)]]</f>
        <v>N/A</v>
      </c>
      <c r="N313" t="s">
        <v>186</v>
      </c>
      <c r="O313" t="s">
        <v>186</v>
      </c>
      <c r="P313" t="s">
        <v>187</v>
      </c>
      <c r="S313" t="s">
        <v>808</v>
      </c>
      <c r="T313" t="str">
        <f>Table_TRM_Fixtures[[#This Row],[Fixture code  (TRM Data)]]</f>
        <v>LED261-FIXT</v>
      </c>
      <c r="U313" t="s">
        <v>2883</v>
      </c>
      <c r="V313" t="s">
        <v>185</v>
      </c>
      <c r="W313" t="s">
        <v>3120</v>
      </c>
      <c r="X313" t="s">
        <v>186</v>
      </c>
      <c r="AA313">
        <f>IF(Table_TRM_Fixtures[[#This Row],[Pre-EISA Baseline]]="Nominal", Table_TRM_Fixtures[[#This Row],[Fixture Watts  (TRM Data)]], Table_TRM_Fixtures[[#This Row],[Modified Baseline Fixture Watts]])</f>
        <v>261</v>
      </c>
    </row>
    <row r="314" spans="1:27" x14ac:dyDescent="0.2">
      <c r="A314" t="s">
        <v>811</v>
      </c>
      <c r="B314" t="s">
        <v>4051</v>
      </c>
      <c r="C314" t="s">
        <v>4052</v>
      </c>
      <c r="D314" t="s">
        <v>4053</v>
      </c>
      <c r="E314" t="s">
        <v>187</v>
      </c>
      <c r="F314" t="s">
        <v>186</v>
      </c>
      <c r="G314" t="s">
        <v>186</v>
      </c>
      <c r="H314">
        <v>262</v>
      </c>
      <c r="I314">
        <v>15</v>
      </c>
      <c r="J314" s="110">
        <v>312</v>
      </c>
      <c r="K314" t="s">
        <v>185</v>
      </c>
      <c r="L314">
        <f>IF(Table_TRM_Fixtures[[#This Row],[Technology]]="LED", Table_TRM_Fixtures[[#This Row],[Fixture Watts  (TRM Data)]], Table_TRM_Fixtures[[#This Row],[Lamp Watts  (TRM Data)]])</f>
        <v>262</v>
      </c>
      <c r="M314" t="str">
        <f>Table_TRM_Fixtures[[#This Row],[No. of Lamps  (TRM Data)]]</f>
        <v>N/A</v>
      </c>
      <c r="N314" t="s">
        <v>186</v>
      </c>
      <c r="O314" t="s">
        <v>186</v>
      </c>
      <c r="P314" t="s">
        <v>187</v>
      </c>
      <c r="S314" t="s">
        <v>810</v>
      </c>
      <c r="T314" t="str">
        <f>Table_TRM_Fixtures[[#This Row],[Fixture code  (TRM Data)]]</f>
        <v>LED262-FIXT</v>
      </c>
      <c r="U314" t="s">
        <v>2883</v>
      </c>
      <c r="V314" t="s">
        <v>185</v>
      </c>
      <c r="W314" t="s">
        <v>3120</v>
      </c>
      <c r="X314" t="s">
        <v>186</v>
      </c>
      <c r="AA314">
        <f>IF(Table_TRM_Fixtures[[#This Row],[Pre-EISA Baseline]]="Nominal", Table_TRM_Fixtures[[#This Row],[Fixture Watts  (TRM Data)]], Table_TRM_Fixtures[[#This Row],[Modified Baseline Fixture Watts]])</f>
        <v>262</v>
      </c>
    </row>
    <row r="315" spans="1:27" x14ac:dyDescent="0.2">
      <c r="A315" t="s">
        <v>813</v>
      </c>
      <c r="B315" t="s">
        <v>4054</v>
      </c>
      <c r="C315" t="s">
        <v>4055</v>
      </c>
      <c r="D315" t="s">
        <v>4056</v>
      </c>
      <c r="E315" t="s">
        <v>187</v>
      </c>
      <c r="F315" t="s">
        <v>186</v>
      </c>
      <c r="G315" t="s">
        <v>186</v>
      </c>
      <c r="H315">
        <v>263</v>
      </c>
      <c r="I315">
        <v>15</v>
      </c>
      <c r="J315" s="110">
        <v>313</v>
      </c>
      <c r="K315" t="s">
        <v>185</v>
      </c>
      <c r="L315">
        <f>IF(Table_TRM_Fixtures[[#This Row],[Technology]]="LED", Table_TRM_Fixtures[[#This Row],[Fixture Watts  (TRM Data)]], Table_TRM_Fixtures[[#This Row],[Lamp Watts  (TRM Data)]])</f>
        <v>263</v>
      </c>
      <c r="M315" t="str">
        <f>Table_TRM_Fixtures[[#This Row],[No. of Lamps  (TRM Data)]]</f>
        <v>N/A</v>
      </c>
      <c r="N315" t="s">
        <v>186</v>
      </c>
      <c r="O315" t="s">
        <v>186</v>
      </c>
      <c r="P315" t="s">
        <v>187</v>
      </c>
      <c r="S315" t="s">
        <v>812</v>
      </c>
      <c r="T315" t="str">
        <f>Table_TRM_Fixtures[[#This Row],[Fixture code  (TRM Data)]]</f>
        <v>LED263-FIXT</v>
      </c>
      <c r="U315" t="s">
        <v>2883</v>
      </c>
      <c r="V315" t="s">
        <v>185</v>
      </c>
      <c r="W315" t="s">
        <v>3120</v>
      </c>
      <c r="X315" t="s">
        <v>186</v>
      </c>
      <c r="AA315">
        <f>IF(Table_TRM_Fixtures[[#This Row],[Pre-EISA Baseline]]="Nominal", Table_TRM_Fixtures[[#This Row],[Fixture Watts  (TRM Data)]], Table_TRM_Fixtures[[#This Row],[Modified Baseline Fixture Watts]])</f>
        <v>263</v>
      </c>
    </row>
    <row r="316" spans="1:27" x14ac:dyDescent="0.2">
      <c r="A316" t="s">
        <v>815</v>
      </c>
      <c r="B316" t="s">
        <v>4057</v>
      </c>
      <c r="C316" t="s">
        <v>4058</v>
      </c>
      <c r="D316" t="s">
        <v>4059</v>
      </c>
      <c r="E316" t="s">
        <v>187</v>
      </c>
      <c r="F316" t="s">
        <v>186</v>
      </c>
      <c r="G316" t="s">
        <v>186</v>
      </c>
      <c r="H316">
        <v>264</v>
      </c>
      <c r="I316">
        <v>15</v>
      </c>
      <c r="J316" s="110">
        <v>314</v>
      </c>
      <c r="K316" t="s">
        <v>185</v>
      </c>
      <c r="L316">
        <f>IF(Table_TRM_Fixtures[[#This Row],[Technology]]="LED", Table_TRM_Fixtures[[#This Row],[Fixture Watts  (TRM Data)]], Table_TRM_Fixtures[[#This Row],[Lamp Watts  (TRM Data)]])</f>
        <v>264</v>
      </c>
      <c r="M316" t="str">
        <f>Table_TRM_Fixtures[[#This Row],[No. of Lamps  (TRM Data)]]</f>
        <v>N/A</v>
      </c>
      <c r="N316" t="s">
        <v>186</v>
      </c>
      <c r="O316" t="s">
        <v>186</v>
      </c>
      <c r="P316" t="s">
        <v>187</v>
      </c>
      <c r="S316" t="s">
        <v>814</v>
      </c>
      <c r="T316" t="str">
        <f>Table_TRM_Fixtures[[#This Row],[Fixture code  (TRM Data)]]</f>
        <v>LED264-FIXT</v>
      </c>
      <c r="U316" t="s">
        <v>2883</v>
      </c>
      <c r="V316" t="s">
        <v>185</v>
      </c>
      <c r="W316" t="s">
        <v>3120</v>
      </c>
      <c r="X316" t="s">
        <v>186</v>
      </c>
      <c r="AA316">
        <f>IF(Table_TRM_Fixtures[[#This Row],[Pre-EISA Baseline]]="Nominal", Table_TRM_Fixtures[[#This Row],[Fixture Watts  (TRM Data)]], Table_TRM_Fixtures[[#This Row],[Modified Baseline Fixture Watts]])</f>
        <v>264</v>
      </c>
    </row>
    <row r="317" spans="1:27" x14ac:dyDescent="0.2">
      <c r="A317" t="s">
        <v>817</v>
      </c>
      <c r="B317" t="s">
        <v>4060</v>
      </c>
      <c r="C317" t="s">
        <v>4061</v>
      </c>
      <c r="D317" t="s">
        <v>4062</v>
      </c>
      <c r="E317" t="s">
        <v>187</v>
      </c>
      <c r="F317" t="s">
        <v>186</v>
      </c>
      <c r="G317" t="s">
        <v>186</v>
      </c>
      <c r="H317">
        <v>265</v>
      </c>
      <c r="I317">
        <v>15</v>
      </c>
      <c r="J317" s="110">
        <v>315</v>
      </c>
      <c r="K317" t="s">
        <v>185</v>
      </c>
      <c r="L317">
        <f>IF(Table_TRM_Fixtures[[#This Row],[Technology]]="LED", Table_TRM_Fixtures[[#This Row],[Fixture Watts  (TRM Data)]], Table_TRM_Fixtures[[#This Row],[Lamp Watts  (TRM Data)]])</f>
        <v>265</v>
      </c>
      <c r="M317" t="str">
        <f>Table_TRM_Fixtures[[#This Row],[No. of Lamps  (TRM Data)]]</f>
        <v>N/A</v>
      </c>
      <c r="N317" t="s">
        <v>186</v>
      </c>
      <c r="O317" t="s">
        <v>186</v>
      </c>
      <c r="P317" t="s">
        <v>187</v>
      </c>
      <c r="S317" t="s">
        <v>816</v>
      </c>
      <c r="T317" t="str">
        <f>Table_TRM_Fixtures[[#This Row],[Fixture code  (TRM Data)]]</f>
        <v>LED265-FIXT</v>
      </c>
      <c r="U317" t="s">
        <v>2883</v>
      </c>
      <c r="V317" t="s">
        <v>185</v>
      </c>
      <c r="W317" t="s">
        <v>3120</v>
      </c>
      <c r="X317" t="s">
        <v>186</v>
      </c>
      <c r="AA317">
        <f>IF(Table_TRM_Fixtures[[#This Row],[Pre-EISA Baseline]]="Nominal", Table_TRM_Fixtures[[#This Row],[Fixture Watts  (TRM Data)]], Table_TRM_Fixtures[[#This Row],[Modified Baseline Fixture Watts]])</f>
        <v>265</v>
      </c>
    </row>
    <row r="318" spans="1:27" x14ac:dyDescent="0.2">
      <c r="A318" t="s">
        <v>819</v>
      </c>
      <c r="B318" t="s">
        <v>4063</v>
      </c>
      <c r="C318" t="s">
        <v>4064</v>
      </c>
      <c r="D318" t="s">
        <v>4065</v>
      </c>
      <c r="E318" t="s">
        <v>187</v>
      </c>
      <c r="F318" t="s">
        <v>186</v>
      </c>
      <c r="G318" t="s">
        <v>186</v>
      </c>
      <c r="H318">
        <v>266</v>
      </c>
      <c r="I318">
        <v>15</v>
      </c>
      <c r="J318" s="110">
        <v>316</v>
      </c>
      <c r="K318" t="s">
        <v>185</v>
      </c>
      <c r="L318">
        <f>IF(Table_TRM_Fixtures[[#This Row],[Technology]]="LED", Table_TRM_Fixtures[[#This Row],[Fixture Watts  (TRM Data)]], Table_TRM_Fixtures[[#This Row],[Lamp Watts  (TRM Data)]])</f>
        <v>266</v>
      </c>
      <c r="M318" t="str">
        <f>Table_TRM_Fixtures[[#This Row],[No. of Lamps  (TRM Data)]]</f>
        <v>N/A</v>
      </c>
      <c r="N318" t="s">
        <v>186</v>
      </c>
      <c r="O318" t="s">
        <v>186</v>
      </c>
      <c r="P318" t="s">
        <v>187</v>
      </c>
      <c r="S318" t="s">
        <v>818</v>
      </c>
      <c r="T318" t="str">
        <f>Table_TRM_Fixtures[[#This Row],[Fixture code  (TRM Data)]]</f>
        <v>LED266-FIXT</v>
      </c>
      <c r="U318" t="s">
        <v>2883</v>
      </c>
      <c r="V318" t="s">
        <v>185</v>
      </c>
      <c r="W318" t="s">
        <v>3120</v>
      </c>
      <c r="X318" t="s">
        <v>186</v>
      </c>
      <c r="AA318">
        <f>IF(Table_TRM_Fixtures[[#This Row],[Pre-EISA Baseline]]="Nominal", Table_TRM_Fixtures[[#This Row],[Fixture Watts  (TRM Data)]], Table_TRM_Fixtures[[#This Row],[Modified Baseline Fixture Watts]])</f>
        <v>266</v>
      </c>
    </row>
    <row r="319" spans="1:27" x14ac:dyDescent="0.2">
      <c r="A319" t="s">
        <v>821</v>
      </c>
      <c r="B319" t="s">
        <v>4066</v>
      </c>
      <c r="C319" t="s">
        <v>4067</v>
      </c>
      <c r="D319" t="s">
        <v>4068</v>
      </c>
      <c r="E319" t="s">
        <v>187</v>
      </c>
      <c r="F319" t="s">
        <v>186</v>
      </c>
      <c r="G319" t="s">
        <v>186</v>
      </c>
      <c r="H319">
        <v>267</v>
      </c>
      <c r="I319">
        <v>15</v>
      </c>
      <c r="J319" s="110">
        <v>317</v>
      </c>
      <c r="K319" t="s">
        <v>185</v>
      </c>
      <c r="L319">
        <f>IF(Table_TRM_Fixtures[[#This Row],[Technology]]="LED", Table_TRM_Fixtures[[#This Row],[Fixture Watts  (TRM Data)]], Table_TRM_Fixtures[[#This Row],[Lamp Watts  (TRM Data)]])</f>
        <v>267</v>
      </c>
      <c r="M319" t="str">
        <f>Table_TRM_Fixtures[[#This Row],[No. of Lamps  (TRM Data)]]</f>
        <v>N/A</v>
      </c>
      <c r="N319" t="s">
        <v>186</v>
      </c>
      <c r="O319" t="s">
        <v>186</v>
      </c>
      <c r="P319" t="s">
        <v>187</v>
      </c>
      <c r="S319" t="s">
        <v>820</v>
      </c>
      <c r="T319" t="str">
        <f>Table_TRM_Fixtures[[#This Row],[Fixture code  (TRM Data)]]</f>
        <v>LED267-FIXT</v>
      </c>
      <c r="U319" t="s">
        <v>2883</v>
      </c>
      <c r="V319" t="s">
        <v>185</v>
      </c>
      <c r="W319" t="s">
        <v>3120</v>
      </c>
      <c r="X319" t="s">
        <v>186</v>
      </c>
      <c r="AA319">
        <f>IF(Table_TRM_Fixtures[[#This Row],[Pre-EISA Baseline]]="Nominal", Table_TRM_Fixtures[[#This Row],[Fixture Watts  (TRM Data)]], Table_TRM_Fixtures[[#This Row],[Modified Baseline Fixture Watts]])</f>
        <v>267</v>
      </c>
    </row>
    <row r="320" spans="1:27" x14ac:dyDescent="0.2">
      <c r="A320" t="s">
        <v>823</v>
      </c>
      <c r="B320" t="s">
        <v>4069</v>
      </c>
      <c r="C320" t="s">
        <v>4070</v>
      </c>
      <c r="D320" t="s">
        <v>4071</v>
      </c>
      <c r="E320" t="s">
        <v>187</v>
      </c>
      <c r="F320" t="s">
        <v>186</v>
      </c>
      <c r="G320" t="s">
        <v>186</v>
      </c>
      <c r="H320">
        <v>268</v>
      </c>
      <c r="I320">
        <v>15</v>
      </c>
      <c r="J320" s="110">
        <v>318</v>
      </c>
      <c r="K320" t="s">
        <v>185</v>
      </c>
      <c r="L320">
        <f>IF(Table_TRM_Fixtures[[#This Row],[Technology]]="LED", Table_TRM_Fixtures[[#This Row],[Fixture Watts  (TRM Data)]], Table_TRM_Fixtures[[#This Row],[Lamp Watts  (TRM Data)]])</f>
        <v>268</v>
      </c>
      <c r="M320" t="str">
        <f>Table_TRM_Fixtures[[#This Row],[No. of Lamps  (TRM Data)]]</f>
        <v>N/A</v>
      </c>
      <c r="N320" t="s">
        <v>186</v>
      </c>
      <c r="O320" t="s">
        <v>186</v>
      </c>
      <c r="P320" t="s">
        <v>187</v>
      </c>
      <c r="S320" t="s">
        <v>822</v>
      </c>
      <c r="T320" t="str">
        <f>Table_TRM_Fixtures[[#This Row],[Fixture code  (TRM Data)]]</f>
        <v>LED268-FIXT</v>
      </c>
      <c r="U320" t="s">
        <v>2883</v>
      </c>
      <c r="V320" t="s">
        <v>185</v>
      </c>
      <c r="W320" t="s">
        <v>3120</v>
      </c>
      <c r="X320" t="s">
        <v>186</v>
      </c>
      <c r="AA320">
        <f>IF(Table_TRM_Fixtures[[#This Row],[Pre-EISA Baseline]]="Nominal", Table_TRM_Fixtures[[#This Row],[Fixture Watts  (TRM Data)]], Table_TRM_Fixtures[[#This Row],[Modified Baseline Fixture Watts]])</f>
        <v>268</v>
      </c>
    </row>
    <row r="321" spans="1:27" x14ac:dyDescent="0.2">
      <c r="A321" t="s">
        <v>825</v>
      </c>
      <c r="B321" t="s">
        <v>4072</v>
      </c>
      <c r="C321" t="s">
        <v>4073</v>
      </c>
      <c r="D321" t="s">
        <v>4074</v>
      </c>
      <c r="E321" t="s">
        <v>187</v>
      </c>
      <c r="F321" t="s">
        <v>186</v>
      </c>
      <c r="G321" t="s">
        <v>186</v>
      </c>
      <c r="H321">
        <v>269</v>
      </c>
      <c r="I321">
        <v>15</v>
      </c>
      <c r="J321" s="110">
        <v>319</v>
      </c>
      <c r="K321" t="s">
        <v>185</v>
      </c>
      <c r="L321">
        <f>IF(Table_TRM_Fixtures[[#This Row],[Technology]]="LED", Table_TRM_Fixtures[[#This Row],[Fixture Watts  (TRM Data)]], Table_TRM_Fixtures[[#This Row],[Lamp Watts  (TRM Data)]])</f>
        <v>269</v>
      </c>
      <c r="M321" t="str">
        <f>Table_TRM_Fixtures[[#This Row],[No. of Lamps  (TRM Data)]]</f>
        <v>N/A</v>
      </c>
      <c r="N321" t="s">
        <v>186</v>
      </c>
      <c r="O321" t="s">
        <v>186</v>
      </c>
      <c r="P321" t="s">
        <v>187</v>
      </c>
      <c r="S321" t="s">
        <v>824</v>
      </c>
      <c r="T321" t="str">
        <f>Table_TRM_Fixtures[[#This Row],[Fixture code  (TRM Data)]]</f>
        <v>LED269-FIXT</v>
      </c>
      <c r="U321" t="s">
        <v>2883</v>
      </c>
      <c r="V321" t="s">
        <v>185</v>
      </c>
      <c r="W321" t="s">
        <v>3120</v>
      </c>
      <c r="X321" t="s">
        <v>186</v>
      </c>
      <c r="AA321">
        <f>IF(Table_TRM_Fixtures[[#This Row],[Pre-EISA Baseline]]="Nominal", Table_TRM_Fixtures[[#This Row],[Fixture Watts  (TRM Data)]], Table_TRM_Fixtures[[#This Row],[Modified Baseline Fixture Watts]])</f>
        <v>269</v>
      </c>
    </row>
    <row r="322" spans="1:27" x14ac:dyDescent="0.2">
      <c r="A322" t="s">
        <v>827</v>
      </c>
      <c r="B322" t="s">
        <v>4075</v>
      </c>
      <c r="C322" t="s">
        <v>4076</v>
      </c>
      <c r="D322" t="s">
        <v>4077</v>
      </c>
      <c r="E322" t="s">
        <v>187</v>
      </c>
      <c r="F322" t="s">
        <v>186</v>
      </c>
      <c r="G322" t="s">
        <v>186</v>
      </c>
      <c r="H322">
        <v>270</v>
      </c>
      <c r="I322">
        <v>15</v>
      </c>
      <c r="J322" s="110">
        <v>320</v>
      </c>
      <c r="K322" t="s">
        <v>185</v>
      </c>
      <c r="L322">
        <f>IF(Table_TRM_Fixtures[[#This Row],[Technology]]="LED", Table_TRM_Fixtures[[#This Row],[Fixture Watts  (TRM Data)]], Table_TRM_Fixtures[[#This Row],[Lamp Watts  (TRM Data)]])</f>
        <v>270</v>
      </c>
      <c r="M322" t="str">
        <f>Table_TRM_Fixtures[[#This Row],[No. of Lamps  (TRM Data)]]</f>
        <v>N/A</v>
      </c>
      <c r="N322" t="s">
        <v>186</v>
      </c>
      <c r="O322" t="s">
        <v>186</v>
      </c>
      <c r="P322" t="s">
        <v>187</v>
      </c>
      <c r="S322" t="s">
        <v>826</v>
      </c>
      <c r="T322" t="str">
        <f>Table_TRM_Fixtures[[#This Row],[Fixture code  (TRM Data)]]</f>
        <v>LED270-FIXT</v>
      </c>
      <c r="U322" t="s">
        <v>2883</v>
      </c>
      <c r="V322" t="s">
        <v>185</v>
      </c>
      <c r="W322" t="s">
        <v>3120</v>
      </c>
      <c r="X322" t="s">
        <v>186</v>
      </c>
      <c r="AA322">
        <f>IF(Table_TRM_Fixtures[[#This Row],[Pre-EISA Baseline]]="Nominal", Table_TRM_Fixtures[[#This Row],[Fixture Watts  (TRM Data)]], Table_TRM_Fixtures[[#This Row],[Modified Baseline Fixture Watts]])</f>
        <v>270</v>
      </c>
    </row>
    <row r="323" spans="1:27" x14ac:dyDescent="0.2">
      <c r="A323" t="s">
        <v>829</v>
      </c>
      <c r="B323" t="s">
        <v>4078</v>
      </c>
      <c r="C323" t="s">
        <v>4079</v>
      </c>
      <c r="D323" t="s">
        <v>4080</v>
      </c>
      <c r="E323" t="s">
        <v>187</v>
      </c>
      <c r="F323" t="s">
        <v>186</v>
      </c>
      <c r="G323" t="s">
        <v>186</v>
      </c>
      <c r="H323">
        <v>271</v>
      </c>
      <c r="I323">
        <v>15</v>
      </c>
      <c r="J323" s="110">
        <v>321</v>
      </c>
      <c r="K323" t="s">
        <v>185</v>
      </c>
      <c r="L323">
        <f>IF(Table_TRM_Fixtures[[#This Row],[Technology]]="LED", Table_TRM_Fixtures[[#This Row],[Fixture Watts  (TRM Data)]], Table_TRM_Fixtures[[#This Row],[Lamp Watts  (TRM Data)]])</f>
        <v>271</v>
      </c>
      <c r="M323" t="str">
        <f>Table_TRM_Fixtures[[#This Row],[No. of Lamps  (TRM Data)]]</f>
        <v>N/A</v>
      </c>
      <c r="N323" t="s">
        <v>186</v>
      </c>
      <c r="O323" t="s">
        <v>186</v>
      </c>
      <c r="P323" t="s">
        <v>187</v>
      </c>
      <c r="S323" t="s">
        <v>828</v>
      </c>
      <c r="T323" t="str">
        <f>Table_TRM_Fixtures[[#This Row],[Fixture code  (TRM Data)]]</f>
        <v>LED271-FIXT</v>
      </c>
      <c r="U323" t="s">
        <v>2883</v>
      </c>
      <c r="V323" t="s">
        <v>185</v>
      </c>
      <c r="W323" t="s">
        <v>3120</v>
      </c>
      <c r="X323" t="s">
        <v>186</v>
      </c>
      <c r="AA323">
        <f>IF(Table_TRM_Fixtures[[#This Row],[Pre-EISA Baseline]]="Nominal", Table_TRM_Fixtures[[#This Row],[Fixture Watts  (TRM Data)]], Table_TRM_Fixtures[[#This Row],[Modified Baseline Fixture Watts]])</f>
        <v>271</v>
      </c>
    </row>
    <row r="324" spans="1:27" x14ac:dyDescent="0.2">
      <c r="A324" t="s">
        <v>831</v>
      </c>
      <c r="B324" t="s">
        <v>4081</v>
      </c>
      <c r="C324" t="s">
        <v>4082</v>
      </c>
      <c r="D324" t="s">
        <v>4083</v>
      </c>
      <c r="E324" t="s">
        <v>187</v>
      </c>
      <c r="F324" t="s">
        <v>186</v>
      </c>
      <c r="G324" t="s">
        <v>186</v>
      </c>
      <c r="H324">
        <v>272</v>
      </c>
      <c r="I324">
        <v>15</v>
      </c>
      <c r="J324" s="110">
        <v>322</v>
      </c>
      <c r="K324" t="s">
        <v>185</v>
      </c>
      <c r="L324">
        <f>IF(Table_TRM_Fixtures[[#This Row],[Technology]]="LED", Table_TRM_Fixtures[[#This Row],[Fixture Watts  (TRM Data)]], Table_TRM_Fixtures[[#This Row],[Lamp Watts  (TRM Data)]])</f>
        <v>272</v>
      </c>
      <c r="M324" t="str">
        <f>Table_TRM_Fixtures[[#This Row],[No. of Lamps  (TRM Data)]]</f>
        <v>N/A</v>
      </c>
      <c r="N324" t="s">
        <v>186</v>
      </c>
      <c r="O324" t="s">
        <v>186</v>
      </c>
      <c r="P324" t="s">
        <v>187</v>
      </c>
      <c r="S324" t="s">
        <v>830</v>
      </c>
      <c r="T324" t="str">
        <f>Table_TRM_Fixtures[[#This Row],[Fixture code  (TRM Data)]]</f>
        <v>LED272-FIXT</v>
      </c>
      <c r="U324" t="s">
        <v>2883</v>
      </c>
      <c r="V324" t="s">
        <v>185</v>
      </c>
      <c r="W324" t="s">
        <v>3120</v>
      </c>
      <c r="X324" t="s">
        <v>186</v>
      </c>
      <c r="AA324">
        <f>IF(Table_TRM_Fixtures[[#This Row],[Pre-EISA Baseline]]="Nominal", Table_TRM_Fixtures[[#This Row],[Fixture Watts  (TRM Data)]], Table_TRM_Fixtures[[#This Row],[Modified Baseline Fixture Watts]])</f>
        <v>272</v>
      </c>
    </row>
    <row r="325" spans="1:27" x14ac:dyDescent="0.2">
      <c r="A325" t="s">
        <v>833</v>
      </c>
      <c r="B325" t="s">
        <v>4084</v>
      </c>
      <c r="C325" t="s">
        <v>4085</v>
      </c>
      <c r="D325" t="s">
        <v>4086</v>
      </c>
      <c r="E325" t="s">
        <v>187</v>
      </c>
      <c r="F325" t="s">
        <v>186</v>
      </c>
      <c r="G325" t="s">
        <v>186</v>
      </c>
      <c r="H325">
        <v>273</v>
      </c>
      <c r="I325">
        <v>15</v>
      </c>
      <c r="J325" s="110">
        <v>323</v>
      </c>
      <c r="K325" t="s">
        <v>185</v>
      </c>
      <c r="L325">
        <f>IF(Table_TRM_Fixtures[[#This Row],[Technology]]="LED", Table_TRM_Fixtures[[#This Row],[Fixture Watts  (TRM Data)]], Table_TRM_Fixtures[[#This Row],[Lamp Watts  (TRM Data)]])</f>
        <v>273</v>
      </c>
      <c r="M325" t="str">
        <f>Table_TRM_Fixtures[[#This Row],[No. of Lamps  (TRM Data)]]</f>
        <v>N/A</v>
      </c>
      <c r="N325" t="s">
        <v>186</v>
      </c>
      <c r="O325" t="s">
        <v>186</v>
      </c>
      <c r="P325" t="s">
        <v>187</v>
      </c>
      <c r="S325" t="s">
        <v>832</v>
      </c>
      <c r="T325" t="str">
        <f>Table_TRM_Fixtures[[#This Row],[Fixture code  (TRM Data)]]</f>
        <v>LED273-FIXT</v>
      </c>
      <c r="U325" t="s">
        <v>2883</v>
      </c>
      <c r="V325" t="s">
        <v>185</v>
      </c>
      <c r="W325" t="s">
        <v>3120</v>
      </c>
      <c r="X325" t="s">
        <v>186</v>
      </c>
      <c r="AA325">
        <f>IF(Table_TRM_Fixtures[[#This Row],[Pre-EISA Baseline]]="Nominal", Table_TRM_Fixtures[[#This Row],[Fixture Watts  (TRM Data)]], Table_TRM_Fixtures[[#This Row],[Modified Baseline Fixture Watts]])</f>
        <v>273</v>
      </c>
    </row>
    <row r="326" spans="1:27" x14ac:dyDescent="0.2">
      <c r="A326" t="s">
        <v>835</v>
      </c>
      <c r="B326" t="s">
        <v>4087</v>
      </c>
      <c r="C326" t="s">
        <v>4088</v>
      </c>
      <c r="D326" t="s">
        <v>4089</v>
      </c>
      <c r="E326" t="s">
        <v>187</v>
      </c>
      <c r="F326" t="s">
        <v>186</v>
      </c>
      <c r="G326" t="s">
        <v>186</v>
      </c>
      <c r="H326">
        <v>274</v>
      </c>
      <c r="I326">
        <v>15</v>
      </c>
      <c r="J326" s="110">
        <v>324</v>
      </c>
      <c r="K326" t="s">
        <v>185</v>
      </c>
      <c r="L326">
        <f>IF(Table_TRM_Fixtures[[#This Row],[Technology]]="LED", Table_TRM_Fixtures[[#This Row],[Fixture Watts  (TRM Data)]], Table_TRM_Fixtures[[#This Row],[Lamp Watts  (TRM Data)]])</f>
        <v>274</v>
      </c>
      <c r="M326" t="str">
        <f>Table_TRM_Fixtures[[#This Row],[No. of Lamps  (TRM Data)]]</f>
        <v>N/A</v>
      </c>
      <c r="N326" t="s">
        <v>186</v>
      </c>
      <c r="O326" t="s">
        <v>186</v>
      </c>
      <c r="P326" t="s">
        <v>187</v>
      </c>
      <c r="S326" t="s">
        <v>834</v>
      </c>
      <c r="T326" t="str">
        <f>Table_TRM_Fixtures[[#This Row],[Fixture code  (TRM Data)]]</f>
        <v>LED274-FIXT</v>
      </c>
      <c r="U326" t="s">
        <v>2883</v>
      </c>
      <c r="V326" t="s">
        <v>185</v>
      </c>
      <c r="W326" t="s">
        <v>3120</v>
      </c>
      <c r="X326" t="s">
        <v>186</v>
      </c>
      <c r="AA326">
        <f>IF(Table_TRM_Fixtures[[#This Row],[Pre-EISA Baseline]]="Nominal", Table_TRM_Fixtures[[#This Row],[Fixture Watts  (TRM Data)]], Table_TRM_Fixtures[[#This Row],[Modified Baseline Fixture Watts]])</f>
        <v>274</v>
      </c>
    </row>
    <row r="327" spans="1:27" x14ac:dyDescent="0.2">
      <c r="A327" t="s">
        <v>837</v>
      </c>
      <c r="B327" t="s">
        <v>4090</v>
      </c>
      <c r="C327" t="s">
        <v>4091</v>
      </c>
      <c r="D327" t="s">
        <v>4092</v>
      </c>
      <c r="E327" t="s">
        <v>187</v>
      </c>
      <c r="F327" t="s">
        <v>186</v>
      </c>
      <c r="G327" t="s">
        <v>186</v>
      </c>
      <c r="H327">
        <v>275</v>
      </c>
      <c r="I327">
        <v>15</v>
      </c>
      <c r="J327" s="110">
        <v>325</v>
      </c>
      <c r="K327" t="s">
        <v>185</v>
      </c>
      <c r="L327">
        <f>IF(Table_TRM_Fixtures[[#This Row],[Technology]]="LED", Table_TRM_Fixtures[[#This Row],[Fixture Watts  (TRM Data)]], Table_TRM_Fixtures[[#This Row],[Lamp Watts  (TRM Data)]])</f>
        <v>275</v>
      </c>
      <c r="M327" t="str">
        <f>Table_TRM_Fixtures[[#This Row],[No. of Lamps  (TRM Data)]]</f>
        <v>N/A</v>
      </c>
      <c r="N327" t="s">
        <v>186</v>
      </c>
      <c r="O327" t="s">
        <v>186</v>
      </c>
      <c r="P327" t="s">
        <v>187</v>
      </c>
      <c r="S327" t="s">
        <v>836</v>
      </c>
      <c r="T327" t="str">
        <f>Table_TRM_Fixtures[[#This Row],[Fixture code  (TRM Data)]]</f>
        <v>LED275-FIXT</v>
      </c>
      <c r="U327" t="s">
        <v>2883</v>
      </c>
      <c r="V327" t="s">
        <v>185</v>
      </c>
      <c r="W327" t="s">
        <v>3120</v>
      </c>
      <c r="X327" t="s">
        <v>186</v>
      </c>
      <c r="AA327">
        <f>IF(Table_TRM_Fixtures[[#This Row],[Pre-EISA Baseline]]="Nominal", Table_TRM_Fixtures[[#This Row],[Fixture Watts  (TRM Data)]], Table_TRM_Fixtures[[#This Row],[Modified Baseline Fixture Watts]])</f>
        <v>275</v>
      </c>
    </row>
    <row r="328" spans="1:27" x14ac:dyDescent="0.2">
      <c r="A328" t="s">
        <v>839</v>
      </c>
      <c r="B328" t="s">
        <v>4093</v>
      </c>
      <c r="C328" t="s">
        <v>4094</v>
      </c>
      <c r="D328" t="s">
        <v>4095</v>
      </c>
      <c r="E328" t="s">
        <v>187</v>
      </c>
      <c r="F328" t="s">
        <v>186</v>
      </c>
      <c r="G328" t="s">
        <v>186</v>
      </c>
      <c r="H328">
        <v>276</v>
      </c>
      <c r="I328">
        <v>15</v>
      </c>
      <c r="J328" s="110">
        <v>326</v>
      </c>
      <c r="K328" t="s">
        <v>185</v>
      </c>
      <c r="L328">
        <f>IF(Table_TRM_Fixtures[[#This Row],[Technology]]="LED", Table_TRM_Fixtures[[#This Row],[Fixture Watts  (TRM Data)]], Table_TRM_Fixtures[[#This Row],[Lamp Watts  (TRM Data)]])</f>
        <v>276</v>
      </c>
      <c r="M328" t="str">
        <f>Table_TRM_Fixtures[[#This Row],[No. of Lamps  (TRM Data)]]</f>
        <v>N/A</v>
      </c>
      <c r="N328" t="s">
        <v>186</v>
      </c>
      <c r="O328" t="s">
        <v>186</v>
      </c>
      <c r="P328" t="s">
        <v>187</v>
      </c>
      <c r="S328" t="s">
        <v>838</v>
      </c>
      <c r="T328" t="str">
        <f>Table_TRM_Fixtures[[#This Row],[Fixture code  (TRM Data)]]</f>
        <v>LED276-FIXT</v>
      </c>
      <c r="U328" t="s">
        <v>2883</v>
      </c>
      <c r="V328" t="s">
        <v>185</v>
      </c>
      <c r="W328" t="s">
        <v>3120</v>
      </c>
      <c r="X328" t="s">
        <v>186</v>
      </c>
      <c r="AA328">
        <f>IF(Table_TRM_Fixtures[[#This Row],[Pre-EISA Baseline]]="Nominal", Table_TRM_Fixtures[[#This Row],[Fixture Watts  (TRM Data)]], Table_TRM_Fixtures[[#This Row],[Modified Baseline Fixture Watts]])</f>
        <v>276</v>
      </c>
    </row>
    <row r="329" spans="1:27" x14ac:dyDescent="0.2">
      <c r="A329" t="s">
        <v>841</v>
      </c>
      <c r="B329" t="s">
        <v>4096</v>
      </c>
      <c r="C329" t="s">
        <v>4097</v>
      </c>
      <c r="D329" t="s">
        <v>4098</v>
      </c>
      <c r="E329" t="s">
        <v>187</v>
      </c>
      <c r="F329" t="s">
        <v>186</v>
      </c>
      <c r="G329" t="s">
        <v>186</v>
      </c>
      <c r="H329">
        <v>277</v>
      </c>
      <c r="I329">
        <v>15</v>
      </c>
      <c r="J329" s="110">
        <v>327</v>
      </c>
      <c r="K329" t="s">
        <v>185</v>
      </c>
      <c r="L329">
        <f>IF(Table_TRM_Fixtures[[#This Row],[Technology]]="LED", Table_TRM_Fixtures[[#This Row],[Fixture Watts  (TRM Data)]], Table_TRM_Fixtures[[#This Row],[Lamp Watts  (TRM Data)]])</f>
        <v>277</v>
      </c>
      <c r="M329" t="str">
        <f>Table_TRM_Fixtures[[#This Row],[No. of Lamps  (TRM Data)]]</f>
        <v>N/A</v>
      </c>
      <c r="N329" t="s">
        <v>186</v>
      </c>
      <c r="O329" t="s">
        <v>186</v>
      </c>
      <c r="P329" t="s">
        <v>187</v>
      </c>
      <c r="S329" t="s">
        <v>840</v>
      </c>
      <c r="T329" t="str">
        <f>Table_TRM_Fixtures[[#This Row],[Fixture code  (TRM Data)]]</f>
        <v>LED277-FIXT</v>
      </c>
      <c r="U329" t="s">
        <v>2883</v>
      </c>
      <c r="V329" t="s">
        <v>185</v>
      </c>
      <c r="W329" t="s">
        <v>3120</v>
      </c>
      <c r="X329" t="s">
        <v>186</v>
      </c>
      <c r="AA329">
        <f>IF(Table_TRM_Fixtures[[#This Row],[Pre-EISA Baseline]]="Nominal", Table_TRM_Fixtures[[#This Row],[Fixture Watts  (TRM Data)]], Table_TRM_Fixtures[[#This Row],[Modified Baseline Fixture Watts]])</f>
        <v>277</v>
      </c>
    </row>
    <row r="330" spans="1:27" x14ac:dyDescent="0.2">
      <c r="A330" t="s">
        <v>843</v>
      </c>
      <c r="B330" t="s">
        <v>4099</v>
      </c>
      <c r="C330" t="s">
        <v>4100</v>
      </c>
      <c r="D330" t="s">
        <v>4101</v>
      </c>
      <c r="E330" t="s">
        <v>187</v>
      </c>
      <c r="F330" t="s">
        <v>186</v>
      </c>
      <c r="G330" t="s">
        <v>186</v>
      </c>
      <c r="H330">
        <v>278</v>
      </c>
      <c r="I330">
        <v>15</v>
      </c>
      <c r="J330" s="110">
        <v>328</v>
      </c>
      <c r="K330" t="s">
        <v>185</v>
      </c>
      <c r="L330">
        <f>IF(Table_TRM_Fixtures[[#This Row],[Technology]]="LED", Table_TRM_Fixtures[[#This Row],[Fixture Watts  (TRM Data)]], Table_TRM_Fixtures[[#This Row],[Lamp Watts  (TRM Data)]])</f>
        <v>278</v>
      </c>
      <c r="M330" t="str">
        <f>Table_TRM_Fixtures[[#This Row],[No. of Lamps  (TRM Data)]]</f>
        <v>N/A</v>
      </c>
      <c r="N330" t="s">
        <v>186</v>
      </c>
      <c r="O330" t="s">
        <v>186</v>
      </c>
      <c r="P330" t="s">
        <v>187</v>
      </c>
      <c r="S330" t="s">
        <v>842</v>
      </c>
      <c r="T330" t="str">
        <f>Table_TRM_Fixtures[[#This Row],[Fixture code  (TRM Data)]]</f>
        <v>LED278-FIXT</v>
      </c>
      <c r="U330" t="s">
        <v>2883</v>
      </c>
      <c r="V330" t="s">
        <v>185</v>
      </c>
      <c r="W330" t="s">
        <v>3120</v>
      </c>
      <c r="X330" t="s">
        <v>186</v>
      </c>
      <c r="AA330">
        <f>IF(Table_TRM_Fixtures[[#This Row],[Pre-EISA Baseline]]="Nominal", Table_TRM_Fixtures[[#This Row],[Fixture Watts  (TRM Data)]], Table_TRM_Fixtures[[#This Row],[Modified Baseline Fixture Watts]])</f>
        <v>278</v>
      </c>
    </row>
    <row r="331" spans="1:27" x14ac:dyDescent="0.2">
      <c r="A331" t="s">
        <v>845</v>
      </c>
      <c r="B331" t="s">
        <v>4102</v>
      </c>
      <c r="C331" t="s">
        <v>4103</v>
      </c>
      <c r="D331" t="s">
        <v>4104</v>
      </c>
      <c r="E331" t="s">
        <v>187</v>
      </c>
      <c r="F331" t="s">
        <v>186</v>
      </c>
      <c r="G331" t="s">
        <v>186</v>
      </c>
      <c r="H331">
        <v>279</v>
      </c>
      <c r="I331">
        <v>15</v>
      </c>
      <c r="J331" s="110">
        <v>329</v>
      </c>
      <c r="K331" t="s">
        <v>185</v>
      </c>
      <c r="L331">
        <f>IF(Table_TRM_Fixtures[[#This Row],[Technology]]="LED", Table_TRM_Fixtures[[#This Row],[Fixture Watts  (TRM Data)]], Table_TRM_Fixtures[[#This Row],[Lamp Watts  (TRM Data)]])</f>
        <v>279</v>
      </c>
      <c r="M331" t="str">
        <f>Table_TRM_Fixtures[[#This Row],[No. of Lamps  (TRM Data)]]</f>
        <v>N/A</v>
      </c>
      <c r="N331" t="s">
        <v>186</v>
      </c>
      <c r="O331" t="s">
        <v>186</v>
      </c>
      <c r="P331" t="s">
        <v>187</v>
      </c>
      <c r="S331" t="s">
        <v>844</v>
      </c>
      <c r="T331" t="str">
        <f>Table_TRM_Fixtures[[#This Row],[Fixture code  (TRM Data)]]</f>
        <v>LED279-FIXT</v>
      </c>
      <c r="U331" t="s">
        <v>2883</v>
      </c>
      <c r="V331" t="s">
        <v>185</v>
      </c>
      <c r="W331" t="s">
        <v>3120</v>
      </c>
      <c r="X331" t="s">
        <v>186</v>
      </c>
      <c r="AA331">
        <f>IF(Table_TRM_Fixtures[[#This Row],[Pre-EISA Baseline]]="Nominal", Table_TRM_Fixtures[[#This Row],[Fixture Watts  (TRM Data)]], Table_TRM_Fixtures[[#This Row],[Modified Baseline Fixture Watts]])</f>
        <v>279</v>
      </c>
    </row>
    <row r="332" spans="1:27" x14ac:dyDescent="0.2">
      <c r="A332" t="s">
        <v>847</v>
      </c>
      <c r="B332" t="s">
        <v>4105</v>
      </c>
      <c r="C332" t="s">
        <v>4106</v>
      </c>
      <c r="D332" t="s">
        <v>4107</v>
      </c>
      <c r="E332" t="s">
        <v>187</v>
      </c>
      <c r="F332" t="s">
        <v>186</v>
      </c>
      <c r="G332" t="s">
        <v>186</v>
      </c>
      <c r="H332">
        <v>280</v>
      </c>
      <c r="I332">
        <v>15</v>
      </c>
      <c r="J332" s="110">
        <v>330</v>
      </c>
      <c r="K332" t="s">
        <v>185</v>
      </c>
      <c r="L332">
        <f>IF(Table_TRM_Fixtures[[#This Row],[Technology]]="LED", Table_TRM_Fixtures[[#This Row],[Fixture Watts  (TRM Data)]], Table_TRM_Fixtures[[#This Row],[Lamp Watts  (TRM Data)]])</f>
        <v>280</v>
      </c>
      <c r="M332" t="str">
        <f>Table_TRM_Fixtures[[#This Row],[No. of Lamps  (TRM Data)]]</f>
        <v>N/A</v>
      </c>
      <c r="N332" t="s">
        <v>186</v>
      </c>
      <c r="O332" t="s">
        <v>186</v>
      </c>
      <c r="P332" t="s">
        <v>187</v>
      </c>
      <c r="S332" t="s">
        <v>846</v>
      </c>
      <c r="T332" t="str">
        <f>Table_TRM_Fixtures[[#This Row],[Fixture code  (TRM Data)]]</f>
        <v>LED280-FIXT</v>
      </c>
      <c r="U332" t="s">
        <v>2883</v>
      </c>
      <c r="V332" t="s">
        <v>185</v>
      </c>
      <c r="W332" t="s">
        <v>3120</v>
      </c>
      <c r="X332" t="s">
        <v>186</v>
      </c>
      <c r="AA332">
        <f>IF(Table_TRM_Fixtures[[#This Row],[Pre-EISA Baseline]]="Nominal", Table_TRM_Fixtures[[#This Row],[Fixture Watts  (TRM Data)]], Table_TRM_Fixtures[[#This Row],[Modified Baseline Fixture Watts]])</f>
        <v>280</v>
      </c>
    </row>
    <row r="333" spans="1:27" x14ac:dyDescent="0.2">
      <c r="A333" t="s">
        <v>849</v>
      </c>
      <c r="B333" t="s">
        <v>4108</v>
      </c>
      <c r="C333" t="s">
        <v>4109</v>
      </c>
      <c r="D333" t="s">
        <v>4110</v>
      </c>
      <c r="E333" t="s">
        <v>187</v>
      </c>
      <c r="F333" t="s">
        <v>186</v>
      </c>
      <c r="G333" t="s">
        <v>186</v>
      </c>
      <c r="H333">
        <v>281</v>
      </c>
      <c r="I333">
        <v>15</v>
      </c>
      <c r="J333" s="110">
        <v>331</v>
      </c>
      <c r="K333" t="s">
        <v>185</v>
      </c>
      <c r="L333">
        <f>IF(Table_TRM_Fixtures[[#This Row],[Technology]]="LED", Table_TRM_Fixtures[[#This Row],[Fixture Watts  (TRM Data)]], Table_TRM_Fixtures[[#This Row],[Lamp Watts  (TRM Data)]])</f>
        <v>281</v>
      </c>
      <c r="M333" t="str">
        <f>Table_TRM_Fixtures[[#This Row],[No. of Lamps  (TRM Data)]]</f>
        <v>N/A</v>
      </c>
      <c r="N333" t="s">
        <v>186</v>
      </c>
      <c r="O333" t="s">
        <v>186</v>
      </c>
      <c r="P333" t="s">
        <v>187</v>
      </c>
      <c r="S333" t="s">
        <v>848</v>
      </c>
      <c r="T333" t="str">
        <f>Table_TRM_Fixtures[[#This Row],[Fixture code  (TRM Data)]]</f>
        <v>LED281-FIXT</v>
      </c>
      <c r="U333" t="s">
        <v>2883</v>
      </c>
      <c r="V333" t="s">
        <v>185</v>
      </c>
      <c r="W333" t="s">
        <v>3120</v>
      </c>
      <c r="X333" t="s">
        <v>186</v>
      </c>
      <c r="AA333">
        <f>IF(Table_TRM_Fixtures[[#This Row],[Pre-EISA Baseline]]="Nominal", Table_TRM_Fixtures[[#This Row],[Fixture Watts  (TRM Data)]], Table_TRM_Fixtures[[#This Row],[Modified Baseline Fixture Watts]])</f>
        <v>281</v>
      </c>
    </row>
    <row r="334" spans="1:27" x14ac:dyDescent="0.2">
      <c r="A334" t="s">
        <v>851</v>
      </c>
      <c r="B334" t="s">
        <v>4111</v>
      </c>
      <c r="C334" t="s">
        <v>4112</v>
      </c>
      <c r="D334" t="s">
        <v>4113</v>
      </c>
      <c r="E334" t="s">
        <v>187</v>
      </c>
      <c r="F334" t="s">
        <v>186</v>
      </c>
      <c r="G334" t="s">
        <v>186</v>
      </c>
      <c r="H334">
        <v>282</v>
      </c>
      <c r="I334">
        <v>15</v>
      </c>
      <c r="J334" s="110">
        <v>332</v>
      </c>
      <c r="K334" t="s">
        <v>185</v>
      </c>
      <c r="L334">
        <f>IF(Table_TRM_Fixtures[[#This Row],[Technology]]="LED", Table_TRM_Fixtures[[#This Row],[Fixture Watts  (TRM Data)]], Table_TRM_Fixtures[[#This Row],[Lamp Watts  (TRM Data)]])</f>
        <v>282</v>
      </c>
      <c r="M334" t="str">
        <f>Table_TRM_Fixtures[[#This Row],[No. of Lamps  (TRM Data)]]</f>
        <v>N/A</v>
      </c>
      <c r="N334" t="s">
        <v>186</v>
      </c>
      <c r="O334" t="s">
        <v>186</v>
      </c>
      <c r="P334" t="s">
        <v>187</v>
      </c>
      <c r="S334" t="s">
        <v>850</v>
      </c>
      <c r="T334" t="str">
        <f>Table_TRM_Fixtures[[#This Row],[Fixture code  (TRM Data)]]</f>
        <v>LED282-FIXT</v>
      </c>
      <c r="U334" t="s">
        <v>2883</v>
      </c>
      <c r="V334" t="s">
        <v>185</v>
      </c>
      <c r="W334" t="s">
        <v>3120</v>
      </c>
      <c r="X334" t="s">
        <v>186</v>
      </c>
      <c r="AA334">
        <f>IF(Table_TRM_Fixtures[[#This Row],[Pre-EISA Baseline]]="Nominal", Table_TRM_Fixtures[[#This Row],[Fixture Watts  (TRM Data)]], Table_TRM_Fixtures[[#This Row],[Modified Baseline Fixture Watts]])</f>
        <v>282</v>
      </c>
    </row>
    <row r="335" spans="1:27" x14ac:dyDescent="0.2">
      <c r="A335" t="s">
        <v>853</v>
      </c>
      <c r="B335" t="s">
        <v>4114</v>
      </c>
      <c r="C335" t="s">
        <v>4115</v>
      </c>
      <c r="D335" t="s">
        <v>4116</v>
      </c>
      <c r="E335" t="s">
        <v>187</v>
      </c>
      <c r="F335" t="s">
        <v>186</v>
      </c>
      <c r="G335" t="s">
        <v>186</v>
      </c>
      <c r="H335">
        <v>283</v>
      </c>
      <c r="I335">
        <v>15</v>
      </c>
      <c r="J335" s="110">
        <v>333</v>
      </c>
      <c r="K335" t="s">
        <v>185</v>
      </c>
      <c r="L335">
        <f>IF(Table_TRM_Fixtures[[#This Row],[Technology]]="LED", Table_TRM_Fixtures[[#This Row],[Fixture Watts  (TRM Data)]], Table_TRM_Fixtures[[#This Row],[Lamp Watts  (TRM Data)]])</f>
        <v>283</v>
      </c>
      <c r="M335" t="str">
        <f>Table_TRM_Fixtures[[#This Row],[No. of Lamps  (TRM Data)]]</f>
        <v>N/A</v>
      </c>
      <c r="N335" t="s">
        <v>186</v>
      </c>
      <c r="O335" t="s">
        <v>186</v>
      </c>
      <c r="P335" t="s">
        <v>187</v>
      </c>
      <c r="S335" t="s">
        <v>852</v>
      </c>
      <c r="T335" t="str">
        <f>Table_TRM_Fixtures[[#This Row],[Fixture code  (TRM Data)]]</f>
        <v>LED283-FIXT</v>
      </c>
      <c r="U335" t="s">
        <v>2883</v>
      </c>
      <c r="V335" t="s">
        <v>185</v>
      </c>
      <c r="W335" t="s">
        <v>3120</v>
      </c>
      <c r="X335" t="s">
        <v>186</v>
      </c>
      <c r="AA335">
        <f>IF(Table_TRM_Fixtures[[#This Row],[Pre-EISA Baseline]]="Nominal", Table_TRM_Fixtures[[#This Row],[Fixture Watts  (TRM Data)]], Table_TRM_Fixtures[[#This Row],[Modified Baseline Fixture Watts]])</f>
        <v>283</v>
      </c>
    </row>
    <row r="336" spans="1:27" x14ac:dyDescent="0.2">
      <c r="A336" t="s">
        <v>855</v>
      </c>
      <c r="B336" t="s">
        <v>4117</v>
      </c>
      <c r="C336" t="s">
        <v>4118</v>
      </c>
      <c r="D336" t="s">
        <v>4119</v>
      </c>
      <c r="E336" t="s">
        <v>187</v>
      </c>
      <c r="F336" t="s">
        <v>186</v>
      </c>
      <c r="G336" t="s">
        <v>186</v>
      </c>
      <c r="H336">
        <v>284</v>
      </c>
      <c r="I336">
        <v>15</v>
      </c>
      <c r="J336" s="110">
        <v>334</v>
      </c>
      <c r="K336" t="s">
        <v>185</v>
      </c>
      <c r="L336">
        <f>IF(Table_TRM_Fixtures[[#This Row],[Technology]]="LED", Table_TRM_Fixtures[[#This Row],[Fixture Watts  (TRM Data)]], Table_TRM_Fixtures[[#This Row],[Lamp Watts  (TRM Data)]])</f>
        <v>284</v>
      </c>
      <c r="M336" t="str">
        <f>Table_TRM_Fixtures[[#This Row],[No. of Lamps  (TRM Data)]]</f>
        <v>N/A</v>
      </c>
      <c r="N336" t="s">
        <v>186</v>
      </c>
      <c r="O336" t="s">
        <v>186</v>
      </c>
      <c r="P336" t="s">
        <v>187</v>
      </c>
      <c r="S336" t="s">
        <v>854</v>
      </c>
      <c r="T336" t="str">
        <f>Table_TRM_Fixtures[[#This Row],[Fixture code  (TRM Data)]]</f>
        <v>LED284-FIXT</v>
      </c>
      <c r="U336" t="s">
        <v>2883</v>
      </c>
      <c r="V336" t="s">
        <v>185</v>
      </c>
      <c r="W336" t="s">
        <v>3120</v>
      </c>
      <c r="X336" t="s">
        <v>186</v>
      </c>
      <c r="AA336">
        <f>IF(Table_TRM_Fixtures[[#This Row],[Pre-EISA Baseline]]="Nominal", Table_TRM_Fixtures[[#This Row],[Fixture Watts  (TRM Data)]], Table_TRM_Fixtures[[#This Row],[Modified Baseline Fixture Watts]])</f>
        <v>284</v>
      </c>
    </row>
    <row r="337" spans="1:27" x14ac:dyDescent="0.2">
      <c r="A337" t="s">
        <v>857</v>
      </c>
      <c r="B337" t="s">
        <v>4120</v>
      </c>
      <c r="C337" t="s">
        <v>4121</v>
      </c>
      <c r="D337" t="s">
        <v>4122</v>
      </c>
      <c r="E337" t="s">
        <v>187</v>
      </c>
      <c r="F337" t="s">
        <v>186</v>
      </c>
      <c r="G337" t="s">
        <v>186</v>
      </c>
      <c r="H337">
        <v>285</v>
      </c>
      <c r="I337">
        <v>15</v>
      </c>
      <c r="J337" s="110">
        <v>335</v>
      </c>
      <c r="K337" t="s">
        <v>185</v>
      </c>
      <c r="L337">
        <f>IF(Table_TRM_Fixtures[[#This Row],[Technology]]="LED", Table_TRM_Fixtures[[#This Row],[Fixture Watts  (TRM Data)]], Table_TRM_Fixtures[[#This Row],[Lamp Watts  (TRM Data)]])</f>
        <v>285</v>
      </c>
      <c r="M337" t="str">
        <f>Table_TRM_Fixtures[[#This Row],[No. of Lamps  (TRM Data)]]</f>
        <v>N/A</v>
      </c>
      <c r="N337" t="s">
        <v>186</v>
      </c>
      <c r="O337" t="s">
        <v>186</v>
      </c>
      <c r="P337" t="s">
        <v>187</v>
      </c>
      <c r="S337" t="s">
        <v>856</v>
      </c>
      <c r="T337" t="str">
        <f>Table_TRM_Fixtures[[#This Row],[Fixture code  (TRM Data)]]</f>
        <v>LED285-FIXT</v>
      </c>
      <c r="U337" t="s">
        <v>2883</v>
      </c>
      <c r="V337" t="s">
        <v>185</v>
      </c>
      <c r="W337" t="s">
        <v>3120</v>
      </c>
      <c r="X337" t="s">
        <v>186</v>
      </c>
      <c r="AA337">
        <f>IF(Table_TRM_Fixtures[[#This Row],[Pre-EISA Baseline]]="Nominal", Table_TRM_Fixtures[[#This Row],[Fixture Watts  (TRM Data)]], Table_TRM_Fixtures[[#This Row],[Modified Baseline Fixture Watts]])</f>
        <v>285</v>
      </c>
    </row>
    <row r="338" spans="1:27" x14ac:dyDescent="0.2">
      <c r="A338" t="s">
        <v>859</v>
      </c>
      <c r="B338" t="s">
        <v>4123</v>
      </c>
      <c r="C338" t="s">
        <v>4124</v>
      </c>
      <c r="D338" t="s">
        <v>4125</v>
      </c>
      <c r="E338" t="s">
        <v>187</v>
      </c>
      <c r="F338" t="s">
        <v>186</v>
      </c>
      <c r="G338" t="s">
        <v>186</v>
      </c>
      <c r="H338">
        <v>286</v>
      </c>
      <c r="I338">
        <v>15</v>
      </c>
      <c r="J338" s="110">
        <v>336</v>
      </c>
      <c r="K338" t="s">
        <v>185</v>
      </c>
      <c r="L338">
        <f>IF(Table_TRM_Fixtures[[#This Row],[Technology]]="LED", Table_TRM_Fixtures[[#This Row],[Fixture Watts  (TRM Data)]], Table_TRM_Fixtures[[#This Row],[Lamp Watts  (TRM Data)]])</f>
        <v>286</v>
      </c>
      <c r="M338" t="str">
        <f>Table_TRM_Fixtures[[#This Row],[No. of Lamps  (TRM Data)]]</f>
        <v>N/A</v>
      </c>
      <c r="N338" t="s">
        <v>186</v>
      </c>
      <c r="O338" t="s">
        <v>186</v>
      </c>
      <c r="P338" t="s">
        <v>187</v>
      </c>
      <c r="S338" t="s">
        <v>858</v>
      </c>
      <c r="T338" t="str">
        <f>Table_TRM_Fixtures[[#This Row],[Fixture code  (TRM Data)]]</f>
        <v>LED286-FIXT</v>
      </c>
      <c r="U338" t="s">
        <v>2883</v>
      </c>
      <c r="V338" t="s">
        <v>185</v>
      </c>
      <c r="W338" t="s">
        <v>3120</v>
      </c>
      <c r="X338" t="s">
        <v>186</v>
      </c>
      <c r="AA338">
        <f>IF(Table_TRM_Fixtures[[#This Row],[Pre-EISA Baseline]]="Nominal", Table_TRM_Fixtures[[#This Row],[Fixture Watts  (TRM Data)]], Table_TRM_Fixtures[[#This Row],[Modified Baseline Fixture Watts]])</f>
        <v>286</v>
      </c>
    </row>
    <row r="339" spans="1:27" x14ac:dyDescent="0.2">
      <c r="A339" t="s">
        <v>861</v>
      </c>
      <c r="B339" t="s">
        <v>4126</v>
      </c>
      <c r="C339" t="s">
        <v>4127</v>
      </c>
      <c r="D339" t="s">
        <v>4128</v>
      </c>
      <c r="E339" t="s">
        <v>187</v>
      </c>
      <c r="F339" t="s">
        <v>186</v>
      </c>
      <c r="G339" t="s">
        <v>186</v>
      </c>
      <c r="H339">
        <v>287</v>
      </c>
      <c r="I339">
        <v>15</v>
      </c>
      <c r="J339" s="110">
        <v>337</v>
      </c>
      <c r="K339" t="s">
        <v>185</v>
      </c>
      <c r="L339">
        <f>IF(Table_TRM_Fixtures[[#This Row],[Technology]]="LED", Table_TRM_Fixtures[[#This Row],[Fixture Watts  (TRM Data)]], Table_TRM_Fixtures[[#This Row],[Lamp Watts  (TRM Data)]])</f>
        <v>287</v>
      </c>
      <c r="M339" t="str">
        <f>Table_TRM_Fixtures[[#This Row],[No. of Lamps  (TRM Data)]]</f>
        <v>N/A</v>
      </c>
      <c r="N339" t="s">
        <v>186</v>
      </c>
      <c r="O339" t="s">
        <v>186</v>
      </c>
      <c r="P339" t="s">
        <v>187</v>
      </c>
      <c r="S339" t="s">
        <v>860</v>
      </c>
      <c r="T339" t="str">
        <f>Table_TRM_Fixtures[[#This Row],[Fixture code  (TRM Data)]]</f>
        <v>LED287-FIXT</v>
      </c>
      <c r="U339" t="s">
        <v>2883</v>
      </c>
      <c r="V339" t="s">
        <v>185</v>
      </c>
      <c r="W339" t="s">
        <v>3120</v>
      </c>
      <c r="X339" t="s">
        <v>186</v>
      </c>
      <c r="AA339">
        <f>IF(Table_TRM_Fixtures[[#This Row],[Pre-EISA Baseline]]="Nominal", Table_TRM_Fixtures[[#This Row],[Fixture Watts  (TRM Data)]], Table_TRM_Fixtures[[#This Row],[Modified Baseline Fixture Watts]])</f>
        <v>287</v>
      </c>
    </row>
    <row r="340" spans="1:27" x14ac:dyDescent="0.2">
      <c r="A340" t="s">
        <v>863</v>
      </c>
      <c r="B340" t="s">
        <v>4129</v>
      </c>
      <c r="C340" t="s">
        <v>4130</v>
      </c>
      <c r="D340" t="s">
        <v>4131</v>
      </c>
      <c r="E340" t="s">
        <v>187</v>
      </c>
      <c r="F340" t="s">
        <v>186</v>
      </c>
      <c r="G340" t="s">
        <v>186</v>
      </c>
      <c r="H340">
        <v>288</v>
      </c>
      <c r="I340">
        <v>15</v>
      </c>
      <c r="J340" s="110">
        <v>338</v>
      </c>
      <c r="K340" t="s">
        <v>185</v>
      </c>
      <c r="L340">
        <f>IF(Table_TRM_Fixtures[[#This Row],[Technology]]="LED", Table_TRM_Fixtures[[#This Row],[Fixture Watts  (TRM Data)]], Table_TRM_Fixtures[[#This Row],[Lamp Watts  (TRM Data)]])</f>
        <v>288</v>
      </c>
      <c r="M340" t="str">
        <f>Table_TRM_Fixtures[[#This Row],[No. of Lamps  (TRM Data)]]</f>
        <v>N/A</v>
      </c>
      <c r="N340" t="s">
        <v>186</v>
      </c>
      <c r="O340" t="s">
        <v>186</v>
      </c>
      <c r="P340" t="s">
        <v>187</v>
      </c>
      <c r="S340" t="s">
        <v>862</v>
      </c>
      <c r="T340" t="str">
        <f>Table_TRM_Fixtures[[#This Row],[Fixture code  (TRM Data)]]</f>
        <v>LED288-FIXT</v>
      </c>
      <c r="U340" t="s">
        <v>2883</v>
      </c>
      <c r="V340" t="s">
        <v>185</v>
      </c>
      <c r="W340" t="s">
        <v>3120</v>
      </c>
      <c r="X340" t="s">
        <v>186</v>
      </c>
      <c r="AA340">
        <f>IF(Table_TRM_Fixtures[[#This Row],[Pre-EISA Baseline]]="Nominal", Table_TRM_Fixtures[[#This Row],[Fixture Watts  (TRM Data)]], Table_TRM_Fixtures[[#This Row],[Modified Baseline Fixture Watts]])</f>
        <v>288</v>
      </c>
    </row>
    <row r="341" spans="1:27" x14ac:dyDescent="0.2">
      <c r="A341" t="s">
        <v>865</v>
      </c>
      <c r="B341" t="s">
        <v>4132</v>
      </c>
      <c r="C341" t="s">
        <v>4133</v>
      </c>
      <c r="D341" t="s">
        <v>4134</v>
      </c>
      <c r="E341" t="s">
        <v>187</v>
      </c>
      <c r="F341" t="s">
        <v>186</v>
      </c>
      <c r="G341" t="s">
        <v>186</v>
      </c>
      <c r="H341">
        <v>289</v>
      </c>
      <c r="I341">
        <v>15</v>
      </c>
      <c r="J341" s="110">
        <v>339</v>
      </c>
      <c r="K341" t="s">
        <v>185</v>
      </c>
      <c r="L341">
        <f>IF(Table_TRM_Fixtures[[#This Row],[Technology]]="LED", Table_TRM_Fixtures[[#This Row],[Fixture Watts  (TRM Data)]], Table_TRM_Fixtures[[#This Row],[Lamp Watts  (TRM Data)]])</f>
        <v>289</v>
      </c>
      <c r="M341" t="str">
        <f>Table_TRM_Fixtures[[#This Row],[No. of Lamps  (TRM Data)]]</f>
        <v>N/A</v>
      </c>
      <c r="N341" t="s">
        <v>186</v>
      </c>
      <c r="O341" t="s">
        <v>186</v>
      </c>
      <c r="P341" t="s">
        <v>187</v>
      </c>
      <c r="S341" t="s">
        <v>864</v>
      </c>
      <c r="T341" t="str">
        <f>Table_TRM_Fixtures[[#This Row],[Fixture code  (TRM Data)]]</f>
        <v>LED289-FIXT</v>
      </c>
      <c r="U341" t="s">
        <v>2883</v>
      </c>
      <c r="V341" t="s">
        <v>185</v>
      </c>
      <c r="W341" t="s">
        <v>3120</v>
      </c>
      <c r="X341" t="s">
        <v>186</v>
      </c>
      <c r="AA341">
        <f>IF(Table_TRM_Fixtures[[#This Row],[Pre-EISA Baseline]]="Nominal", Table_TRM_Fixtures[[#This Row],[Fixture Watts  (TRM Data)]], Table_TRM_Fixtures[[#This Row],[Modified Baseline Fixture Watts]])</f>
        <v>289</v>
      </c>
    </row>
    <row r="342" spans="1:27" x14ac:dyDescent="0.2">
      <c r="A342" t="s">
        <v>867</v>
      </c>
      <c r="B342" t="s">
        <v>4135</v>
      </c>
      <c r="C342" t="s">
        <v>4136</v>
      </c>
      <c r="D342" t="s">
        <v>4137</v>
      </c>
      <c r="E342" t="s">
        <v>187</v>
      </c>
      <c r="F342" t="s">
        <v>186</v>
      </c>
      <c r="G342" t="s">
        <v>186</v>
      </c>
      <c r="H342">
        <v>290</v>
      </c>
      <c r="I342">
        <v>15</v>
      </c>
      <c r="J342" s="110">
        <v>340</v>
      </c>
      <c r="K342" t="s">
        <v>185</v>
      </c>
      <c r="L342">
        <f>IF(Table_TRM_Fixtures[[#This Row],[Technology]]="LED", Table_TRM_Fixtures[[#This Row],[Fixture Watts  (TRM Data)]], Table_TRM_Fixtures[[#This Row],[Lamp Watts  (TRM Data)]])</f>
        <v>290</v>
      </c>
      <c r="M342" t="str">
        <f>Table_TRM_Fixtures[[#This Row],[No. of Lamps  (TRM Data)]]</f>
        <v>N/A</v>
      </c>
      <c r="N342" t="s">
        <v>186</v>
      </c>
      <c r="O342" t="s">
        <v>186</v>
      </c>
      <c r="P342" t="s">
        <v>187</v>
      </c>
      <c r="S342" t="s">
        <v>866</v>
      </c>
      <c r="T342" t="str">
        <f>Table_TRM_Fixtures[[#This Row],[Fixture code  (TRM Data)]]</f>
        <v>LED290-FIXT</v>
      </c>
      <c r="U342" t="s">
        <v>2883</v>
      </c>
      <c r="V342" t="s">
        <v>185</v>
      </c>
      <c r="W342" t="s">
        <v>3120</v>
      </c>
      <c r="X342" t="s">
        <v>186</v>
      </c>
      <c r="AA342">
        <f>IF(Table_TRM_Fixtures[[#This Row],[Pre-EISA Baseline]]="Nominal", Table_TRM_Fixtures[[#This Row],[Fixture Watts  (TRM Data)]], Table_TRM_Fixtures[[#This Row],[Modified Baseline Fixture Watts]])</f>
        <v>290</v>
      </c>
    </row>
    <row r="343" spans="1:27" x14ac:dyDescent="0.2">
      <c r="A343" t="s">
        <v>869</v>
      </c>
      <c r="B343" t="s">
        <v>4138</v>
      </c>
      <c r="C343" t="s">
        <v>4139</v>
      </c>
      <c r="D343" t="s">
        <v>4140</v>
      </c>
      <c r="E343" t="s">
        <v>187</v>
      </c>
      <c r="F343" t="s">
        <v>186</v>
      </c>
      <c r="G343" t="s">
        <v>186</v>
      </c>
      <c r="H343">
        <v>291</v>
      </c>
      <c r="I343">
        <v>15</v>
      </c>
      <c r="J343" s="110">
        <v>341</v>
      </c>
      <c r="K343" t="s">
        <v>185</v>
      </c>
      <c r="L343">
        <f>IF(Table_TRM_Fixtures[[#This Row],[Technology]]="LED", Table_TRM_Fixtures[[#This Row],[Fixture Watts  (TRM Data)]], Table_TRM_Fixtures[[#This Row],[Lamp Watts  (TRM Data)]])</f>
        <v>291</v>
      </c>
      <c r="M343" t="str">
        <f>Table_TRM_Fixtures[[#This Row],[No. of Lamps  (TRM Data)]]</f>
        <v>N/A</v>
      </c>
      <c r="N343" t="s">
        <v>186</v>
      </c>
      <c r="O343" t="s">
        <v>186</v>
      </c>
      <c r="P343" t="s">
        <v>187</v>
      </c>
      <c r="S343" t="s">
        <v>868</v>
      </c>
      <c r="T343" t="str">
        <f>Table_TRM_Fixtures[[#This Row],[Fixture code  (TRM Data)]]</f>
        <v>LED291-FIXT</v>
      </c>
      <c r="U343" t="s">
        <v>2883</v>
      </c>
      <c r="V343" t="s">
        <v>185</v>
      </c>
      <c r="W343" t="s">
        <v>3120</v>
      </c>
      <c r="X343" t="s">
        <v>186</v>
      </c>
      <c r="AA343">
        <f>IF(Table_TRM_Fixtures[[#This Row],[Pre-EISA Baseline]]="Nominal", Table_TRM_Fixtures[[#This Row],[Fixture Watts  (TRM Data)]], Table_TRM_Fixtures[[#This Row],[Modified Baseline Fixture Watts]])</f>
        <v>291</v>
      </c>
    </row>
    <row r="344" spans="1:27" x14ac:dyDescent="0.2">
      <c r="A344" t="s">
        <v>871</v>
      </c>
      <c r="B344" t="s">
        <v>4141</v>
      </c>
      <c r="C344" t="s">
        <v>4142</v>
      </c>
      <c r="D344" t="s">
        <v>4143</v>
      </c>
      <c r="E344" t="s">
        <v>187</v>
      </c>
      <c r="F344" t="s">
        <v>186</v>
      </c>
      <c r="G344" t="s">
        <v>186</v>
      </c>
      <c r="H344">
        <v>292</v>
      </c>
      <c r="I344">
        <v>15</v>
      </c>
      <c r="J344" s="110">
        <v>342</v>
      </c>
      <c r="K344" t="s">
        <v>185</v>
      </c>
      <c r="L344">
        <f>IF(Table_TRM_Fixtures[[#This Row],[Technology]]="LED", Table_TRM_Fixtures[[#This Row],[Fixture Watts  (TRM Data)]], Table_TRM_Fixtures[[#This Row],[Lamp Watts  (TRM Data)]])</f>
        <v>292</v>
      </c>
      <c r="M344" t="str">
        <f>Table_TRM_Fixtures[[#This Row],[No. of Lamps  (TRM Data)]]</f>
        <v>N/A</v>
      </c>
      <c r="N344" t="s">
        <v>186</v>
      </c>
      <c r="O344" t="s">
        <v>186</v>
      </c>
      <c r="P344" t="s">
        <v>187</v>
      </c>
      <c r="S344" t="s">
        <v>870</v>
      </c>
      <c r="T344" t="str">
        <f>Table_TRM_Fixtures[[#This Row],[Fixture code  (TRM Data)]]</f>
        <v>LED292-FIXT</v>
      </c>
      <c r="U344" t="s">
        <v>2883</v>
      </c>
      <c r="V344" t="s">
        <v>185</v>
      </c>
      <c r="W344" t="s">
        <v>3120</v>
      </c>
      <c r="X344" t="s">
        <v>186</v>
      </c>
      <c r="AA344">
        <f>IF(Table_TRM_Fixtures[[#This Row],[Pre-EISA Baseline]]="Nominal", Table_TRM_Fixtures[[#This Row],[Fixture Watts  (TRM Data)]], Table_TRM_Fixtures[[#This Row],[Modified Baseline Fixture Watts]])</f>
        <v>292</v>
      </c>
    </row>
    <row r="345" spans="1:27" x14ac:dyDescent="0.2">
      <c r="A345" t="s">
        <v>873</v>
      </c>
      <c r="B345" t="s">
        <v>4144</v>
      </c>
      <c r="C345" t="s">
        <v>4145</v>
      </c>
      <c r="D345" t="s">
        <v>4146</v>
      </c>
      <c r="E345" t="s">
        <v>187</v>
      </c>
      <c r="F345" t="s">
        <v>186</v>
      </c>
      <c r="G345" t="s">
        <v>186</v>
      </c>
      <c r="H345">
        <v>293</v>
      </c>
      <c r="I345">
        <v>15</v>
      </c>
      <c r="J345" s="110">
        <v>343</v>
      </c>
      <c r="K345" t="s">
        <v>185</v>
      </c>
      <c r="L345">
        <f>IF(Table_TRM_Fixtures[[#This Row],[Technology]]="LED", Table_TRM_Fixtures[[#This Row],[Fixture Watts  (TRM Data)]], Table_TRM_Fixtures[[#This Row],[Lamp Watts  (TRM Data)]])</f>
        <v>293</v>
      </c>
      <c r="M345" t="str">
        <f>Table_TRM_Fixtures[[#This Row],[No. of Lamps  (TRM Data)]]</f>
        <v>N/A</v>
      </c>
      <c r="N345" t="s">
        <v>186</v>
      </c>
      <c r="O345" t="s">
        <v>186</v>
      </c>
      <c r="P345" t="s">
        <v>187</v>
      </c>
      <c r="S345" t="s">
        <v>872</v>
      </c>
      <c r="T345" t="str">
        <f>Table_TRM_Fixtures[[#This Row],[Fixture code  (TRM Data)]]</f>
        <v>LED293-FIXT</v>
      </c>
      <c r="U345" t="s">
        <v>2883</v>
      </c>
      <c r="V345" t="s">
        <v>185</v>
      </c>
      <c r="W345" t="s">
        <v>3120</v>
      </c>
      <c r="X345" t="s">
        <v>186</v>
      </c>
      <c r="AA345">
        <f>IF(Table_TRM_Fixtures[[#This Row],[Pre-EISA Baseline]]="Nominal", Table_TRM_Fixtures[[#This Row],[Fixture Watts  (TRM Data)]], Table_TRM_Fixtures[[#This Row],[Modified Baseline Fixture Watts]])</f>
        <v>293</v>
      </c>
    </row>
    <row r="346" spans="1:27" x14ac:dyDescent="0.2">
      <c r="A346" t="s">
        <v>875</v>
      </c>
      <c r="B346" t="s">
        <v>4147</v>
      </c>
      <c r="C346" t="s">
        <v>4148</v>
      </c>
      <c r="D346" t="s">
        <v>4149</v>
      </c>
      <c r="E346" t="s">
        <v>187</v>
      </c>
      <c r="F346" t="s">
        <v>186</v>
      </c>
      <c r="G346" t="s">
        <v>186</v>
      </c>
      <c r="H346">
        <v>294</v>
      </c>
      <c r="I346">
        <v>15</v>
      </c>
      <c r="J346" s="110">
        <v>344</v>
      </c>
      <c r="K346" t="s">
        <v>185</v>
      </c>
      <c r="L346">
        <f>IF(Table_TRM_Fixtures[[#This Row],[Technology]]="LED", Table_TRM_Fixtures[[#This Row],[Fixture Watts  (TRM Data)]], Table_TRM_Fixtures[[#This Row],[Lamp Watts  (TRM Data)]])</f>
        <v>294</v>
      </c>
      <c r="M346" t="str">
        <f>Table_TRM_Fixtures[[#This Row],[No. of Lamps  (TRM Data)]]</f>
        <v>N/A</v>
      </c>
      <c r="N346" t="s">
        <v>186</v>
      </c>
      <c r="O346" t="s">
        <v>186</v>
      </c>
      <c r="P346" t="s">
        <v>187</v>
      </c>
      <c r="S346" t="s">
        <v>874</v>
      </c>
      <c r="T346" t="str">
        <f>Table_TRM_Fixtures[[#This Row],[Fixture code  (TRM Data)]]</f>
        <v>LED294-FIXT</v>
      </c>
      <c r="U346" t="s">
        <v>2883</v>
      </c>
      <c r="V346" t="s">
        <v>185</v>
      </c>
      <c r="W346" t="s">
        <v>3120</v>
      </c>
      <c r="X346" t="s">
        <v>186</v>
      </c>
      <c r="AA346">
        <f>IF(Table_TRM_Fixtures[[#This Row],[Pre-EISA Baseline]]="Nominal", Table_TRM_Fixtures[[#This Row],[Fixture Watts  (TRM Data)]], Table_TRM_Fixtures[[#This Row],[Modified Baseline Fixture Watts]])</f>
        <v>294</v>
      </c>
    </row>
    <row r="347" spans="1:27" x14ac:dyDescent="0.2">
      <c r="A347" t="s">
        <v>877</v>
      </c>
      <c r="B347" t="s">
        <v>4150</v>
      </c>
      <c r="C347" t="s">
        <v>4151</v>
      </c>
      <c r="D347" t="s">
        <v>4152</v>
      </c>
      <c r="E347" t="s">
        <v>187</v>
      </c>
      <c r="F347" t="s">
        <v>186</v>
      </c>
      <c r="G347" t="s">
        <v>186</v>
      </c>
      <c r="H347">
        <v>295</v>
      </c>
      <c r="I347">
        <v>15</v>
      </c>
      <c r="J347" s="110">
        <v>345</v>
      </c>
      <c r="K347" t="s">
        <v>185</v>
      </c>
      <c r="L347">
        <f>IF(Table_TRM_Fixtures[[#This Row],[Technology]]="LED", Table_TRM_Fixtures[[#This Row],[Fixture Watts  (TRM Data)]], Table_TRM_Fixtures[[#This Row],[Lamp Watts  (TRM Data)]])</f>
        <v>295</v>
      </c>
      <c r="M347" t="str">
        <f>Table_TRM_Fixtures[[#This Row],[No. of Lamps  (TRM Data)]]</f>
        <v>N/A</v>
      </c>
      <c r="N347" t="s">
        <v>186</v>
      </c>
      <c r="O347" t="s">
        <v>186</v>
      </c>
      <c r="P347" t="s">
        <v>187</v>
      </c>
      <c r="S347" t="s">
        <v>876</v>
      </c>
      <c r="T347" t="str">
        <f>Table_TRM_Fixtures[[#This Row],[Fixture code  (TRM Data)]]</f>
        <v>LED295-FIXT</v>
      </c>
      <c r="U347" t="s">
        <v>2883</v>
      </c>
      <c r="V347" t="s">
        <v>185</v>
      </c>
      <c r="W347" t="s">
        <v>3120</v>
      </c>
      <c r="X347" t="s">
        <v>186</v>
      </c>
      <c r="AA347">
        <f>IF(Table_TRM_Fixtures[[#This Row],[Pre-EISA Baseline]]="Nominal", Table_TRM_Fixtures[[#This Row],[Fixture Watts  (TRM Data)]], Table_TRM_Fixtures[[#This Row],[Modified Baseline Fixture Watts]])</f>
        <v>295</v>
      </c>
    </row>
    <row r="348" spans="1:27" x14ac:dyDescent="0.2">
      <c r="A348" t="s">
        <v>879</v>
      </c>
      <c r="B348" t="s">
        <v>4153</v>
      </c>
      <c r="C348" t="s">
        <v>4154</v>
      </c>
      <c r="D348" t="s">
        <v>4155</v>
      </c>
      <c r="E348" t="s">
        <v>187</v>
      </c>
      <c r="F348" t="s">
        <v>186</v>
      </c>
      <c r="G348" t="s">
        <v>186</v>
      </c>
      <c r="H348">
        <v>296</v>
      </c>
      <c r="I348">
        <v>15</v>
      </c>
      <c r="J348" s="110">
        <v>346</v>
      </c>
      <c r="K348" t="s">
        <v>185</v>
      </c>
      <c r="L348">
        <f>IF(Table_TRM_Fixtures[[#This Row],[Technology]]="LED", Table_TRM_Fixtures[[#This Row],[Fixture Watts  (TRM Data)]], Table_TRM_Fixtures[[#This Row],[Lamp Watts  (TRM Data)]])</f>
        <v>296</v>
      </c>
      <c r="M348" t="str">
        <f>Table_TRM_Fixtures[[#This Row],[No. of Lamps  (TRM Data)]]</f>
        <v>N/A</v>
      </c>
      <c r="N348" t="s">
        <v>186</v>
      </c>
      <c r="O348" t="s">
        <v>186</v>
      </c>
      <c r="P348" t="s">
        <v>187</v>
      </c>
      <c r="S348" t="s">
        <v>878</v>
      </c>
      <c r="T348" t="str">
        <f>Table_TRM_Fixtures[[#This Row],[Fixture code  (TRM Data)]]</f>
        <v>LED296-FIXT</v>
      </c>
      <c r="U348" t="s">
        <v>2883</v>
      </c>
      <c r="V348" t="s">
        <v>185</v>
      </c>
      <c r="W348" t="s">
        <v>3120</v>
      </c>
      <c r="X348" t="s">
        <v>186</v>
      </c>
      <c r="AA348">
        <f>IF(Table_TRM_Fixtures[[#This Row],[Pre-EISA Baseline]]="Nominal", Table_TRM_Fixtures[[#This Row],[Fixture Watts  (TRM Data)]], Table_TRM_Fixtures[[#This Row],[Modified Baseline Fixture Watts]])</f>
        <v>296</v>
      </c>
    </row>
    <row r="349" spans="1:27" x14ac:dyDescent="0.2">
      <c r="A349" t="s">
        <v>881</v>
      </c>
      <c r="B349" t="s">
        <v>4156</v>
      </c>
      <c r="C349" t="s">
        <v>4157</v>
      </c>
      <c r="D349" t="s">
        <v>4158</v>
      </c>
      <c r="E349" t="s">
        <v>187</v>
      </c>
      <c r="F349" t="s">
        <v>186</v>
      </c>
      <c r="G349" t="s">
        <v>186</v>
      </c>
      <c r="H349">
        <v>297</v>
      </c>
      <c r="I349">
        <v>15</v>
      </c>
      <c r="J349" s="110">
        <v>347</v>
      </c>
      <c r="K349" t="s">
        <v>185</v>
      </c>
      <c r="L349">
        <f>IF(Table_TRM_Fixtures[[#This Row],[Technology]]="LED", Table_TRM_Fixtures[[#This Row],[Fixture Watts  (TRM Data)]], Table_TRM_Fixtures[[#This Row],[Lamp Watts  (TRM Data)]])</f>
        <v>297</v>
      </c>
      <c r="M349" t="str">
        <f>Table_TRM_Fixtures[[#This Row],[No. of Lamps  (TRM Data)]]</f>
        <v>N/A</v>
      </c>
      <c r="N349" t="s">
        <v>186</v>
      </c>
      <c r="O349" t="s">
        <v>186</v>
      </c>
      <c r="P349" t="s">
        <v>187</v>
      </c>
      <c r="S349" t="s">
        <v>880</v>
      </c>
      <c r="T349" t="str">
        <f>Table_TRM_Fixtures[[#This Row],[Fixture code  (TRM Data)]]</f>
        <v>LED297-FIXT</v>
      </c>
      <c r="U349" t="s">
        <v>2883</v>
      </c>
      <c r="V349" t="s">
        <v>185</v>
      </c>
      <c r="W349" t="s">
        <v>3120</v>
      </c>
      <c r="X349" t="s">
        <v>186</v>
      </c>
      <c r="AA349">
        <f>IF(Table_TRM_Fixtures[[#This Row],[Pre-EISA Baseline]]="Nominal", Table_TRM_Fixtures[[#This Row],[Fixture Watts  (TRM Data)]], Table_TRM_Fixtures[[#This Row],[Modified Baseline Fixture Watts]])</f>
        <v>297</v>
      </c>
    </row>
    <row r="350" spans="1:27" x14ac:dyDescent="0.2">
      <c r="A350" t="s">
        <v>883</v>
      </c>
      <c r="B350" t="s">
        <v>4159</v>
      </c>
      <c r="C350" t="s">
        <v>4160</v>
      </c>
      <c r="D350" t="s">
        <v>4161</v>
      </c>
      <c r="E350" t="s">
        <v>187</v>
      </c>
      <c r="F350" t="s">
        <v>186</v>
      </c>
      <c r="G350" t="s">
        <v>186</v>
      </c>
      <c r="H350">
        <v>298</v>
      </c>
      <c r="I350">
        <v>15</v>
      </c>
      <c r="J350" s="110">
        <v>348</v>
      </c>
      <c r="K350" t="s">
        <v>185</v>
      </c>
      <c r="L350">
        <f>IF(Table_TRM_Fixtures[[#This Row],[Technology]]="LED", Table_TRM_Fixtures[[#This Row],[Fixture Watts  (TRM Data)]], Table_TRM_Fixtures[[#This Row],[Lamp Watts  (TRM Data)]])</f>
        <v>298</v>
      </c>
      <c r="M350" t="str">
        <f>Table_TRM_Fixtures[[#This Row],[No. of Lamps  (TRM Data)]]</f>
        <v>N/A</v>
      </c>
      <c r="N350" t="s">
        <v>186</v>
      </c>
      <c r="O350" t="s">
        <v>186</v>
      </c>
      <c r="P350" t="s">
        <v>187</v>
      </c>
      <c r="S350" t="s">
        <v>882</v>
      </c>
      <c r="T350" t="str">
        <f>Table_TRM_Fixtures[[#This Row],[Fixture code  (TRM Data)]]</f>
        <v>LED298-FIXT</v>
      </c>
      <c r="U350" t="s">
        <v>2883</v>
      </c>
      <c r="V350" t="s">
        <v>185</v>
      </c>
      <c r="W350" t="s">
        <v>3120</v>
      </c>
      <c r="X350" t="s">
        <v>186</v>
      </c>
      <c r="AA350">
        <f>IF(Table_TRM_Fixtures[[#This Row],[Pre-EISA Baseline]]="Nominal", Table_TRM_Fixtures[[#This Row],[Fixture Watts  (TRM Data)]], Table_TRM_Fixtures[[#This Row],[Modified Baseline Fixture Watts]])</f>
        <v>298</v>
      </c>
    </row>
    <row r="351" spans="1:27" x14ac:dyDescent="0.2">
      <c r="A351" t="s">
        <v>885</v>
      </c>
      <c r="B351" t="s">
        <v>4162</v>
      </c>
      <c r="C351" t="s">
        <v>4163</v>
      </c>
      <c r="D351" t="s">
        <v>4164</v>
      </c>
      <c r="E351" t="s">
        <v>187</v>
      </c>
      <c r="F351" t="s">
        <v>186</v>
      </c>
      <c r="G351" t="s">
        <v>186</v>
      </c>
      <c r="H351">
        <v>299</v>
      </c>
      <c r="I351">
        <v>15</v>
      </c>
      <c r="J351" s="110">
        <v>349</v>
      </c>
      <c r="K351" t="s">
        <v>185</v>
      </c>
      <c r="L351">
        <f>IF(Table_TRM_Fixtures[[#This Row],[Technology]]="LED", Table_TRM_Fixtures[[#This Row],[Fixture Watts  (TRM Data)]], Table_TRM_Fixtures[[#This Row],[Lamp Watts  (TRM Data)]])</f>
        <v>299</v>
      </c>
      <c r="M351" t="str">
        <f>Table_TRM_Fixtures[[#This Row],[No. of Lamps  (TRM Data)]]</f>
        <v>N/A</v>
      </c>
      <c r="N351" t="s">
        <v>186</v>
      </c>
      <c r="O351" t="s">
        <v>186</v>
      </c>
      <c r="P351" t="s">
        <v>187</v>
      </c>
      <c r="S351" t="s">
        <v>884</v>
      </c>
      <c r="T351" t="str">
        <f>Table_TRM_Fixtures[[#This Row],[Fixture code  (TRM Data)]]</f>
        <v>LED299-FIXT</v>
      </c>
      <c r="U351" t="s">
        <v>2883</v>
      </c>
      <c r="V351" t="s">
        <v>185</v>
      </c>
      <c r="W351" t="s">
        <v>3120</v>
      </c>
      <c r="X351" t="s">
        <v>186</v>
      </c>
      <c r="AA351">
        <f>IF(Table_TRM_Fixtures[[#This Row],[Pre-EISA Baseline]]="Nominal", Table_TRM_Fixtures[[#This Row],[Fixture Watts  (TRM Data)]], Table_TRM_Fixtures[[#This Row],[Modified Baseline Fixture Watts]])</f>
        <v>299</v>
      </c>
    </row>
    <row r="352" spans="1:27" x14ac:dyDescent="0.2">
      <c r="A352" t="s">
        <v>887</v>
      </c>
      <c r="B352" t="s">
        <v>4165</v>
      </c>
      <c r="C352" t="s">
        <v>4166</v>
      </c>
      <c r="D352" t="s">
        <v>4167</v>
      </c>
      <c r="E352" t="s">
        <v>187</v>
      </c>
      <c r="F352" t="s">
        <v>186</v>
      </c>
      <c r="G352" t="s">
        <v>186</v>
      </c>
      <c r="H352">
        <v>300</v>
      </c>
      <c r="I352">
        <v>15</v>
      </c>
      <c r="J352" s="110">
        <v>350</v>
      </c>
      <c r="K352" t="s">
        <v>185</v>
      </c>
      <c r="L352">
        <f>IF(Table_TRM_Fixtures[[#This Row],[Technology]]="LED", Table_TRM_Fixtures[[#This Row],[Fixture Watts  (TRM Data)]], Table_TRM_Fixtures[[#This Row],[Lamp Watts  (TRM Data)]])</f>
        <v>300</v>
      </c>
      <c r="M352" t="str">
        <f>Table_TRM_Fixtures[[#This Row],[No. of Lamps  (TRM Data)]]</f>
        <v>N/A</v>
      </c>
      <c r="N352" t="s">
        <v>186</v>
      </c>
      <c r="O352" t="s">
        <v>186</v>
      </c>
      <c r="P352" t="s">
        <v>187</v>
      </c>
      <c r="S352" t="s">
        <v>886</v>
      </c>
      <c r="T352" t="str">
        <f>Table_TRM_Fixtures[[#This Row],[Fixture code  (TRM Data)]]</f>
        <v>LED300-FIXT</v>
      </c>
      <c r="U352" t="s">
        <v>2883</v>
      </c>
      <c r="V352" t="s">
        <v>185</v>
      </c>
      <c r="W352" t="s">
        <v>3120</v>
      </c>
      <c r="X352" t="s">
        <v>186</v>
      </c>
      <c r="AA352">
        <f>IF(Table_TRM_Fixtures[[#This Row],[Pre-EISA Baseline]]="Nominal", Table_TRM_Fixtures[[#This Row],[Fixture Watts  (TRM Data)]], Table_TRM_Fixtures[[#This Row],[Modified Baseline Fixture Watts]])</f>
        <v>300</v>
      </c>
    </row>
    <row r="353" spans="1:27" x14ac:dyDescent="0.2">
      <c r="A353" t="s">
        <v>889</v>
      </c>
      <c r="B353" t="s">
        <v>4168</v>
      </c>
      <c r="C353" t="s">
        <v>4169</v>
      </c>
      <c r="D353" t="s">
        <v>4170</v>
      </c>
      <c r="E353" t="s">
        <v>187</v>
      </c>
      <c r="F353" t="s">
        <v>186</v>
      </c>
      <c r="G353" t="s">
        <v>186</v>
      </c>
      <c r="H353">
        <v>301</v>
      </c>
      <c r="I353">
        <v>15</v>
      </c>
      <c r="J353" s="110">
        <v>351</v>
      </c>
      <c r="K353" t="s">
        <v>185</v>
      </c>
      <c r="L353">
        <f>IF(Table_TRM_Fixtures[[#This Row],[Technology]]="LED", Table_TRM_Fixtures[[#This Row],[Fixture Watts  (TRM Data)]], Table_TRM_Fixtures[[#This Row],[Lamp Watts  (TRM Data)]])</f>
        <v>301</v>
      </c>
      <c r="M353" t="str">
        <f>Table_TRM_Fixtures[[#This Row],[No. of Lamps  (TRM Data)]]</f>
        <v>N/A</v>
      </c>
      <c r="N353" t="s">
        <v>186</v>
      </c>
      <c r="O353" t="s">
        <v>186</v>
      </c>
      <c r="P353" t="s">
        <v>187</v>
      </c>
      <c r="S353" t="s">
        <v>888</v>
      </c>
      <c r="T353" t="str">
        <f>Table_TRM_Fixtures[[#This Row],[Fixture code  (TRM Data)]]</f>
        <v>LED301-FIXT</v>
      </c>
      <c r="U353" t="s">
        <v>2883</v>
      </c>
      <c r="V353" t="s">
        <v>185</v>
      </c>
      <c r="W353" t="s">
        <v>3120</v>
      </c>
      <c r="X353" t="s">
        <v>186</v>
      </c>
      <c r="AA353">
        <f>IF(Table_TRM_Fixtures[[#This Row],[Pre-EISA Baseline]]="Nominal", Table_TRM_Fixtures[[#This Row],[Fixture Watts  (TRM Data)]], Table_TRM_Fixtures[[#This Row],[Modified Baseline Fixture Watts]])</f>
        <v>301</v>
      </c>
    </row>
    <row r="354" spans="1:27" x14ac:dyDescent="0.2">
      <c r="A354" t="s">
        <v>891</v>
      </c>
      <c r="B354" t="s">
        <v>4171</v>
      </c>
      <c r="C354" t="s">
        <v>4172</v>
      </c>
      <c r="D354" t="s">
        <v>4173</v>
      </c>
      <c r="E354" t="s">
        <v>187</v>
      </c>
      <c r="F354" t="s">
        <v>186</v>
      </c>
      <c r="G354" t="s">
        <v>186</v>
      </c>
      <c r="H354">
        <v>302</v>
      </c>
      <c r="I354">
        <v>15</v>
      </c>
      <c r="J354" s="110">
        <v>352</v>
      </c>
      <c r="K354" t="s">
        <v>185</v>
      </c>
      <c r="L354">
        <f>IF(Table_TRM_Fixtures[[#This Row],[Technology]]="LED", Table_TRM_Fixtures[[#This Row],[Fixture Watts  (TRM Data)]], Table_TRM_Fixtures[[#This Row],[Lamp Watts  (TRM Data)]])</f>
        <v>302</v>
      </c>
      <c r="M354" t="str">
        <f>Table_TRM_Fixtures[[#This Row],[No. of Lamps  (TRM Data)]]</f>
        <v>N/A</v>
      </c>
      <c r="N354" t="s">
        <v>186</v>
      </c>
      <c r="O354" t="s">
        <v>186</v>
      </c>
      <c r="P354" t="s">
        <v>187</v>
      </c>
      <c r="S354" t="s">
        <v>890</v>
      </c>
      <c r="T354" t="str">
        <f>Table_TRM_Fixtures[[#This Row],[Fixture code  (TRM Data)]]</f>
        <v>LED302-FIXT</v>
      </c>
      <c r="U354" t="s">
        <v>2883</v>
      </c>
      <c r="V354" t="s">
        <v>185</v>
      </c>
      <c r="W354" t="s">
        <v>3120</v>
      </c>
      <c r="X354" t="s">
        <v>186</v>
      </c>
      <c r="AA354">
        <f>IF(Table_TRM_Fixtures[[#This Row],[Pre-EISA Baseline]]="Nominal", Table_TRM_Fixtures[[#This Row],[Fixture Watts  (TRM Data)]], Table_TRM_Fixtures[[#This Row],[Modified Baseline Fixture Watts]])</f>
        <v>302</v>
      </c>
    </row>
    <row r="355" spans="1:27" x14ac:dyDescent="0.2">
      <c r="A355" t="s">
        <v>893</v>
      </c>
      <c r="B355" t="s">
        <v>4174</v>
      </c>
      <c r="C355" t="s">
        <v>4175</v>
      </c>
      <c r="D355" t="s">
        <v>4176</v>
      </c>
      <c r="E355" t="s">
        <v>187</v>
      </c>
      <c r="F355" t="s">
        <v>186</v>
      </c>
      <c r="G355" t="s">
        <v>186</v>
      </c>
      <c r="H355">
        <v>303</v>
      </c>
      <c r="I355">
        <v>15</v>
      </c>
      <c r="J355" s="110">
        <v>353</v>
      </c>
      <c r="K355" t="s">
        <v>185</v>
      </c>
      <c r="L355">
        <f>IF(Table_TRM_Fixtures[[#This Row],[Technology]]="LED", Table_TRM_Fixtures[[#This Row],[Fixture Watts  (TRM Data)]], Table_TRM_Fixtures[[#This Row],[Lamp Watts  (TRM Data)]])</f>
        <v>303</v>
      </c>
      <c r="M355" t="str">
        <f>Table_TRM_Fixtures[[#This Row],[No. of Lamps  (TRM Data)]]</f>
        <v>N/A</v>
      </c>
      <c r="N355" t="s">
        <v>186</v>
      </c>
      <c r="O355" t="s">
        <v>186</v>
      </c>
      <c r="P355" t="s">
        <v>187</v>
      </c>
      <c r="S355" t="s">
        <v>892</v>
      </c>
      <c r="T355" t="str">
        <f>Table_TRM_Fixtures[[#This Row],[Fixture code  (TRM Data)]]</f>
        <v>LED303-FIXT</v>
      </c>
      <c r="U355" t="s">
        <v>2883</v>
      </c>
      <c r="V355" t="s">
        <v>185</v>
      </c>
      <c r="W355" t="s">
        <v>3120</v>
      </c>
      <c r="X355" t="s">
        <v>186</v>
      </c>
      <c r="AA355">
        <f>IF(Table_TRM_Fixtures[[#This Row],[Pre-EISA Baseline]]="Nominal", Table_TRM_Fixtures[[#This Row],[Fixture Watts  (TRM Data)]], Table_TRM_Fixtures[[#This Row],[Modified Baseline Fixture Watts]])</f>
        <v>303</v>
      </c>
    </row>
    <row r="356" spans="1:27" x14ac:dyDescent="0.2">
      <c r="A356" t="s">
        <v>895</v>
      </c>
      <c r="B356" t="s">
        <v>4177</v>
      </c>
      <c r="C356" t="s">
        <v>4178</v>
      </c>
      <c r="D356" t="s">
        <v>4179</v>
      </c>
      <c r="E356" t="s">
        <v>187</v>
      </c>
      <c r="F356" t="s">
        <v>186</v>
      </c>
      <c r="G356" t="s">
        <v>186</v>
      </c>
      <c r="H356">
        <v>304</v>
      </c>
      <c r="I356">
        <v>15</v>
      </c>
      <c r="J356" s="110">
        <v>354</v>
      </c>
      <c r="K356" t="s">
        <v>185</v>
      </c>
      <c r="L356">
        <f>IF(Table_TRM_Fixtures[[#This Row],[Technology]]="LED", Table_TRM_Fixtures[[#This Row],[Fixture Watts  (TRM Data)]], Table_TRM_Fixtures[[#This Row],[Lamp Watts  (TRM Data)]])</f>
        <v>304</v>
      </c>
      <c r="M356" t="str">
        <f>Table_TRM_Fixtures[[#This Row],[No. of Lamps  (TRM Data)]]</f>
        <v>N/A</v>
      </c>
      <c r="N356" t="s">
        <v>186</v>
      </c>
      <c r="O356" t="s">
        <v>186</v>
      </c>
      <c r="P356" t="s">
        <v>187</v>
      </c>
      <c r="S356" t="s">
        <v>894</v>
      </c>
      <c r="T356" t="str">
        <f>Table_TRM_Fixtures[[#This Row],[Fixture code  (TRM Data)]]</f>
        <v>LED304-FIXT</v>
      </c>
      <c r="U356" t="s">
        <v>2883</v>
      </c>
      <c r="V356" t="s">
        <v>185</v>
      </c>
      <c r="W356" t="s">
        <v>3120</v>
      </c>
      <c r="X356" t="s">
        <v>186</v>
      </c>
      <c r="AA356">
        <f>IF(Table_TRM_Fixtures[[#This Row],[Pre-EISA Baseline]]="Nominal", Table_TRM_Fixtures[[#This Row],[Fixture Watts  (TRM Data)]], Table_TRM_Fixtures[[#This Row],[Modified Baseline Fixture Watts]])</f>
        <v>304</v>
      </c>
    </row>
    <row r="357" spans="1:27" x14ac:dyDescent="0.2">
      <c r="A357" t="s">
        <v>897</v>
      </c>
      <c r="B357" t="s">
        <v>4180</v>
      </c>
      <c r="C357" t="s">
        <v>4181</v>
      </c>
      <c r="D357" t="s">
        <v>4182</v>
      </c>
      <c r="E357" t="s">
        <v>187</v>
      </c>
      <c r="F357" t="s">
        <v>186</v>
      </c>
      <c r="G357" t="s">
        <v>186</v>
      </c>
      <c r="H357">
        <v>305</v>
      </c>
      <c r="I357">
        <v>15</v>
      </c>
      <c r="J357" s="110">
        <v>355</v>
      </c>
      <c r="K357" t="s">
        <v>185</v>
      </c>
      <c r="L357">
        <f>IF(Table_TRM_Fixtures[[#This Row],[Technology]]="LED", Table_TRM_Fixtures[[#This Row],[Fixture Watts  (TRM Data)]], Table_TRM_Fixtures[[#This Row],[Lamp Watts  (TRM Data)]])</f>
        <v>305</v>
      </c>
      <c r="M357" t="str">
        <f>Table_TRM_Fixtures[[#This Row],[No. of Lamps  (TRM Data)]]</f>
        <v>N/A</v>
      </c>
      <c r="N357" t="s">
        <v>186</v>
      </c>
      <c r="O357" t="s">
        <v>186</v>
      </c>
      <c r="P357" t="s">
        <v>187</v>
      </c>
      <c r="S357" t="s">
        <v>896</v>
      </c>
      <c r="T357" t="str">
        <f>Table_TRM_Fixtures[[#This Row],[Fixture code  (TRM Data)]]</f>
        <v>LED305-FIXT</v>
      </c>
      <c r="U357" t="s">
        <v>2883</v>
      </c>
      <c r="V357" t="s">
        <v>185</v>
      </c>
      <c r="W357" t="s">
        <v>3120</v>
      </c>
      <c r="X357" t="s">
        <v>186</v>
      </c>
      <c r="AA357">
        <f>IF(Table_TRM_Fixtures[[#This Row],[Pre-EISA Baseline]]="Nominal", Table_TRM_Fixtures[[#This Row],[Fixture Watts  (TRM Data)]], Table_TRM_Fixtures[[#This Row],[Modified Baseline Fixture Watts]])</f>
        <v>305</v>
      </c>
    </row>
    <row r="358" spans="1:27" x14ac:dyDescent="0.2">
      <c r="A358" t="s">
        <v>899</v>
      </c>
      <c r="B358" t="s">
        <v>4183</v>
      </c>
      <c r="C358" t="s">
        <v>4184</v>
      </c>
      <c r="D358" t="s">
        <v>4185</v>
      </c>
      <c r="E358" t="s">
        <v>187</v>
      </c>
      <c r="F358" t="s">
        <v>186</v>
      </c>
      <c r="G358" t="s">
        <v>186</v>
      </c>
      <c r="H358">
        <v>306</v>
      </c>
      <c r="I358">
        <v>15</v>
      </c>
      <c r="J358" s="110">
        <v>356</v>
      </c>
      <c r="K358" t="s">
        <v>185</v>
      </c>
      <c r="L358">
        <f>IF(Table_TRM_Fixtures[[#This Row],[Technology]]="LED", Table_TRM_Fixtures[[#This Row],[Fixture Watts  (TRM Data)]], Table_TRM_Fixtures[[#This Row],[Lamp Watts  (TRM Data)]])</f>
        <v>306</v>
      </c>
      <c r="M358" t="str">
        <f>Table_TRM_Fixtures[[#This Row],[No. of Lamps  (TRM Data)]]</f>
        <v>N/A</v>
      </c>
      <c r="N358" t="s">
        <v>186</v>
      </c>
      <c r="O358" t="s">
        <v>186</v>
      </c>
      <c r="P358" t="s">
        <v>187</v>
      </c>
      <c r="S358" t="s">
        <v>898</v>
      </c>
      <c r="T358" t="str">
        <f>Table_TRM_Fixtures[[#This Row],[Fixture code  (TRM Data)]]</f>
        <v>LED306-FIXT</v>
      </c>
      <c r="U358" t="s">
        <v>2883</v>
      </c>
      <c r="V358" t="s">
        <v>185</v>
      </c>
      <c r="W358" t="s">
        <v>3120</v>
      </c>
      <c r="X358" t="s">
        <v>186</v>
      </c>
      <c r="AA358">
        <f>IF(Table_TRM_Fixtures[[#This Row],[Pre-EISA Baseline]]="Nominal", Table_TRM_Fixtures[[#This Row],[Fixture Watts  (TRM Data)]], Table_TRM_Fixtures[[#This Row],[Modified Baseline Fixture Watts]])</f>
        <v>306</v>
      </c>
    </row>
    <row r="359" spans="1:27" x14ac:dyDescent="0.2">
      <c r="A359" t="s">
        <v>901</v>
      </c>
      <c r="B359" t="s">
        <v>4186</v>
      </c>
      <c r="C359" t="s">
        <v>4187</v>
      </c>
      <c r="D359" t="s">
        <v>4188</v>
      </c>
      <c r="E359" t="s">
        <v>187</v>
      </c>
      <c r="F359" t="s">
        <v>186</v>
      </c>
      <c r="G359" t="s">
        <v>186</v>
      </c>
      <c r="H359">
        <v>307</v>
      </c>
      <c r="I359">
        <v>15</v>
      </c>
      <c r="J359" s="110">
        <v>357</v>
      </c>
      <c r="K359" t="s">
        <v>185</v>
      </c>
      <c r="L359">
        <f>IF(Table_TRM_Fixtures[[#This Row],[Technology]]="LED", Table_TRM_Fixtures[[#This Row],[Fixture Watts  (TRM Data)]], Table_TRM_Fixtures[[#This Row],[Lamp Watts  (TRM Data)]])</f>
        <v>307</v>
      </c>
      <c r="M359" t="str">
        <f>Table_TRM_Fixtures[[#This Row],[No. of Lamps  (TRM Data)]]</f>
        <v>N/A</v>
      </c>
      <c r="N359" t="s">
        <v>186</v>
      </c>
      <c r="O359" t="s">
        <v>186</v>
      </c>
      <c r="P359" t="s">
        <v>187</v>
      </c>
      <c r="S359" t="s">
        <v>900</v>
      </c>
      <c r="T359" t="str">
        <f>Table_TRM_Fixtures[[#This Row],[Fixture code  (TRM Data)]]</f>
        <v>LED307-FIXT</v>
      </c>
      <c r="U359" t="s">
        <v>2883</v>
      </c>
      <c r="V359" t="s">
        <v>185</v>
      </c>
      <c r="W359" t="s">
        <v>3120</v>
      </c>
      <c r="X359" t="s">
        <v>186</v>
      </c>
      <c r="AA359">
        <f>IF(Table_TRM_Fixtures[[#This Row],[Pre-EISA Baseline]]="Nominal", Table_TRM_Fixtures[[#This Row],[Fixture Watts  (TRM Data)]], Table_TRM_Fixtures[[#This Row],[Modified Baseline Fixture Watts]])</f>
        <v>307</v>
      </c>
    </row>
    <row r="360" spans="1:27" x14ac:dyDescent="0.2">
      <c r="A360" t="s">
        <v>903</v>
      </c>
      <c r="B360" t="s">
        <v>4189</v>
      </c>
      <c r="C360" t="s">
        <v>4190</v>
      </c>
      <c r="D360" t="s">
        <v>4191</v>
      </c>
      <c r="E360" t="s">
        <v>187</v>
      </c>
      <c r="F360" t="s">
        <v>186</v>
      </c>
      <c r="G360" t="s">
        <v>186</v>
      </c>
      <c r="H360">
        <v>308</v>
      </c>
      <c r="I360">
        <v>15</v>
      </c>
      <c r="J360" s="110">
        <v>358</v>
      </c>
      <c r="K360" t="s">
        <v>185</v>
      </c>
      <c r="L360">
        <f>IF(Table_TRM_Fixtures[[#This Row],[Technology]]="LED", Table_TRM_Fixtures[[#This Row],[Fixture Watts  (TRM Data)]], Table_TRM_Fixtures[[#This Row],[Lamp Watts  (TRM Data)]])</f>
        <v>308</v>
      </c>
      <c r="M360" t="str">
        <f>Table_TRM_Fixtures[[#This Row],[No. of Lamps  (TRM Data)]]</f>
        <v>N/A</v>
      </c>
      <c r="N360" t="s">
        <v>186</v>
      </c>
      <c r="O360" t="s">
        <v>186</v>
      </c>
      <c r="P360" t="s">
        <v>187</v>
      </c>
      <c r="S360" t="s">
        <v>902</v>
      </c>
      <c r="T360" t="str">
        <f>Table_TRM_Fixtures[[#This Row],[Fixture code  (TRM Data)]]</f>
        <v>LED308-FIXT</v>
      </c>
      <c r="U360" t="s">
        <v>2883</v>
      </c>
      <c r="V360" t="s">
        <v>185</v>
      </c>
      <c r="W360" t="s">
        <v>3120</v>
      </c>
      <c r="X360" t="s">
        <v>186</v>
      </c>
      <c r="AA360">
        <f>IF(Table_TRM_Fixtures[[#This Row],[Pre-EISA Baseline]]="Nominal", Table_TRM_Fixtures[[#This Row],[Fixture Watts  (TRM Data)]], Table_TRM_Fixtures[[#This Row],[Modified Baseline Fixture Watts]])</f>
        <v>308</v>
      </c>
    </row>
    <row r="361" spans="1:27" x14ac:dyDescent="0.2">
      <c r="A361" t="s">
        <v>905</v>
      </c>
      <c r="B361" t="s">
        <v>4192</v>
      </c>
      <c r="C361" t="s">
        <v>4193</v>
      </c>
      <c r="D361" t="s">
        <v>4194</v>
      </c>
      <c r="E361" t="s">
        <v>187</v>
      </c>
      <c r="F361" t="s">
        <v>186</v>
      </c>
      <c r="G361" t="s">
        <v>186</v>
      </c>
      <c r="H361">
        <v>309</v>
      </c>
      <c r="I361">
        <v>15</v>
      </c>
      <c r="J361" s="110">
        <v>359</v>
      </c>
      <c r="K361" t="s">
        <v>185</v>
      </c>
      <c r="L361">
        <f>IF(Table_TRM_Fixtures[[#This Row],[Technology]]="LED", Table_TRM_Fixtures[[#This Row],[Fixture Watts  (TRM Data)]], Table_TRM_Fixtures[[#This Row],[Lamp Watts  (TRM Data)]])</f>
        <v>309</v>
      </c>
      <c r="M361" t="str">
        <f>Table_TRM_Fixtures[[#This Row],[No. of Lamps  (TRM Data)]]</f>
        <v>N/A</v>
      </c>
      <c r="N361" t="s">
        <v>186</v>
      </c>
      <c r="O361" t="s">
        <v>186</v>
      </c>
      <c r="P361" t="s">
        <v>187</v>
      </c>
      <c r="S361" t="s">
        <v>904</v>
      </c>
      <c r="T361" t="str">
        <f>Table_TRM_Fixtures[[#This Row],[Fixture code  (TRM Data)]]</f>
        <v>LED309-FIXT</v>
      </c>
      <c r="U361" t="s">
        <v>2883</v>
      </c>
      <c r="V361" t="s">
        <v>185</v>
      </c>
      <c r="W361" t="s">
        <v>3120</v>
      </c>
      <c r="X361" t="s">
        <v>186</v>
      </c>
      <c r="AA361">
        <f>IF(Table_TRM_Fixtures[[#This Row],[Pre-EISA Baseline]]="Nominal", Table_TRM_Fixtures[[#This Row],[Fixture Watts  (TRM Data)]], Table_TRM_Fixtures[[#This Row],[Modified Baseline Fixture Watts]])</f>
        <v>309</v>
      </c>
    </row>
    <row r="362" spans="1:27" x14ac:dyDescent="0.2">
      <c r="A362" t="s">
        <v>907</v>
      </c>
      <c r="B362" t="s">
        <v>4195</v>
      </c>
      <c r="C362" t="s">
        <v>4196</v>
      </c>
      <c r="D362" t="s">
        <v>4197</v>
      </c>
      <c r="E362" t="s">
        <v>187</v>
      </c>
      <c r="F362" t="s">
        <v>186</v>
      </c>
      <c r="G362" t="s">
        <v>186</v>
      </c>
      <c r="H362">
        <v>310</v>
      </c>
      <c r="I362">
        <v>15</v>
      </c>
      <c r="J362" s="110">
        <v>360</v>
      </c>
      <c r="K362" t="s">
        <v>185</v>
      </c>
      <c r="L362">
        <f>IF(Table_TRM_Fixtures[[#This Row],[Technology]]="LED", Table_TRM_Fixtures[[#This Row],[Fixture Watts  (TRM Data)]], Table_TRM_Fixtures[[#This Row],[Lamp Watts  (TRM Data)]])</f>
        <v>310</v>
      </c>
      <c r="M362" t="str">
        <f>Table_TRM_Fixtures[[#This Row],[No. of Lamps  (TRM Data)]]</f>
        <v>N/A</v>
      </c>
      <c r="N362" t="s">
        <v>186</v>
      </c>
      <c r="O362" t="s">
        <v>186</v>
      </c>
      <c r="P362" t="s">
        <v>187</v>
      </c>
      <c r="S362" t="s">
        <v>906</v>
      </c>
      <c r="T362" t="str">
        <f>Table_TRM_Fixtures[[#This Row],[Fixture code  (TRM Data)]]</f>
        <v>LED310-FIXT</v>
      </c>
      <c r="U362" t="s">
        <v>2883</v>
      </c>
      <c r="V362" t="s">
        <v>185</v>
      </c>
      <c r="W362" t="s">
        <v>3120</v>
      </c>
      <c r="X362" t="s">
        <v>186</v>
      </c>
      <c r="AA362">
        <f>IF(Table_TRM_Fixtures[[#This Row],[Pre-EISA Baseline]]="Nominal", Table_TRM_Fixtures[[#This Row],[Fixture Watts  (TRM Data)]], Table_TRM_Fixtures[[#This Row],[Modified Baseline Fixture Watts]])</f>
        <v>310</v>
      </c>
    </row>
    <row r="363" spans="1:27" x14ac:dyDescent="0.2">
      <c r="A363" t="s">
        <v>909</v>
      </c>
      <c r="B363" t="s">
        <v>4198</v>
      </c>
      <c r="C363" t="s">
        <v>4199</v>
      </c>
      <c r="D363" t="s">
        <v>4200</v>
      </c>
      <c r="E363" t="s">
        <v>187</v>
      </c>
      <c r="F363" t="s">
        <v>186</v>
      </c>
      <c r="G363" t="s">
        <v>186</v>
      </c>
      <c r="H363">
        <v>311</v>
      </c>
      <c r="I363">
        <v>15</v>
      </c>
      <c r="J363" s="110">
        <v>361</v>
      </c>
      <c r="K363" t="s">
        <v>185</v>
      </c>
      <c r="L363">
        <f>IF(Table_TRM_Fixtures[[#This Row],[Technology]]="LED", Table_TRM_Fixtures[[#This Row],[Fixture Watts  (TRM Data)]], Table_TRM_Fixtures[[#This Row],[Lamp Watts  (TRM Data)]])</f>
        <v>311</v>
      </c>
      <c r="M363" t="str">
        <f>Table_TRM_Fixtures[[#This Row],[No. of Lamps  (TRM Data)]]</f>
        <v>N/A</v>
      </c>
      <c r="N363" t="s">
        <v>186</v>
      </c>
      <c r="O363" t="s">
        <v>186</v>
      </c>
      <c r="P363" t="s">
        <v>187</v>
      </c>
      <c r="S363" t="s">
        <v>908</v>
      </c>
      <c r="T363" t="str">
        <f>Table_TRM_Fixtures[[#This Row],[Fixture code  (TRM Data)]]</f>
        <v>LED311-FIXT</v>
      </c>
      <c r="U363" t="s">
        <v>2883</v>
      </c>
      <c r="V363" t="s">
        <v>185</v>
      </c>
      <c r="W363" t="s">
        <v>3120</v>
      </c>
      <c r="X363" t="s">
        <v>186</v>
      </c>
      <c r="AA363">
        <f>IF(Table_TRM_Fixtures[[#This Row],[Pre-EISA Baseline]]="Nominal", Table_TRM_Fixtures[[#This Row],[Fixture Watts  (TRM Data)]], Table_TRM_Fixtures[[#This Row],[Modified Baseline Fixture Watts]])</f>
        <v>311</v>
      </c>
    </row>
    <row r="364" spans="1:27" x14ac:dyDescent="0.2">
      <c r="A364" t="s">
        <v>911</v>
      </c>
      <c r="B364" t="s">
        <v>4201</v>
      </c>
      <c r="C364" t="s">
        <v>4202</v>
      </c>
      <c r="D364" t="s">
        <v>4203</v>
      </c>
      <c r="E364" t="s">
        <v>187</v>
      </c>
      <c r="F364" t="s">
        <v>186</v>
      </c>
      <c r="G364" t="s">
        <v>186</v>
      </c>
      <c r="H364">
        <v>312</v>
      </c>
      <c r="I364">
        <v>15</v>
      </c>
      <c r="J364" s="110">
        <v>362</v>
      </c>
      <c r="K364" t="s">
        <v>185</v>
      </c>
      <c r="L364">
        <f>IF(Table_TRM_Fixtures[[#This Row],[Technology]]="LED", Table_TRM_Fixtures[[#This Row],[Fixture Watts  (TRM Data)]], Table_TRM_Fixtures[[#This Row],[Lamp Watts  (TRM Data)]])</f>
        <v>312</v>
      </c>
      <c r="M364" t="str">
        <f>Table_TRM_Fixtures[[#This Row],[No. of Lamps  (TRM Data)]]</f>
        <v>N/A</v>
      </c>
      <c r="N364" t="s">
        <v>186</v>
      </c>
      <c r="O364" t="s">
        <v>186</v>
      </c>
      <c r="P364" t="s">
        <v>187</v>
      </c>
      <c r="S364" t="s">
        <v>910</v>
      </c>
      <c r="T364" t="str">
        <f>Table_TRM_Fixtures[[#This Row],[Fixture code  (TRM Data)]]</f>
        <v>LED312-FIXT</v>
      </c>
      <c r="U364" t="s">
        <v>2883</v>
      </c>
      <c r="V364" t="s">
        <v>185</v>
      </c>
      <c r="W364" t="s">
        <v>3120</v>
      </c>
      <c r="X364" t="s">
        <v>186</v>
      </c>
      <c r="AA364">
        <f>IF(Table_TRM_Fixtures[[#This Row],[Pre-EISA Baseline]]="Nominal", Table_TRM_Fixtures[[#This Row],[Fixture Watts  (TRM Data)]], Table_TRM_Fixtures[[#This Row],[Modified Baseline Fixture Watts]])</f>
        <v>312</v>
      </c>
    </row>
    <row r="365" spans="1:27" x14ac:dyDescent="0.2">
      <c r="A365" t="s">
        <v>913</v>
      </c>
      <c r="B365" t="s">
        <v>4204</v>
      </c>
      <c r="C365" t="s">
        <v>4205</v>
      </c>
      <c r="D365" t="s">
        <v>4206</v>
      </c>
      <c r="E365" t="s">
        <v>187</v>
      </c>
      <c r="F365" t="s">
        <v>186</v>
      </c>
      <c r="G365" t="s">
        <v>186</v>
      </c>
      <c r="H365">
        <v>313</v>
      </c>
      <c r="I365">
        <v>15</v>
      </c>
      <c r="J365" s="110">
        <v>363</v>
      </c>
      <c r="K365" t="s">
        <v>185</v>
      </c>
      <c r="L365">
        <f>IF(Table_TRM_Fixtures[[#This Row],[Technology]]="LED", Table_TRM_Fixtures[[#This Row],[Fixture Watts  (TRM Data)]], Table_TRM_Fixtures[[#This Row],[Lamp Watts  (TRM Data)]])</f>
        <v>313</v>
      </c>
      <c r="M365" t="str">
        <f>Table_TRM_Fixtures[[#This Row],[No. of Lamps  (TRM Data)]]</f>
        <v>N/A</v>
      </c>
      <c r="N365" t="s">
        <v>186</v>
      </c>
      <c r="O365" t="s">
        <v>186</v>
      </c>
      <c r="P365" t="s">
        <v>187</v>
      </c>
      <c r="S365" t="s">
        <v>912</v>
      </c>
      <c r="T365" t="str">
        <f>Table_TRM_Fixtures[[#This Row],[Fixture code  (TRM Data)]]</f>
        <v>LED313-FIXT</v>
      </c>
      <c r="U365" t="s">
        <v>2883</v>
      </c>
      <c r="V365" t="s">
        <v>185</v>
      </c>
      <c r="W365" t="s">
        <v>3120</v>
      </c>
      <c r="X365" t="s">
        <v>186</v>
      </c>
      <c r="AA365">
        <f>IF(Table_TRM_Fixtures[[#This Row],[Pre-EISA Baseline]]="Nominal", Table_TRM_Fixtures[[#This Row],[Fixture Watts  (TRM Data)]], Table_TRM_Fixtures[[#This Row],[Modified Baseline Fixture Watts]])</f>
        <v>313</v>
      </c>
    </row>
    <row r="366" spans="1:27" x14ac:dyDescent="0.2">
      <c r="A366" t="s">
        <v>915</v>
      </c>
      <c r="B366" t="s">
        <v>4207</v>
      </c>
      <c r="C366" t="s">
        <v>4208</v>
      </c>
      <c r="D366" t="s">
        <v>4209</v>
      </c>
      <c r="E366" t="s">
        <v>187</v>
      </c>
      <c r="F366" t="s">
        <v>186</v>
      </c>
      <c r="G366" t="s">
        <v>186</v>
      </c>
      <c r="H366">
        <v>314</v>
      </c>
      <c r="I366">
        <v>15</v>
      </c>
      <c r="J366" s="110">
        <v>364</v>
      </c>
      <c r="K366" t="s">
        <v>185</v>
      </c>
      <c r="L366">
        <f>IF(Table_TRM_Fixtures[[#This Row],[Technology]]="LED", Table_TRM_Fixtures[[#This Row],[Fixture Watts  (TRM Data)]], Table_TRM_Fixtures[[#This Row],[Lamp Watts  (TRM Data)]])</f>
        <v>314</v>
      </c>
      <c r="M366" t="str">
        <f>Table_TRM_Fixtures[[#This Row],[No. of Lamps  (TRM Data)]]</f>
        <v>N/A</v>
      </c>
      <c r="N366" t="s">
        <v>186</v>
      </c>
      <c r="O366" t="s">
        <v>186</v>
      </c>
      <c r="P366" t="s">
        <v>187</v>
      </c>
      <c r="S366" t="s">
        <v>914</v>
      </c>
      <c r="T366" t="str">
        <f>Table_TRM_Fixtures[[#This Row],[Fixture code  (TRM Data)]]</f>
        <v>LED314-FIXT</v>
      </c>
      <c r="U366" t="s">
        <v>2883</v>
      </c>
      <c r="V366" t="s">
        <v>185</v>
      </c>
      <c r="W366" t="s">
        <v>3120</v>
      </c>
      <c r="X366" t="s">
        <v>186</v>
      </c>
      <c r="AA366">
        <f>IF(Table_TRM_Fixtures[[#This Row],[Pre-EISA Baseline]]="Nominal", Table_TRM_Fixtures[[#This Row],[Fixture Watts  (TRM Data)]], Table_TRM_Fixtures[[#This Row],[Modified Baseline Fixture Watts]])</f>
        <v>314</v>
      </c>
    </row>
    <row r="367" spans="1:27" x14ac:dyDescent="0.2">
      <c r="A367" t="s">
        <v>917</v>
      </c>
      <c r="B367" t="s">
        <v>4210</v>
      </c>
      <c r="C367" t="s">
        <v>4211</v>
      </c>
      <c r="D367" t="s">
        <v>4212</v>
      </c>
      <c r="E367" t="s">
        <v>187</v>
      </c>
      <c r="F367" t="s">
        <v>186</v>
      </c>
      <c r="G367" t="s">
        <v>186</v>
      </c>
      <c r="H367">
        <v>315</v>
      </c>
      <c r="I367">
        <v>15</v>
      </c>
      <c r="J367" s="110">
        <v>365</v>
      </c>
      <c r="K367" t="s">
        <v>185</v>
      </c>
      <c r="L367">
        <f>IF(Table_TRM_Fixtures[[#This Row],[Technology]]="LED", Table_TRM_Fixtures[[#This Row],[Fixture Watts  (TRM Data)]], Table_TRM_Fixtures[[#This Row],[Lamp Watts  (TRM Data)]])</f>
        <v>315</v>
      </c>
      <c r="M367" t="str">
        <f>Table_TRM_Fixtures[[#This Row],[No. of Lamps  (TRM Data)]]</f>
        <v>N/A</v>
      </c>
      <c r="N367" t="s">
        <v>186</v>
      </c>
      <c r="O367" t="s">
        <v>186</v>
      </c>
      <c r="P367" t="s">
        <v>187</v>
      </c>
      <c r="S367" t="s">
        <v>916</v>
      </c>
      <c r="T367" t="str">
        <f>Table_TRM_Fixtures[[#This Row],[Fixture code  (TRM Data)]]</f>
        <v>LED315-FIXT</v>
      </c>
      <c r="U367" t="s">
        <v>2883</v>
      </c>
      <c r="V367" t="s">
        <v>185</v>
      </c>
      <c r="W367" t="s">
        <v>3120</v>
      </c>
      <c r="X367" t="s">
        <v>186</v>
      </c>
      <c r="AA367">
        <f>IF(Table_TRM_Fixtures[[#This Row],[Pre-EISA Baseline]]="Nominal", Table_TRM_Fixtures[[#This Row],[Fixture Watts  (TRM Data)]], Table_TRM_Fixtures[[#This Row],[Modified Baseline Fixture Watts]])</f>
        <v>315</v>
      </c>
    </row>
    <row r="368" spans="1:27" x14ac:dyDescent="0.2">
      <c r="A368" t="s">
        <v>919</v>
      </c>
      <c r="B368" t="s">
        <v>4213</v>
      </c>
      <c r="C368" t="s">
        <v>4214</v>
      </c>
      <c r="D368" t="s">
        <v>4215</v>
      </c>
      <c r="E368" t="s">
        <v>187</v>
      </c>
      <c r="F368" t="s">
        <v>186</v>
      </c>
      <c r="G368" t="s">
        <v>186</v>
      </c>
      <c r="H368">
        <v>316</v>
      </c>
      <c r="I368">
        <v>15</v>
      </c>
      <c r="J368" s="110">
        <v>366</v>
      </c>
      <c r="K368" t="s">
        <v>185</v>
      </c>
      <c r="L368">
        <f>IF(Table_TRM_Fixtures[[#This Row],[Technology]]="LED", Table_TRM_Fixtures[[#This Row],[Fixture Watts  (TRM Data)]], Table_TRM_Fixtures[[#This Row],[Lamp Watts  (TRM Data)]])</f>
        <v>316</v>
      </c>
      <c r="M368" t="str">
        <f>Table_TRM_Fixtures[[#This Row],[No. of Lamps  (TRM Data)]]</f>
        <v>N/A</v>
      </c>
      <c r="N368" t="s">
        <v>186</v>
      </c>
      <c r="O368" t="s">
        <v>186</v>
      </c>
      <c r="P368" t="s">
        <v>187</v>
      </c>
      <c r="S368" t="s">
        <v>918</v>
      </c>
      <c r="T368" t="str">
        <f>Table_TRM_Fixtures[[#This Row],[Fixture code  (TRM Data)]]</f>
        <v>LED316-FIXT</v>
      </c>
      <c r="U368" t="s">
        <v>2883</v>
      </c>
      <c r="V368" t="s">
        <v>185</v>
      </c>
      <c r="W368" t="s">
        <v>3120</v>
      </c>
      <c r="X368" t="s">
        <v>186</v>
      </c>
      <c r="AA368">
        <f>IF(Table_TRM_Fixtures[[#This Row],[Pre-EISA Baseline]]="Nominal", Table_TRM_Fixtures[[#This Row],[Fixture Watts  (TRM Data)]], Table_TRM_Fixtures[[#This Row],[Modified Baseline Fixture Watts]])</f>
        <v>316</v>
      </c>
    </row>
    <row r="369" spans="1:27" x14ac:dyDescent="0.2">
      <c r="A369" t="s">
        <v>921</v>
      </c>
      <c r="B369" t="s">
        <v>4216</v>
      </c>
      <c r="C369" t="s">
        <v>4217</v>
      </c>
      <c r="D369" t="s">
        <v>4218</v>
      </c>
      <c r="E369" t="s">
        <v>187</v>
      </c>
      <c r="F369" t="s">
        <v>186</v>
      </c>
      <c r="G369" t="s">
        <v>186</v>
      </c>
      <c r="H369">
        <v>317</v>
      </c>
      <c r="I369">
        <v>15</v>
      </c>
      <c r="J369" s="110">
        <v>367</v>
      </c>
      <c r="K369" t="s">
        <v>185</v>
      </c>
      <c r="L369">
        <f>IF(Table_TRM_Fixtures[[#This Row],[Technology]]="LED", Table_TRM_Fixtures[[#This Row],[Fixture Watts  (TRM Data)]], Table_TRM_Fixtures[[#This Row],[Lamp Watts  (TRM Data)]])</f>
        <v>317</v>
      </c>
      <c r="M369" t="str">
        <f>Table_TRM_Fixtures[[#This Row],[No. of Lamps  (TRM Data)]]</f>
        <v>N/A</v>
      </c>
      <c r="N369" t="s">
        <v>186</v>
      </c>
      <c r="O369" t="s">
        <v>186</v>
      </c>
      <c r="P369" t="s">
        <v>187</v>
      </c>
      <c r="S369" t="s">
        <v>920</v>
      </c>
      <c r="T369" t="str">
        <f>Table_TRM_Fixtures[[#This Row],[Fixture code  (TRM Data)]]</f>
        <v>LED317-FIXT</v>
      </c>
      <c r="U369" t="s">
        <v>2883</v>
      </c>
      <c r="V369" t="s">
        <v>185</v>
      </c>
      <c r="W369" t="s">
        <v>3120</v>
      </c>
      <c r="X369" t="s">
        <v>186</v>
      </c>
      <c r="AA369">
        <f>IF(Table_TRM_Fixtures[[#This Row],[Pre-EISA Baseline]]="Nominal", Table_TRM_Fixtures[[#This Row],[Fixture Watts  (TRM Data)]], Table_TRM_Fixtures[[#This Row],[Modified Baseline Fixture Watts]])</f>
        <v>317</v>
      </c>
    </row>
    <row r="370" spans="1:27" x14ac:dyDescent="0.2">
      <c r="A370" t="s">
        <v>923</v>
      </c>
      <c r="B370" t="s">
        <v>4219</v>
      </c>
      <c r="C370" t="s">
        <v>4220</v>
      </c>
      <c r="D370" t="s">
        <v>4221</v>
      </c>
      <c r="E370" t="s">
        <v>187</v>
      </c>
      <c r="F370" t="s">
        <v>186</v>
      </c>
      <c r="G370" t="s">
        <v>186</v>
      </c>
      <c r="H370">
        <v>318</v>
      </c>
      <c r="I370">
        <v>15</v>
      </c>
      <c r="J370" s="110">
        <v>368</v>
      </c>
      <c r="K370" t="s">
        <v>185</v>
      </c>
      <c r="L370">
        <f>IF(Table_TRM_Fixtures[[#This Row],[Technology]]="LED", Table_TRM_Fixtures[[#This Row],[Fixture Watts  (TRM Data)]], Table_TRM_Fixtures[[#This Row],[Lamp Watts  (TRM Data)]])</f>
        <v>318</v>
      </c>
      <c r="M370" t="str">
        <f>Table_TRM_Fixtures[[#This Row],[No. of Lamps  (TRM Data)]]</f>
        <v>N/A</v>
      </c>
      <c r="N370" t="s">
        <v>186</v>
      </c>
      <c r="O370" t="s">
        <v>186</v>
      </c>
      <c r="P370" t="s">
        <v>187</v>
      </c>
      <c r="S370" t="s">
        <v>922</v>
      </c>
      <c r="T370" t="str">
        <f>Table_TRM_Fixtures[[#This Row],[Fixture code  (TRM Data)]]</f>
        <v>LED318-FIXT</v>
      </c>
      <c r="U370" t="s">
        <v>2883</v>
      </c>
      <c r="V370" t="s">
        <v>185</v>
      </c>
      <c r="W370" t="s">
        <v>3120</v>
      </c>
      <c r="X370" t="s">
        <v>186</v>
      </c>
      <c r="AA370">
        <f>IF(Table_TRM_Fixtures[[#This Row],[Pre-EISA Baseline]]="Nominal", Table_TRM_Fixtures[[#This Row],[Fixture Watts  (TRM Data)]], Table_TRM_Fixtures[[#This Row],[Modified Baseline Fixture Watts]])</f>
        <v>318</v>
      </c>
    </row>
    <row r="371" spans="1:27" x14ac:dyDescent="0.2">
      <c r="A371" t="s">
        <v>925</v>
      </c>
      <c r="B371" t="s">
        <v>4222</v>
      </c>
      <c r="C371" t="s">
        <v>4223</v>
      </c>
      <c r="D371" t="s">
        <v>4224</v>
      </c>
      <c r="E371" t="s">
        <v>187</v>
      </c>
      <c r="F371" t="s">
        <v>186</v>
      </c>
      <c r="G371" t="s">
        <v>186</v>
      </c>
      <c r="H371">
        <v>319</v>
      </c>
      <c r="I371">
        <v>15</v>
      </c>
      <c r="J371" s="110">
        <v>369</v>
      </c>
      <c r="K371" t="s">
        <v>185</v>
      </c>
      <c r="L371">
        <f>IF(Table_TRM_Fixtures[[#This Row],[Technology]]="LED", Table_TRM_Fixtures[[#This Row],[Fixture Watts  (TRM Data)]], Table_TRM_Fixtures[[#This Row],[Lamp Watts  (TRM Data)]])</f>
        <v>319</v>
      </c>
      <c r="M371" t="str">
        <f>Table_TRM_Fixtures[[#This Row],[No. of Lamps  (TRM Data)]]</f>
        <v>N/A</v>
      </c>
      <c r="N371" t="s">
        <v>186</v>
      </c>
      <c r="O371" t="s">
        <v>186</v>
      </c>
      <c r="P371" t="s">
        <v>187</v>
      </c>
      <c r="S371" t="s">
        <v>924</v>
      </c>
      <c r="T371" t="str">
        <f>Table_TRM_Fixtures[[#This Row],[Fixture code  (TRM Data)]]</f>
        <v>LED319-FIXT</v>
      </c>
      <c r="U371" t="s">
        <v>2883</v>
      </c>
      <c r="V371" t="s">
        <v>185</v>
      </c>
      <c r="W371" t="s">
        <v>3120</v>
      </c>
      <c r="X371" t="s">
        <v>186</v>
      </c>
      <c r="AA371">
        <f>IF(Table_TRM_Fixtures[[#This Row],[Pre-EISA Baseline]]="Nominal", Table_TRM_Fixtures[[#This Row],[Fixture Watts  (TRM Data)]], Table_TRM_Fixtures[[#This Row],[Modified Baseline Fixture Watts]])</f>
        <v>319</v>
      </c>
    </row>
    <row r="372" spans="1:27" x14ac:dyDescent="0.2">
      <c r="A372" t="s">
        <v>927</v>
      </c>
      <c r="B372" t="s">
        <v>4225</v>
      </c>
      <c r="C372" t="s">
        <v>4226</v>
      </c>
      <c r="D372" t="s">
        <v>4227</v>
      </c>
      <c r="E372" t="s">
        <v>187</v>
      </c>
      <c r="F372" t="s">
        <v>186</v>
      </c>
      <c r="G372" t="s">
        <v>186</v>
      </c>
      <c r="H372">
        <v>320</v>
      </c>
      <c r="I372">
        <v>15</v>
      </c>
      <c r="J372" s="110">
        <v>370</v>
      </c>
      <c r="K372" t="s">
        <v>185</v>
      </c>
      <c r="L372">
        <f>IF(Table_TRM_Fixtures[[#This Row],[Technology]]="LED", Table_TRM_Fixtures[[#This Row],[Fixture Watts  (TRM Data)]], Table_TRM_Fixtures[[#This Row],[Lamp Watts  (TRM Data)]])</f>
        <v>320</v>
      </c>
      <c r="M372" t="str">
        <f>Table_TRM_Fixtures[[#This Row],[No. of Lamps  (TRM Data)]]</f>
        <v>N/A</v>
      </c>
      <c r="N372" t="s">
        <v>186</v>
      </c>
      <c r="O372" t="s">
        <v>186</v>
      </c>
      <c r="P372" t="s">
        <v>187</v>
      </c>
      <c r="S372" t="s">
        <v>926</v>
      </c>
      <c r="T372" t="str">
        <f>Table_TRM_Fixtures[[#This Row],[Fixture code  (TRM Data)]]</f>
        <v>LED320-FIXT</v>
      </c>
      <c r="U372" t="s">
        <v>2883</v>
      </c>
      <c r="V372" t="s">
        <v>185</v>
      </c>
      <c r="W372" t="s">
        <v>3120</v>
      </c>
      <c r="X372" t="s">
        <v>186</v>
      </c>
      <c r="AA372">
        <f>IF(Table_TRM_Fixtures[[#This Row],[Pre-EISA Baseline]]="Nominal", Table_TRM_Fixtures[[#This Row],[Fixture Watts  (TRM Data)]], Table_TRM_Fixtures[[#This Row],[Modified Baseline Fixture Watts]])</f>
        <v>320</v>
      </c>
    </row>
    <row r="373" spans="1:27" x14ac:dyDescent="0.2">
      <c r="A373" t="s">
        <v>929</v>
      </c>
      <c r="B373" t="s">
        <v>4228</v>
      </c>
      <c r="C373" t="s">
        <v>4229</v>
      </c>
      <c r="D373" t="s">
        <v>4230</v>
      </c>
      <c r="E373" t="s">
        <v>187</v>
      </c>
      <c r="F373" t="s">
        <v>186</v>
      </c>
      <c r="G373" t="s">
        <v>186</v>
      </c>
      <c r="H373">
        <v>321</v>
      </c>
      <c r="I373">
        <v>15</v>
      </c>
      <c r="J373" s="110">
        <v>371</v>
      </c>
      <c r="K373" t="s">
        <v>185</v>
      </c>
      <c r="L373">
        <f>IF(Table_TRM_Fixtures[[#This Row],[Technology]]="LED", Table_TRM_Fixtures[[#This Row],[Fixture Watts  (TRM Data)]], Table_TRM_Fixtures[[#This Row],[Lamp Watts  (TRM Data)]])</f>
        <v>321</v>
      </c>
      <c r="M373" t="str">
        <f>Table_TRM_Fixtures[[#This Row],[No. of Lamps  (TRM Data)]]</f>
        <v>N/A</v>
      </c>
      <c r="N373" t="s">
        <v>186</v>
      </c>
      <c r="O373" t="s">
        <v>186</v>
      </c>
      <c r="P373" t="s">
        <v>187</v>
      </c>
      <c r="S373" t="s">
        <v>928</v>
      </c>
      <c r="T373" t="str">
        <f>Table_TRM_Fixtures[[#This Row],[Fixture code  (TRM Data)]]</f>
        <v>LED321-FIXT</v>
      </c>
      <c r="U373" t="s">
        <v>2883</v>
      </c>
      <c r="V373" t="s">
        <v>185</v>
      </c>
      <c r="W373" t="s">
        <v>3120</v>
      </c>
      <c r="X373" t="s">
        <v>186</v>
      </c>
      <c r="AA373">
        <f>IF(Table_TRM_Fixtures[[#This Row],[Pre-EISA Baseline]]="Nominal", Table_TRM_Fixtures[[#This Row],[Fixture Watts  (TRM Data)]], Table_TRM_Fixtures[[#This Row],[Modified Baseline Fixture Watts]])</f>
        <v>321</v>
      </c>
    </row>
    <row r="374" spans="1:27" x14ac:dyDescent="0.2">
      <c r="A374" t="s">
        <v>931</v>
      </c>
      <c r="B374" t="s">
        <v>4231</v>
      </c>
      <c r="C374" t="s">
        <v>4232</v>
      </c>
      <c r="D374" t="s">
        <v>4233</v>
      </c>
      <c r="E374" t="s">
        <v>187</v>
      </c>
      <c r="F374" t="s">
        <v>186</v>
      </c>
      <c r="G374" t="s">
        <v>186</v>
      </c>
      <c r="H374">
        <v>322</v>
      </c>
      <c r="I374">
        <v>15</v>
      </c>
      <c r="J374" s="110">
        <v>372</v>
      </c>
      <c r="K374" t="s">
        <v>185</v>
      </c>
      <c r="L374">
        <f>IF(Table_TRM_Fixtures[[#This Row],[Technology]]="LED", Table_TRM_Fixtures[[#This Row],[Fixture Watts  (TRM Data)]], Table_TRM_Fixtures[[#This Row],[Lamp Watts  (TRM Data)]])</f>
        <v>322</v>
      </c>
      <c r="M374" t="str">
        <f>Table_TRM_Fixtures[[#This Row],[No. of Lamps  (TRM Data)]]</f>
        <v>N/A</v>
      </c>
      <c r="N374" t="s">
        <v>186</v>
      </c>
      <c r="O374" t="s">
        <v>186</v>
      </c>
      <c r="P374" t="s">
        <v>187</v>
      </c>
      <c r="S374" t="s">
        <v>930</v>
      </c>
      <c r="T374" t="str">
        <f>Table_TRM_Fixtures[[#This Row],[Fixture code  (TRM Data)]]</f>
        <v>LED322-FIXT</v>
      </c>
      <c r="U374" t="s">
        <v>2883</v>
      </c>
      <c r="V374" t="s">
        <v>185</v>
      </c>
      <c r="W374" t="s">
        <v>3120</v>
      </c>
      <c r="X374" t="s">
        <v>186</v>
      </c>
      <c r="AA374">
        <f>IF(Table_TRM_Fixtures[[#This Row],[Pre-EISA Baseline]]="Nominal", Table_TRM_Fixtures[[#This Row],[Fixture Watts  (TRM Data)]], Table_TRM_Fixtures[[#This Row],[Modified Baseline Fixture Watts]])</f>
        <v>322</v>
      </c>
    </row>
    <row r="375" spans="1:27" x14ac:dyDescent="0.2">
      <c r="A375" t="s">
        <v>933</v>
      </c>
      <c r="B375" t="s">
        <v>4234</v>
      </c>
      <c r="C375" t="s">
        <v>4235</v>
      </c>
      <c r="D375" t="s">
        <v>4236</v>
      </c>
      <c r="E375" t="s">
        <v>187</v>
      </c>
      <c r="F375" t="s">
        <v>186</v>
      </c>
      <c r="G375" t="s">
        <v>186</v>
      </c>
      <c r="H375">
        <v>323</v>
      </c>
      <c r="I375">
        <v>15</v>
      </c>
      <c r="J375" s="110">
        <v>373</v>
      </c>
      <c r="K375" t="s">
        <v>185</v>
      </c>
      <c r="L375">
        <f>IF(Table_TRM_Fixtures[[#This Row],[Technology]]="LED", Table_TRM_Fixtures[[#This Row],[Fixture Watts  (TRM Data)]], Table_TRM_Fixtures[[#This Row],[Lamp Watts  (TRM Data)]])</f>
        <v>323</v>
      </c>
      <c r="M375" t="str">
        <f>Table_TRM_Fixtures[[#This Row],[No. of Lamps  (TRM Data)]]</f>
        <v>N/A</v>
      </c>
      <c r="N375" t="s">
        <v>186</v>
      </c>
      <c r="O375" t="s">
        <v>186</v>
      </c>
      <c r="P375" t="s">
        <v>187</v>
      </c>
      <c r="S375" t="s">
        <v>932</v>
      </c>
      <c r="T375" t="str">
        <f>Table_TRM_Fixtures[[#This Row],[Fixture code  (TRM Data)]]</f>
        <v>LED323-FIXT</v>
      </c>
      <c r="U375" t="s">
        <v>2883</v>
      </c>
      <c r="V375" t="s">
        <v>185</v>
      </c>
      <c r="W375" t="s">
        <v>3120</v>
      </c>
      <c r="X375" t="s">
        <v>186</v>
      </c>
      <c r="AA375">
        <f>IF(Table_TRM_Fixtures[[#This Row],[Pre-EISA Baseline]]="Nominal", Table_TRM_Fixtures[[#This Row],[Fixture Watts  (TRM Data)]], Table_TRM_Fixtures[[#This Row],[Modified Baseline Fixture Watts]])</f>
        <v>323</v>
      </c>
    </row>
    <row r="376" spans="1:27" x14ac:dyDescent="0.2">
      <c r="A376" t="s">
        <v>935</v>
      </c>
      <c r="B376" t="s">
        <v>4237</v>
      </c>
      <c r="C376" t="s">
        <v>4238</v>
      </c>
      <c r="D376" t="s">
        <v>4239</v>
      </c>
      <c r="E376" t="s">
        <v>187</v>
      </c>
      <c r="F376" t="s">
        <v>186</v>
      </c>
      <c r="G376" t="s">
        <v>186</v>
      </c>
      <c r="H376">
        <v>324</v>
      </c>
      <c r="I376">
        <v>15</v>
      </c>
      <c r="J376" s="110">
        <v>374</v>
      </c>
      <c r="K376" t="s">
        <v>185</v>
      </c>
      <c r="L376">
        <f>IF(Table_TRM_Fixtures[[#This Row],[Technology]]="LED", Table_TRM_Fixtures[[#This Row],[Fixture Watts  (TRM Data)]], Table_TRM_Fixtures[[#This Row],[Lamp Watts  (TRM Data)]])</f>
        <v>324</v>
      </c>
      <c r="M376" t="str">
        <f>Table_TRM_Fixtures[[#This Row],[No. of Lamps  (TRM Data)]]</f>
        <v>N/A</v>
      </c>
      <c r="N376" t="s">
        <v>186</v>
      </c>
      <c r="O376" t="s">
        <v>186</v>
      </c>
      <c r="P376" t="s">
        <v>187</v>
      </c>
      <c r="S376" t="s">
        <v>934</v>
      </c>
      <c r="T376" t="str">
        <f>Table_TRM_Fixtures[[#This Row],[Fixture code  (TRM Data)]]</f>
        <v>LED324-FIXT</v>
      </c>
      <c r="U376" t="s">
        <v>2883</v>
      </c>
      <c r="V376" t="s">
        <v>185</v>
      </c>
      <c r="W376" t="s">
        <v>3120</v>
      </c>
      <c r="X376" t="s">
        <v>186</v>
      </c>
      <c r="AA376">
        <f>IF(Table_TRM_Fixtures[[#This Row],[Pre-EISA Baseline]]="Nominal", Table_TRM_Fixtures[[#This Row],[Fixture Watts  (TRM Data)]], Table_TRM_Fixtures[[#This Row],[Modified Baseline Fixture Watts]])</f>
        <v>324</v>
      </c>
    </row>
    <row r="377" spans="1:27" x14ac:dyDescent="0.2">
      <c r="A377" t="s">
        <v>937</v>
      </c>
      <c r="B377" t="s">
        <v>4240</v>
      </c>
      <c r="C377" t="s">
        <v>4241</v>
      </c>
      <c r="D377" t="s">
        <v>4242</v>
      </c>
      <c r="E377" t="s">
        <v>187</v>
      </c>
      <c r="F377" t="s">
        <v>186</v>
      </c>
      <c r="G377" t="s">
        <v>186</v>
      </c>
      <c r="H377">
        <v>325</v>
      </c>
      <c r="I377">
        <v>15</v>
      </c>
      <c r="J377" s="110">
        <v>375</v>
      </c>
      <c r="K377" t="s">
        <v>185</v>
      </c>
      <c r="L377">
        <f>IF(Table_TRM_Fixtures[[#This Row],[Technology]]="LED", Table_TRM_Fixtures[[#This Row],[Fixture Watts  (TRM Data)]], Table_TRM_Fixtures[[#This Row],[Lamp Watts  (TRM Data)]])</f>
        <v>325</v>
      </c>
      <c r="M377" t="str">
        <f>Table_TRM_Fixtures[[#This Row],[No. of Lamps  (TRM Data)]]</f>
        <v>N/A</v>
      </c>
      <c r="N377" t="s">
        <v>186</v>
      </c>
      <c r="O377" t="s">
        <v>186</v>
      </c>
      <c r="P377" t="s">
        <v>187</v>
      </c>
      <c r="S377" t="s">
        <v>936</v>
      </c>
      <c r="T377" t="str">
        <f>Table_TRM_Fixtures[[#This Row],[Fixture code  (TRM Data)]]</f>
        <v>LED325-FIXT</v>
      </c>
      <c r="U377" t="s">
        <v>2883</v>
      </c>
      <c r="V377" t="s">
        <v>185</v>
      </c>
      <c r="W377" t="s">
        <v>3120</v>
      </c>
      <c r="X377" t="s">
        <v>186</v>
      </c>
      <c r="AA377">
        <f>IF(Table_TRM_Fixtures[[#This Row],[Pre-EISA Baseline]]="Nominal", Table_TRM_Fixtures[[#This Row],[Fixture Watts  (TRM Data)]], Table_TRM_Fixtures[[#This Row],[Modified Baseline Fixture Watts]])</f>
        <v>325</v>
      </c>
    </row>
    <row r="378" spans="1:27" x14ac:dyDescent="0.2">
      <c r="A378" t="s">
        <v>939</v>
      </c>
      <c r="B378" t="s">
        <v>4243</v>
      </c>
      <c r="C378" t="s">
        <v>4244</v>
      </c>
      <c r="D378" t="s">
        <v>4245</v>
      </c>
      <c r="E378" t="s">
        <v>187</v>
      </c>
      <c r="F378" t="s">
        <v>186</v>
      </c>
      <c r="G378" t="s">
        <v>186</v>
      </c>
      <c r="H378">
        <v>326</v>
      </c>
      <c r="I378">
        <v>15</v>
      </c>
      <c r="J378" s="110">
        <v>376</v>
      </c>
      <c r="K378" t="s">
        <v>185</v>
      </c>
      <c r="L378">
        <f>IF(Table_TRM_Fixtures[[#This Row],[Technology]]="LED", Table_TRM_Fixtures[[#This Row],[Fixture Watts  (TRM Data)]], Table_TRM_Fixtures[[#This Row],[Lamp Watts  (TRM Data)]])</f>
        <v>326</v>
      </c>
      <c r="M378" t="str">
        <f>Table_TRM_Fixtures[[#This Row],[No. of Lamps  (TRM Data)]]</f>
        <v>N/A</v>
      </c>
      <c r="N378" t="s">
        <v>186</v>
      </c>
      <c r="O378" t="s">
        <v>186</v>
      </c>
      <c r="P378" t="s">
        <v>187</v>
      </c>
      <c r="S378" t="s">
        <v>938</v>
      </c>
      <c r="T378" t="str">
        <f>Table_TRM_Fixtures[[#This Row],[Fixture code  (TRM Data)]]</f>
        <v>LED326-FIXT</v>
      </c>
      <c r="U378" t="s">
        <v>2883</v>
      </c>
      <c r="V378" t="s">
        <v>185</v>
      </c>
      <c r="W378" t="s">
        <v>3120</v>
      </c>
      <c r="X378" t="s">
        <v>186</v>
      </c>
      <c r="AA378">
        <f>IF(Table_TRM_Fixtures[[#This Row],[Pre-EISA Baseline]]="Nominal", Table_TRM_Fixtures[[#This Row],[Fixture Watts  (TRM Data)]], Table_TRM_Fixtures[[#This Row],[Modified Baseline Fixture Watts]])</f>
        <v>326</v>
      </c>
    </row>
    <row r="379" spans="1:27" x14ac:dyDescent="0.2">
      <c r="A379" t="s">
        <v>941</v>
      </c>
      <c r="B379" t="s">
        <v>4246</v>
      </c>
      <c r="C379" t="s">
        <v>4247</v>
      </c>
      <c r="D379" t="s">
        <v>4248</v>
      </c>
      <c r="E379" t="s">
        <v>187</v>
      </c>
      <c r="F379" t="s">
        <v>186</v>
      </c>
      <c r="G379" t="s">
        <v>186</v>
      </c>
      <c r="H379">
        <v>327</v>
      </c>
      <c r="I379">
        <v>15</v>
      </c>
      <c r="J379" s="110">
        <v>377</v>
      </c>
      <c r="K379" t="s">
        <v>185</v>
      </c>
      <c r="L379">
        <f>IF(Table_TRM_Fixtures[[#This Row],[Technology]]="LED", Table_TRM_Fixtures[[#This Row],[Fixture Watts  (TRM Data)]], Table_TRM_Fixtures[[#This Row],[Lamp Watts  (TRM Data)]])</f>
        <v>327</v>
      </c>
      <c r="M379" t="str">
        <f>Table_TRM_Fixtures[[#This Row],[No. of Lamps  (TRM Data)]]</f>
        <v>N/A</v>
      </c>
      <c r="N379" t="s">
        <v>186</v>
      </c>
      <c r="O379" t="s">
        <v>186</v>
      </c>
      <c r="P379" t="s">
        <v>187</v>
      </c>
      <c r="S379" t="s">
        <v>940</v>
      </c>
      <c r="T379" t="str">
        <f>Table_TRM_Fixtures[[#This Row],[Fixture code  (TRM Data)]]</f>
        <v>LED327-FIXT</v>
      </c>
      <c r="U379" t="s">
        <v>2883</v>
      </c>
      <c r="V379" t="s">
        <v>185</v>
      </c>
      <c r="W379" t="s">
        <v>3120</v>
      </c>
      <c r="X379" t="s">
        <v>186</v>
      </c>
      <c r="AA379">
        <f>IF(Table_TRM_Fixtures[[#This Row],[Pre-EISA Baseline]]="Nominal", Table_TRM_Fixtures[[#This Row],[Fixture Watts  (TRM Data)]], Table_TRM_Fixtures[[#This Row],[Modified Baseline Fixture Watts]])</f>
        <v>327</v>
      </c>
    </row>
    <row r="380" spans="1:27" x14ac:dyDescent="0.2">
      <c r="A380" t="s">
        <v>943</v>
      </c>
      <c r="B380" t="s">
        <v>4249</v>
      </c>
      <c r="C380" t="s">
        <v>4250</v>
      </c>
      <c r="D380" t="s">
        <v>4251</v>
      </c>
      <c r="E380" t="s">
        <v>187</v>
      </c>
      <c r="F380" t="s">
        <v>186</v>
      </c>
      <c r="G380" t="s">
        <v>186</v>
      </c>
      <c r="H380">
        <v>328</v>
      </c>
      <c r="I380">
        <v>15</v>
      </c>
      <c r="J380" s="110">
        <v>378</v>
      </c>
      <c r="K380" t="s">
        <v>185</v>
      </c>
      <c r="L380">
        <f>IF(Table_TRM_Fixtures[[#This Row],[Technology]]="LED", Table_TRM_Fixtures[[#This Row],[Fixture Watts  (TRM Data)]], Table_TRM_Fixtures[[#This Row],[Lamp Watts  (TRM Data)]])</f>
        <v>328</v>
      </c>
      <c r="M380" t="str">
        <f>Table_TRM_Fixtures[[#This Row],[No. of Lamps  (TRM Data)]]</f>
        <v>N/A</v>
      </c>
      <c r="N380" t="s">
        <v>186</v>
      </c>
      <c r="O380" t="s">
        <v>186</v>
      </c>
      <c r="P380" t="s">
        <v>187</v>
      </c>
      <c r="S380" t="s">
        <v>942</v>
      </c>
      <c r="T380" t="str">
        <f>Table_TRM_Fixtures[[#This Row],[Fixture code  (TRM Data)]]</f>
        <v>LED328-FIXT</v>
      </c>
      <c r="U380" t="s">
        <v>2883</v>
      </c>
      <c r="V380" t="s">
        <v>185</v>
      </c>
      <c r="W380" t="s">
        <v>3120</v>
      </c>
      <c r="X380" t="s">
        <v>186</v>
      </c>
      <c r="AA380">
        <f>IF(Table_TRM_Fixtures[[#This Row],[Pre-EISA Baseline]]="Nominal", Table_TRM_Fixtures[[#This Row],[Fixture Watts  (TRM Data)]], Table_TRM_Fixtures[[#This Row],[Modified Baseline Fixture Watts]])</f>
        <v>328</v>
      </c>
    </row>
    <row r="381" spans="1:27" x14ac:dyDescent="0.2">
      <c r="A381" t="s">
        <v>945</v>
      </c>
      <c r="B381" t="s">
        <v>4252</v>
      </c>
      <c r="C381" t="s">
        <v>4253</v>
      </c>
      <c r="D381" t="s">
        <v>4254</v>
      </c>
      <c r="E381" t="s">
        <v>187</v>
      </c>
      <c r="F381" t="s">
        <v>186</v>
      </c>
      <c r="G381" t="s">
        <v>186</v>
      </c>
      <c r="H381">
        <v>329</v>
      </c>
      <c r="I381">
        <v>15</v>
      </c>
      <c r="J381" s="110">
        <v>379</v>
      </c>
      <c r="K381" t="s">
        <v>185</v>
      </c>
      <c r="L381">
        <f>IF(Table_TRM_Fixtures[[#This Row],[Technology]]="LED", Table_TRM_Fixtures[[#This Row],[Fixture Watts  (TRM Data)]], Table_TRM_Fixtures[[#This Row],[Lamp Watts  (TRM Data)]])</f>
        <v>329</v>
      </c>
      <c r="M381" t="str">
        <f>Table_TRM_Fixtures[[#This Row],[No. of Lamps  (TRM Data)]]</f>
        <v>N/A</v>
      </c>
      <c r="N381" t="s">
        <v>186</v>
      </c>
      <c r="O381" t="s">
        <v>186</v>
      </c>
      <c r="P381" t="s">
        <v>187</v>
      </c>
      <c r="S381" t="s">
        <v>944</v>
      </c>
      <c r="T381" t="str">
        <f>Table_TRM_Fixtures[[#This Row],[Fixture code  (TRM Data)]]</f>
        <v>LED329-FIXT</v>
      </c>
      <c r="U381" t="s">
        <v>2883</v>
      </c>
      <c r="V381" t="s">
        <v>185</v>
      </c>
      <c r="W381" t="s">
        <v>3120</v>
      </c>
      <c r="X381" t="s">
        <v>186</v>
      </c>
      <c r="AA381">
        <f>IF(Table_TRM_Fixtures[[#This Row],[Pre-EISA Baseline]]="Nominal", Table_TRM_Fixtures[[#This Row],[Fixture Watts  (TRM Data)]], Table_TRM_Fixtures[[#This Row],[Modified Baseline Fixture Watts]])</f>
        <v>329</v>
      </c>
    </row>
    <row r="382" spans="1:27" x14ac:dyDescent="0.2">
      <c r="A382" t="s">
        <v>947</v>
      </c>
      <c r="B382" t="s">
        <v>4255</v>
      </c>
      <c r="C382" t="s">
        <v>4256</v>
      </c>
      <c r="D382" t="s">
        <v>4257</v>
      </c>
      <c r="E382" t="s">
        <v>187</v>
      </c>
      <c r="F382" t="s">
        <v>186</v>
      </c>
      <c r="G382" t="s">
        <v>186</v>
      </c>
      <c r="H382">
        <v>330</v>
      </c>
      <c r="I382">
        <v>15</v>
      </c>
      <c r="J382" s="110">
        <v>380</v>
      </c>
      <c r="K382" t="s">
        <v>185</v>
      </c>
      <c r="L382">
        <f>IF(Table_TRM_Fixtures[[#This Row],[Technology]]="LED", Table_TRM_Fixtures[[#This Row],[Fixture Watts  (TRM Data)]], Table_TRM_Fixtures[[#This Row],[Lamp Watts  (TRM Data)]])</f>
        <v>330</v>
      </c>
      <c r="M382" t="str">
        <f>Table_TRM_Fixtures[[#This Row],[No. of Lamps  (TRM Data)]]</f>
        <v>N/A</v>
      </c>
      <c r="N382" t="s">
        <v>186</v>
      </c>
      <c r="O382" t="s">
        <v>186</v>
      </c>
      <c r="P382" t="s">
        <v>187</v>
      </c>
      <c r="S382" t="s">
        <v>946</v>
      </c>
      <c r="T382" t="str">
        <f>Table_TRM_Fixtures[[#This Row],[Fixture code  (TRM Data)]]</f>
        <v>LED330-FIXT</v>
      </c>
      <c r="U382" t="s">
        <v>2883</v>
      </c>
      <c r="V382" t="s">
        <v>185</v>
      </c>
      <c r="W382" t="s">
        <v>3120</v>
      </c>
      <c r="X382" t="s">
        <v>186</v>
      </c>
      <c r="AA382">
        <f>IF(Table_TRM_Fixtures[[#This Row],[Pre-EISA Baseline]]="Nominal", Table_TRM_Fixtures[[#This Row],[Fixture Watts  (TRM Data)]], Table_TRM_Fixtures[[#This Row],[Modified Baseline Fixture Watts]])</f>
        <v>330</v>
      </c>
    </row>
    <row r="383" spans="1:27" x14ac:dyDescent="0.2">
      <c r="A383" t="s">
        <v>949</v>
      </c>
      <c r="B383" t="s">
        <v>4258</v>
      </c>
      <c r="C383" t="s">
        <v>4259</v>
      </c>
      <c r="D383" t="s">
        <v>4260</v>
      </c>
      <c r="E383" t="s">
        <v>187</v>
      </c>
      <c r="F383" t="s">
        <v>186</v>
      </c>
      <c r="G383" t="s">
        <v>186</v>
      </c>
      <c r="H383">
        <v>331</v>
      </c>
      <c r="I383">
        <v>15</v>
      </c>
      <c r="J383" s="110">
        <v>381</v>
      </c>
      <c r="K383" t="s">
        <v>185</v>
      </c>
      <c r="L383">
        <f>IF(Table_TRM_Fixtures[[#This Row],[Technology]]="LED", Table_TRM_Fixtures[[#This Row],[Fixture Watts  (TRM Data)]], Table_TRM_Fixtures[[#This Row],[Lamp Watts  (TRM Data)]])</f>
        <v>331</v>
      </c>
      <c r="M383" t="str">
        <f>Table_TRM_Fixtures[[#This Row],[No. of Lamps  (TRM Data)]]</f>
        <v>N/A</v>
      </c>
      <c r="N383" t="s">
        <v>186</v>
      </c>
      <c r="O383" t="s">
        <v>186</v>
      </c>
      <c r="P383" t="s">
        <v>187</v>
      </c>
      <c r="S383" t="s">
        <v>948</v>
      </c>
      <c r="T383" t="str">
        <f>Table_TRM_Fixtures[[#This Row],[Fixture code  (TRM Data)]]</f>
        <v>LED331-FIXT</v>
      </c>
      <c r="U383" t="s">
        <v>2883</v>
      </c>
      <c r="V383" t="s">
        <v>185</v>
      </c>
      <c r="W383" t="s">
        <v>3120</v>
      </c>
      <c r="X383" t="s">
        <v>186</v>
      </c>
      <c r="AA383">
        <f>IF(Table_TRM_Fixtures[[#This Row],[Pre-EISA Baseline]]="Nominal", Table_TRM_Fixtures[[#This Row],[Fixture Watts  (TRM Data)]], Table_TRM_Fixtures[[#This Row],[Modified Baseline Fixture Watts]])</f>
        <v>331</v>
      </c>
    </row>
    <row r="384" spans="1:27" x14ac:dyDescent="0.2">
      <c r="A384" t="s">
        <v>951</v>
      </c>
      <c r="B384" t="s">
        <v>4261</v>
      </c>
      <c r="C384" t="s">
        <v>4262</v>
      </c>
      <c r="D384" t="s">
        <v>4263</v>
      </c>
      <c r="E384" t="s">
        <v>187</v>
      </c>
      <c r="F384" t="s">
        <v>186</v>
      </c>
      <c r="G384" t="s">
        <v>186</v>
      </c>
      <c r="H384">
        <v>332</v>
      </c>
      <c r="I384">
        <v>15</v>
      </c>
      <c r="J384" s="110">
        <v>382</v>
      </c>
      <c r="K384" t="s">
        <v>185</v>
      </c>
      <c r="L384">
        <f>IF(Table_TRM_Fixtures[[#This Row],[Technology]]="LED", Table_TRM_Fixtures[[#This Row],[Fixture Watts  (TRM Data)]], Table_TRM_Fixtures[[#This Row],[Lamp Watts  (TRM Data)]])</f>
        <v>332</v>
      </c>
      <c r="M384" t="str">
        <f>Table_TRM_Fixtures[[#This Row],[No. of Lamps  (TRM Data)]]</f>
        <v>N/A</v>
      </c>
      <c r="N384" t="s">
        <v>186</v>
      </c>
      <c r="O384" t="s">
        <v>186</v>
      </c>
      <c r="P384" t="s">
        <v>187</v>
      </c>
      <c r="S384" t="s">
        <v>950</v>
      </c>
      <c r="T384" t="str">
        <f>Table_TRM_Fixtures[[#This Row],[Fixture code  (TRM Data)]]</f>
        <v>LED332-FIXT</v>
      </c>
      <c r="U384" t="s">
        <v>2883</v>
      </c>
      <c r="V384" t="s">
        <v>185</v>
      </c>
      <c r="W384" t="s">
        <v>3120</v>
      </c>
      <c r="X384" t="s">
        <v>186</v>
      </c>
      <c r="AA384">
        <f>IF(Table_TRM_Fixtures[[#This Row],[Pre-EISA Baseline]]="Nominal", Table_TRM_Fixtures[[#This Row],[Fixture Watts  (TRM Data)]], Table_TRM_Fixtures[[#This Row],[Modified Baseline Fixture Watts]])</f>
        <v>332</v>
      </c>
    </row>
    <row r="385" spans="1:27" x14ac:dyDescent="0.2">
      <c r="A385" t="s">
        <v>953</v>
      </c>
      <c r="B385" t="s">
        <v>4264</v>
      </c>
      <c r="C385" t="s">
        <v>4265</v>
      </c>
      <c r="D385" t="s">
        <v>4266</v>
      </c>
      <c r="E385" t="s">
        <v>187</v>
      </c>
      <c r="F385" t="s">
        <v>186</v>
      </c>
      <c r="G385" t="s">
        <v>186</v>
      </c>
      <c r="H385">
        <v>333</v>
      </c>
      <c r="I385">
        <v>15</v>
      </c>
      <c r="J385" s="110">
        <v>383</v>
      </c>
      <c r="K385" t="s">
        <v>185</v>
      </c>
      <c r="L385">
        <f>IF(Table_TRM_Fixtures[[#This Row],[Technology]]="LED", Table_TRM_Fixtures[[#This Row],[Fixture Watts  (TRM Data)]], Table_TRM_Fixtures[[#This Row],[Lamp Watts  (TRM Data)]])</f>
        <v>333</v>
      </c>
      <c r="M385" t="str">
        <f>Table_TRM_Fixtures[[#This Row],[No. of Lamps  (TRM Data)]]</f>
        <v>N/A</v>
      </c>
      <c r="N385" t="s">
        <v>186</v>
      </c>
      <c r="O385" t="s">
        <v>186</v>
      </c>
      <c r="P385" t="s">
        <v>187</v>
      </c>
      <c r="S385" t="s">
        <v>952</v>
      </c>
      <c r="T385" t="str">
        <f>Table_TRM_Fixtures[[#This Row],[Fixture code  (TRM Data)]]</f>
        <v>LED333-FIXT</v>
      </c>
      <c r="U385" t="s">
        <v>2883</v>
      </c>
      <c r="V385" t="s">
        <v>185</v>
      </c>
      <c r="W385" t="s">
        <v>3120</v>
      </c>
      <c r="X385" t="s">
        <v>186</v>
      </c>
      <c r="AA385">
        <f>IF(Table_TRM_Fixtures[[#This Row],[Pre-EISA Baseline]]="Nominal", Table_TRM_Fixtures[[#This Row],[Fixture Watts  (TRM Data)]], Table_TRM_Fixtures[[#This Row],[Modified Baseline Fixture Watts]])</f>
        <v>333</v>
      </c>
    </row>
    <row r="386" spans="1:27" x14ac:dyDescent="0.2">
      <c r="A386" t="s">
        <v>955</v>
      </c>
      <c r="B386" t="s">
        <v>4267</v>
      </c>
      <c r="C386" t="s">
        <v>4268</v>
      </c>
      <c r="D386" t="s">
        <v>4269</v>
      </c>
      <c r="E386" t="s">
        <v>187</v>
      </c>
      <c r="F386" t="s">
        <v>186</v>
      </c>
      <c r="G386" t="s">
        <v>186</v>
      </c>
      <c r="H386">
        <v>334</v>
      </c>
      <c r="I386">
        <v>15</v>
      </c>
      <c r="J386" s="110">
        <v>384</v>
      </c>
      <c r="K386" t="s">
        <v>185</v>
      </c>
      <c r="L386">
        <f>IF(Table_TRM_Fixtures[[#This Row],[Technology]]="LED", Table_TRM_Fixtures[[#This Row],[Fixture Watts  (TRM Data)]], Table_TRM_Fixtures[[#This Row],[Lamp Watts  (TRM Data)]])</f>
        <v>334</v>
      </c>
      <c r="M386" t="str">
        <f>Table_TRM_Fixtures[[#This Row],[No. of Lamps  (TRM Data)]]</f>
        <v>N/A</v>
      </c>
      <c r="N386" t="s">
        <v>186</v>
      </c>
      <c r="O386" t="s">
        <v>186</v>
      </c>
      <c r="P386" t="s">
        <v>187</v>
      </c>
      <c r="S386" t="s">
        <v>954</v>
      </c>
      <c r="T386" t="str">
        <f>Table_TRM_Fixtures[[#This Row],[Fixture code  (TRM Data)]]</f>
        <v>LED334-FIXT</v>
      </c>
      <c r="U386" t="s">
        <v>2883</v>
      </c>
      <c r="V386" t="s">
        <v>185</v>
      </c>
      <c r="W386" t="s">
        <v>3120</v>
      </c>
      <c r="X386" t="s">
        <v>186</v>
      </c>
      <c r="AA386">
        <f>IF(Table_TRM_Fixtures[[#This Row],[Pre-EISA Baseline]]="Nominal", Table_TRM_Fixtures[[#This Row],[Fixture Watts  (TRM Data)]], Table_TRM_Fixtures[[#This Row],[Modified Baseline Fixture Watts]])</f>
        <v>334</v>
      </c>
    </row>
    <row r="387" spans="1:27" x14ac:dyDescent="0.2">
      <c r="A387" t="s">
        <v>957</v>
      </c>
      <c r="B387" t="s">
        <v>4270</v>
      </c>
      <c r="C387" t="s">
        <v>4271</v>
      </c>
      <c r="D387" t="s">
        <v>4272</v>
      </c>
      <c r="E387" t="s">
        <v>187</v>
      </c>
      <c r="F387" t="s">
        <v>186</v>
      </c>
      <c r="G387" t="s">
        <v>186</v>
      </c>
      <c r="H387">
        <v>335</v>
      </c>
      <c r="I387">
        <v>15</v>
      </c>
      <c r="J387" s="110">
        <v>385</v>
      </c>
      <c r="K387" t="s">
        <v>185</v>
      </c>
      <c r="L387">
        <f>IF(Table_TRM_Fixtures[[#This Row],[Technology]]="LED", Table_TRM_Fixtures[[#This Row],[Fixture Watts  (TRM Data)]], Table_TRM_Fixtures[[#This Row],[Lamp Watts  (TRM Data)]])</f>
        <v>335</v>
      </c>
      <c r="M387" t="str">
        <f>Table_TRM_Fixtures[[#This Row],[No. of Lamps  (TRM Data)]]</f>
        <v>N/A</v>
      </c>
      <c r="N387" t="s">
        <v>186</v>
      </c>
      <c r="O387" t="s">
        <v>186</v>
      </c>
      <c r="P387" t="s">
        <v>187</v>
      </c>
      <c r="S387" t="s">
        <v>956</v>
      </c>
      <c r="T387" t="str">
        <f>Table_TRM_Fixtures[[#This Row],[Fixture code  (TRM Data)]]</f>
        <v>LED335-FIXT</v>
      </c>
      <c r="U387" t="s">
        <v>2883</v>
      </c>
      <c r="V387" t="s">
        <v>185</v>
      </c>
      <c r="W387" t="s">
        <v>3120</v>
      </c>
      <c r="X387" t="s">
        <v>186</v>
      </c>
      <c r="AA387">
        <f>IF(Table_TRM_Fixtures[[#This Row],[Pre-EISA Baseline]]="Nominal", Table_TRM_Fixtures[[#This Row],[Fixture Watts  (TRM Data)]], Table_TRM_Fixtures[[#This Row],[Modified Baseline Fixture Watts]])</f>
        <v>335</v>
      </c>
    </row>
    <row r="388" spans="1:27" x14ac:dyDescent="0.2">
      <c r="A388" t="s">
        <v>959</v>
      </c>
      <c r="B388" t="s">
        <v>4273</v>
      </c>
      <c r="C388" t="s">
        <v>4274</v>
      </c>
      <c r="D388" t="s">
        <v>4275</v>
      </c>
      <c r="E388" t="s">
        <v>187</v>
      </c>
      <c r="F388" t="s">
        <v>186</v>
      </c>
      <c r="G388" t="s">
        <v>186</v>
      </c>
      <c r="H388">
        <v>336</v>
      </c>
      <c r="I388">
        <v>15</v>
      </c>
      <c r="J388" s="110">
        <v>386</v>
      </c>
      <c r="K388" t="s">
        <v>185</v>
      </c>
      <c r="L388">
        <f>IF(Table_TRM_Fixtures[[#This Row],[Technology]]="LED", Table_TRM_Fixtures[[#This Row],[Fixture Watts  (TRM Data)]], Table_TRM_Fixtures[[#This Row],[Lamp Watts  (TRM Data)]])</f>
        <v>336</v>
      </c>
      <c r="M388" t="str">
        <f>Table_TRM_Fixtures[[#This Row],[No. of Lamps  (TRM Data)]]</f>
        <v>N/A</v>
      </c>
      <c r="N388" t="s">
        <v>186</v>
      </c>
      <c r="O388" t="s">
        <v>186</v>
      </c>
      <c r="P388" t="s">
        <v>187</v>
      </c>
      <c r="S388" t="s">
        <v>958</v>
      </c>
      <c r="T388" t="str">
        <f>Table_TRM_Fixtures[[#This Row],[Fixture code  (TRM Data)]]</f>
        <v>LED336-FIXT</v>
      </c>
      <c r="U388" t="s">
        <v>2883</v>
      </c>
      <c r="V388" t="s">
        <v>185</v>
      </c>
      <c r="W388" t="s">
        <v>3120</v>
      </c>
      <c r="X388" t="s">
        <v>186</v>
      </c>
      <c r="AA388">
        <f>IF(Table_TRM_Fixtures[[#This Row],[Pre-EISA Baseline]]="Nominal", Table_TRM_Fixtures[[#This Row],[Fixture Watts  (TRM Data)]], Table_TRM_Fixtures[[#This Row],[Modified Baseline Fixture Watts]])</f>
        <v>336</v>
      </c>
    </row>
    <row r="389" spans="1:27" x14ac:dyDescent="0.2">
      <c r="A389" t="s">
        <v>961</v>
      </c>
      <c r="B389" t="s">
        <v>4276</v>
      </c>
      <c r="C389" t="s">
        <v>4277</v>
      </c>
      <c r="D389" t="s">
        <v>4278</v>
      </c>
      <c r="E389" t="s">
        <v>187</v>
      </c>
      <c r="F389" t="s">
        <v>186</v>
      </c>
      <c r="G389" t="s">
        <v>186</v>
      </c>
      <c r="H389">
        <v>337</v>
      </c>
      <c r="I389">
        <v>15</v>
      </c>
      <c r="J389" s="110">
        <v>387</v>
      </c>
      <c r="K389" t="s">
        <v>185</v>
      </c>
      <c r="L389">
        <f>IF(Table_TRM_Fixtures[[#This Row],[Technology]]="LED", Table_TRM_Fixtures[[#This Row],[Fixture Watts  (TRM Data)]], Table_TRM_Fixtures[[#This Row],[Lamp Watts  (TRM Data)]])</f>
        <v>337</v>
      </c>
      <c r="M389" t="str">
        <f>Table_TRM_Fixtures[[#This Row],[No. of Lamps  (TRM Data)]]</f>
        <v>N/A</v>
      </c>
      <c r="N389" t="s">
        <v>186</v>
      </c>
      <c r="O389" t="s">
        <v>186</v>
      </c>
      <c r="P389" t="s">
        <v>187</v>
      </c>
      <c r="S389" t="s">
        <v>960</v>
      </c>
      <c r="T389" t="str">
        <f>Table_TRM_Fixtures[[#This Row],[Fixture code  (TRM Data)]]</f>
        <v>LED337-FIXT</v>
      </c>
      <c r="U389" t="s">
        <v>2883</v>
      </c>
      <c r="V389" t="s">
        <v>185</v>
      </c>
      <c r="W389" t="s">
        <v>3120</v>
      </c>
      <c r="X389" t="s">
        <v>186</v>
      </c>
      <c r="AA389">
        <f>IF(Table_TRM_Fixtures[[#This Row],[Pre-EISA Baseline]]="Nominal", Table_TRM_Fixtures[[#This Row],[Fixture Watts  (TRM Data)]], Table_TRM_Fixtures[[#This Row],[Modified Baseline Fixture Watts]])</f>
        <v>337</v>
      </c>
    </row>
    <row r="390" spans="1:27" x14ac:dyDescent="0.2">
      <c r="A390" t="s">
        <v>963</v>
      </c>
      <c r="B390" t="s">
        <v>4279</v>
      </c>
      <c r="C390" t="s">
        <v>4280</v>
      </c>
      <c r="D390" t="s">
        <v>4281</v>
      </c>
      <c r="E390" t="s">
        <v>187</v>
      </c>
      <c r="F390" t="s">
        <v>186</v>
      </c>
      <c r="G390" t="s">
        <v>186</v>
      </c>
      <c r="H390">
        <v>338</v>
      </c>
      <c r="I390">
        <v>15</v>
      </c>
      <c r="J390" s="110">
        <v>388</v>
      </c>
      <c r="K390" t="s">
        <v>185</v>
      </c>
      <c r="L390">
        <f>IF(Table_TRM_Fixtures[[#This Row],[Technology]]="LED", Table_TRM_Fixtures[[#This Row],[Fixture Watts  (TRM Data)]], Table_TRM_Fixtures[[#This Row],[Lamp Watts  (TRM Data)]])</f>
        <v>338</v>
      </c>
      <c r="M390" t="str">
        <f>Table_TRM_Fixtures[[#This Row],[No. of Lamps  (TRM Data)]]</f>
        <v>N/A</v>
      </c>
      <c r="N390" t="s">
        <v>186</v>
      </c>
      <c r="O390" t="s">
        <v>186</v>
      </c>
      <c r="P390" t="s">
        <v>187</v>
      </c>
      <c r="S390" t="s">
        <v>962</v>
      </c>
      <c r="T390" t="str">
        <f>Table_TRM_Fixtures[[#This Row],[Fixture code  (TRM Data)]]</f>
        <v>LED338-FIXT</v>
      </c>
      <c r="U390" t="s">
        <v>2883</v>
      </c>
      <c r="V390" t="s">
        <v>185</v>
      </c>
      <c r="W390" t="s">
        <v>3120</v>
      </c>
      <c r="X390" t="s">
        <v>186</v>
      </c>
      <c r="AA390">
        <f>IF(Table_TRM_Fixtures[[#This Row],[Pre-EISA Baseline]]="Nominal", Table_TRM_Fixtures[[#This Row],[Fixture Watts  (TRM Data)]], Table_TRM_Fixtures[[#This Row],[Modified Baseline Fixture Watts]])</f>
        <v>338</v>
      </c>
    </row>
    <row r="391" spans="1:27" x14ac:dyDescent="0.2">
      <c r="A391" t="s">
        <v>965</v>
      </c>
      <c r="B391" t="s">
        <v>4282</v>
      </c>
      <c r="C391" t="s">
        <v>4283</v>
      </c>
      <c r="D391" t="s">
        <v>4284</v>
      </c>
      <c r="E391" t="s">
        <v>187</v>
      </c>
      <c r="F391" t="s">
        <v>186</v>
      </c>
      <c r="G391" t="s">
        <v>186</v>
      </c>
      <c r="H391">
        <v>339</v>
      </c>
      <c r="I391">
        <v>15</v>
      </c>
      <c r="J391" s="110">
        <v>389</v>
      </c>
      <c r="K391" t="s">
        <v>185</v>
      </c>
      <c r="L391">
        <f>IF(Table_TRM_Fixtures[[#This Row],[Technology]]="LED", Table_TRM_Fixtures[[#This Row],[Fixture Watts  (TRM Data)]], Table_TRM_Fixtures[[#This Row],[Lamp Watts  (TRM Data)]])</f>
        <v>339</v>
      </c>
      <c r="M391" t="str">
        <f>Table_TRM_Fixtures[[#This Row],[No. of Lamps  (TRM Data)]]</f>
        <v>N/A</v>
      </c>
      <c r="N391" t="s">
        <v>186</v>
      </c>
      <c r="O391" t="s">
        <v>186</v>
      </c>
      <c r="P391" t="s">
        <v>187</v>
      </c>
      <c r="S391" t="s">
        <v>964</v>
      </c>
      <c r="T391" t="str">
        <f>Table_TRM_Fixtures[[#This Row],[Fixture code  (TRM Data)]]</f>
        <v>LED339-FIXT</v>
      </c>
      <c r="U391" t="s">
        <v>2883</v>
      </c>
      <c r="V391" t="s">
        <v>185</v>
      </c>
      <c r="W391" t="s">
        <v>3120</v>
      </c>
      <c r="X391" t="s">
        <v>186</v>
      </c>
      <c r="AA391">
        <f>IF(Table_TRM_Fixtures[[#This Row],[Pre-EISA Baseline]]="Nominal", Table_TRM_Fixtures[[#This Row],[Fixture Watts  (TRM Data)]], Table_TRM_Fixtures[[#This Row],[Modified Baseline Fixture Watts]])</f>
        <v>339</v>
      </c>
    </row>
    <row r="392" spans="1:27" x14ac:dyDescent="0.2">
      <c r="A392" t="s">
        <v>967</v>
      </c>
      <c r="B392" t="s">
        <v>4285</v>
      </c>
      <c r="C392" t="s">
        <v>4286</v>
      </c>
      <c r="D392" t="s">
        <v>4287</v>
      </c>
      <c r="E392" t="s">
        <v>187</v>
      </c>
      <c r="F392" t="s">
        <v>186</v>
      </c>
      <c r="G392" t="s">
        <v>186</v>
      </c>
      <c r="H392">
        <v>340</v>
      </c>
      <c r="I392">
        <v>15</v>
      </c>
      <c r="J392" s="110">
        <v>390</v>
      </c>
      <c r="K392" t="s">
        <v>185</v>
      </c>
      <c r="L392">
        <f>IF(Table_TRM_Fixtures[[#This Row],[Technology]]="LED", Table_TRM_Fixtures[[#This Row],[Fixture Watts  (TRM Data)]], Table_TRM_Fixtures[[#This Row],[Lamp Watts  (TRM Data)]])</f>
        <v>340</v>
      </c>
      <c r="M392" t="str">
        <f>Table_TRM_Fixtures[[#This Row],[No. of Lamps  (TRM Data)]]</f>
        <v>N/A</v>
      </c>
      <c r="N392" t="s">
        <v>186</v>
      </c>
      <c r="O392" t="s">
        <v>186</v>
      </c>
      <c r="P392" t="s">
        <v>187</v>
      </c>
      <c r="S392" t="s">
        <v>966</v>
      </c>
      <c r="T392" t="str">
        <f>Table_TRM_Fixtures[[#This Row],[Fixture code  (TRM Data)]]</f>
        <v>LED340-FIXT</v>
      </c>
      <c r="U392" t="s">
        <v>2883</v>
      </c>
      <c r="V392" t="s">
        <v>185</v>
      </c>
      <c r="W392" t="s">
        <v>3120</v>
      </c>
      <c r="X392" t="s">
        <v>186</v>
      </c>
      <c r="AA392">
        <f>IF(Table_TRM_Fixtures[[#This Row],[Pre-EISA Baseline]]="Nominal", Table_TRM_Fixtures[[#This Row],[Fixture Watts  (TRM Data)]], Table_TRM_Fixtures[[#This Row],[Modified Baseline Fixture Watts]])</f>
        <v>340</v>
      </c>
    </row>
    <row r="393" spans="1:27" x14ac:dyDescent="0.2">
      <c r="A393" t="s">
        <v>969</v>
      </c>
      <c r="B393" t="s">
        <v>4288</v>
      </c>
      <c r="C393" t="s">
        <v>4289</v>
      </c>
      <c r="D393" t="s">
        <v>4290</v>
      </c>
      <c r="E393" t="s">
        <v>187</v>
      </c>
      <c r="F393" t="s">
        <v>186</v>
      </c>
      <c r="G393" t="s">
        <v>186</v>
      </c>
      <c r="H393">
        <v>341</v>
      </c>
      <c r="I393">
        <v>15</v>
      </c>
      <c r="J393" s="110">
        <v>391</v>
      </c>
      <c r="K393" t="s">
        <v>185</v>
      </c>
      <c r="L393">
        <f>IF(Table_TRM_Fixtures[[#This Row],[Technology]]="LED", Table_TRM_Fixtures[[#This Row],[Fixture Watts  (TRM Data)]], Table_TRM_Fixtures[[#This Row],[Lamp Watts  (TRM Data)]])</f>
        <v>341</v>
      </c>
      <c r="M393" t="str">
        <f>Table_TRM_Fixtures[[#This Row],[No. of Lamps  (TRM Data)]]</f>
        <v>N/A</v>
      </c>
      <c r="N393" t="s">
        <v>186</v>
      </c>
      <c r="O393" t="s">
        <v>186</v>
      </c>
      <c r="P393" t="s">
        <v>187</v>
      </c>
      <c r="S393" t="s">
        <v>968</v>
      </c>
      <c r="T393" t="str">
        <f>Table_TRM_Fixtures[[#This Row],[Fixture code  (TRM Data)]]</f>
        <v>LED341-FIXT</v>
      </c>
      <c r="U393" t="s">
        <v>2883</v>
      </c>
      <c r="V393" t="s">
        <v>185</v>
      </c>
      <c r="W393" t="s">
        <v>3120</v>
      </c>
      <c r="X393" t="s">
        <v>186</v>
      </c>
      <c r="AA393">
        <f>IF(Table_TRM_Fixtures[[#This Row],[Pre-EISA Baseline]]="Nominal", Table_TRM_Fixtures[[#This Row],[Fixture Watts  (TRM Data)]], Table_TRM_Fixtures[[#This Row],[Modified Baseline Fixture Watts]])</f>
        <v>341</v>
      </c>
    </row>
    <row r="394" spans="1:27" x14ac:dyDescent="0.2">
      <c r="A394" t="s">
        <v>971</v>
      </c>
      <c r="B394" t="s">
        <v>4291</v>
      </c>
      <c r="C394" t="s">
        <v>4292</v>
      </c>
      <c r="D394" t="s">
        <v>4293</v>
      </c>
      <c r="E394" t="s">
        <v>187</v>
      </c>
      <c r="F394" t="s">
        <v>186</v>
      </c>
      <c r="G394" t="s">
        <v>186</v>
      </c>
      <c r="H394">
        <v>342</v>
      </c>
      <c r="I394">
        <v>15</v>
      </c>
      <c r="J394" s="110">
        <v>392</v>
      </c>
      <c r="K394" t="s">
        <v>185</v>
      </c>
      <c r="L394">
        <f>IF(Table_TRM_Fixtures[[#This Row],[Technology]]="LED", Table_TRM_Fixtures[[#This Row],[Fixture Watts  (TRM Data)]], Table_TRM_Fixtures[[#This Row],[Lamp Watts  (TRM Data)]])</f>
        <v>342</v>
      </c>
      <c r="M394" t="str">
        <f>Table_TRM_Fixtures[[#This Row],[No. of Lamps  (TRM Data)]]</f>
        <v>N/A</v>
      </c>
      <c r="N394" t="s">
        <v>186</v>
      </c>
      <c r="O394" t="s">
        <v>186</v>
      </c>
      <c r="P394" t="s">
        <v>187</v>
      </c>
      <c r="S394" t="s">
        <v>970</v>
      </c>
      <c r="T394" t="str">
        <f>Table_TRM_Fixtures[[#This Row],[Fixture code  (TRM Data)]]</f>
        <v>LED342-FIXT</v>
      </c>
      <c r="U394" t="s">
        <v>2883</v>
      </c>
      <c r="V394" t="s">
        <v>185</v>
      </c>
      <c r="W394" t="s">
        <v>3120</v>
      </c>
      <c r="X394" t="s">
        <v>186</v>
      </c>
      <c r="AA394">
        <f>IF(Table_TRM_Fixtures[[#This Row],[Pre-EISA Baseline]]="Nominal", Table_TRM_Fixtures[[#This Row],[Fixture Watts  (TRM Data)]], Table_TRM_Fixtures[[#This Row],[Modified Baseline Fixture Watts]])</f>
        <v>342</v>
      </c>
    </row>
    <row r="395" spans="1:27" x14ac:dyDescent="0.2">
      <c r="A395" t="s">
        <v>973</v>
      </c>
      <c r="B395" t="s">
        <v>4294</v>
      </c>
      <c r="C395" t="s">
        <v>4295</v>
      </c>
      <c r="D395" t="s">
        <v>4296</v>
      </c>
      <c r="E395" t="s">
        <v>187</v>
      </c>
      <c r="F395" t="s">
        <v>186</v>
      </c>
      <c r="G395" t="s">
        <v>186</v>
      </c>
      <c r="H395">
        <v>343</v>
      </c>
      <c r="I395">
        <v>15</v>
      </c>
      <c r="J395" s="110">
        <v>393</v>
      </c>
      <c r="K395" t="s">
        <v>185</v>
      </c>
      <c r="L395">
        <f>IF(Table_TRM_Fixtures[[#This Row],[Technology]]="LED", Table_TRM_Fixtures[[#This Row],[Fixture Watts  (TRM Data)]], Table_TRM_Fixtures[[#This Row],[Lamp Watts  (TRM Data)]])</f>
        <v>343</v>
      </c>
      <c r="M395" t="str">
        <f>Table_TRM_Fixtures[[#This Row],[No. of Lamps  (TRM Data)]]</f>
        <v>N/A</v>
      </c>
      <c r="N395" t="s">
        <v>186</v>
      </c>
      <c r="O395" t="s">
        <v>186</v>
      </c>
      <c r="P395" t="s">
        <v>187</v>
      </c>
      <c r="S395" t="s">
        <v>972</v>
      </c>
      <c r="T395" t="str">
        <f>Table_TRM_Fixtures[[#This Row],[Fixture code  (TRM Data)]]</f>
        <v>LED343-FIXT</v>
      </c>
      <c r="U395" t="s">
        <v>2883</v>
      </c>
      <c r="V395" t="s">
        <v>185</v>
      </c>
      <c r="W395" t="s">
        <v>3120</v>
      </c>
      <c r="X395" t="s">
        <v>186</v>
      </c>
      <c r="AA395">
        <f>IF(Table_TRM_Fixtures[[#This Row],[Pre-EISA Baseline]]="Nominal", Table_TRM_Fixtures[[#This Row],[Fixture Watts  (TRM Data)]], Table_TRM_Fixtures[[#This Row],[Modified Baseline Fixture Watts]])</f>
        <v>343</v>
      </c>
    </row>
    <row r="396" spans="1:27" x14ac:dyDescent="0.2">
      <c r="A396" t="s">
        <v>975</v>
      </c>
      <c r="B396" t="s">
        <v>4297</v>
      </c>
      <c r="C396" t="s">
        <v>4298</v>
      </c>
      <c r="D396" t="s">
        <v>4299</v>
      </c>
      <c r="E396" t="s">
        <v>187</v>
      </c>
      <c r="F396" t="s">
        <v>186</v>
      </c>
      <c r="G396" t="s">
        <v>186</v>
      </c>
      <c r="H396">
        <v>344</v>
      </c>
      <c r="I396">
        <v>15</v>
      </c>
      <c r="J396" s="110">
        <v>394</v>
      </c>
      <c r="K396" t="s">
        <v>185</v>
      </c>
      <c r="L396">
        <f>IF(Table_TRM_Fixtures[[#This Row],[Technology]]="LED", Table_TRM_Fixtures[[#This Row],[Fixture Watts  (TRM Data)]], Table_TRM_Fixtures[[#This Row],[Lamp Watts  (TRM Data)]])</f>
        <v>344</v>
      </c>
      <c r="M396" t="str">
        <f>Table_TRM_Fixtures[[#This Row],[No. of Lamps  (TRM Data)]]</f>
        <v>N/A</v>
      </c>
      <c r="N396" t="s">
        <v>186</v>
      </c>
      <c r="O396" t="s">
        <v>186</v>
      </c>
      <c r="P396" t="s">
        <v>187</v>
      </c>
      <c r="S396" t="s">
        <v>974</v>
      </c>
      <c r="T396" t="str">
        <f>Table_TRM_Fixtures[[#This Row],[Fixture code  (TRM Data)]]</f>
        <v>LED344-FIXT</v>
      </c>
      <c r="U396" t="s">
        <v>2883</v>
      </c>
      <c r="V396" t="s">
        <v>185</v>
      </c>
      <c r="W396" t="s">
        <v>3120</v>
      </c>
      <c r="X396" t="s">
        <v>186</v>
      </c>
      <c r="AA396">
        <f>IF(Table_TRM_Fixtures[[#This Row],[Pre-EISA Baseline]]="Nominal", Table_TRM_Fixtures[[#This Row],[Fixture Watts  (TRM Data)]], Table_TRM_Fixtures[[#This Row],[Modified Baseline Fixture Watts]])</f>
        <v>344</v>
      </c>
    </row>
    <row r="397" spans="1:27" x14ac:dyDescent="0.2">
      <c r="A397" t="s">
        <v>977</v>
      </c>
      <c r="B397" t="s">
        <v>4300</v>
      </c>
      <c r="C397" t="s">
        <v>4301</v>
      </c>
      <c r="D397" t="s">
        <v>4302</v>
      </c>
      <c r="E397" t="s">
        <v>187</v>
      </c>
      <c r="F397" t="s">
        <v>186</v>
      </c>
      <c r="G397" t="s">
        <v>186</v>
      </c>
      <c r="H397">
        <v>345</v>
      </c>
      <c r="I397">
        <v>15</v>
      </c>
      <c r="J397" s="110">
        <v>395</v>
      </c>
      <c r="K397" t="s">
        <v>185</v>
      </c>
      <c r="L397">
        <f>IF(Table_TRM_Fixtures[[#This Row],[Technology]]="LED", Table_TRM_Fixtures[[#This Row],[Fixture Watts  (TRM Data)]], Table_TRM_Fixtures[[#This Row],[Lamp Watts  (TRM Data)]])</f>
        <v>345</v>
      </c>
      <c r="M397" t="str">
        <f>Table_TRM_Fixtures[[#This Row],[No. of Lamps  (TRM Data)]]</f>
        <v>N/A</v>
      </c>
      <c r="N397" t="s">
        <v>186</v>
      </c>
      <c r="O397" t="s">
        <v>186</v>
      </c>
      <c r="P397" t="s">
        <v>187</v>
      </c>
      <c r="S397" t="s">
        <v>976</v>
      </c>
      <c r="T397" t="str">
        <f>Table_TRM_Fixtures[[#This Row],[Fixture code  (TRM Data)]]</f>
        <v>LED345-FIXT</v>
      </c>
      <c r="U397" t="s">
        <v>2883</v>
      </c>
      <c r="V397" t="s">
        <v>185</v>
      </c>
      <c r="W397" t="s">
        <v>3120</v>
      </c>
      <c r="X397" t="s">
        <v>186</v>
      </c>
      <c r="AA397">
        <f>IF(Table_TRM_Fixtures[[#This Row],[Pre-EISA Baseline]]="Nominal", Table_TRM_Fixtures[[#This Row],[Fixture Watts  (TRM Data)]], Table_TRM_Fixtures[[#This Row],[Modified Baseline Fixture Watts]])</f>
        <v>345</v>
      </c>
    </row>
    <row r="398" spans="1:27" x14ac:dyDescent="0.2">
      <c r="A398" t="s">
        <v>979</v>
      </c>
      <c r="B398" t="s">
        <v>4303</v>
      </c>
      <c r="C398" t="s">
        <v>4304</v>
      </c>
      <c r="D398" t="s">
        <v>4305</v>
      </c>
      <c r="E398" t="s">
        <v>187</v>
      </c>
      <c r="F398" t="s">
        <v>186</v>
      </c>
      <c r="G398" t="s">
        <v>186</v>
      </c>
      <c r="H398">
        <v>346</v>
      </c>
      <c r="I398">
        <v>15</v>
      </c>
      <c r="J398" s="110">
        <v>396</v>
      </c>
      <c r="K398" t="s">
        <v>185</v>
      </c>
      <c r="L398">
        <f>IF(Table_TRM_Fixtures[[#This Row],[Technology]]="LED", Table_TRM_Fixtures[[#This Row],[Fixture Watts  (TRM Data)]], Table_TRM_Fixtures[[#This Row],[Lamp Watts  (TRM Data)]])</f>
        <v>346</v>
      </c>
      <c r="M398" t="str">
        <f>Table_TRM_Fixtures[[#This Row],[No. of Lamps  (TRM Data)]]</f>
        <v>N/A</v>
      </c>
      <c r="N398" t="s">
        <v>186</v>
      </c>
      <c r="O398" t="s">
        <v>186</v>
      </c>
      <c r="P398" t="s">
        <v>187</v>
      </c>
      <c r="S398" t="s">
        <v>978</v>
      </c>
      <c r="T398" t="str">
        <f>Table_TRM_Fixtures[[#This Row],[Fixture code  (TRM Data)]]</f>
        <v>LED346-FIXT</v>
      </c>
      <c r="U398" t="s">
        <v>2883</v>
      </c>
      <c r="V398" t="s">
        <v>185</v>
      </c>
      <c r="W398" t="s">
        <v>3120</v>
      </c>
      <c r="X398" t="s">
        <v>186</v>
      </c>
      <c r="AA398">
        <f>IF(Table_TRM_Fixtures[[#This Row],[Pre-EISA Baseline]]="Nominal", Table_TRM_Fixtures[[#This Row],[Fixture Watts  (TRM Data)]], Table_TRM_Fixtures[[#This Row],[Modified Baseline Fixture Watts]])</f>
        <v>346</v>
      </c>
    </row>
    <row r="399" spans="1:27" x14ac:dyDescent="0.2">
      <c r="A399" t="s">
        <v>981</v>
      </c>
      <c r="B399" t="s">
        <v>4306</v>
      </c>
      <c r="C399" t="s">
        <v>4307</v>
      </c>
      <c r="D399" t="s">
        <v>4308</v>
      </c>
      <c r="E399" t="s">
        <v>187</v>
      </c>
      <c r="F399" t="s">
        <v>186</v>
      </c>
      <c r="G399" t="s">
        <v>186</v>
      </c>
      <c r="H399">
        <v>347</v>
      </c>
      <c r="I399">
        <v>15</v>
      </c>
      <c r="J399" s="110">
        <v>397</v>
      </c>
      <c r="K399" t="s">
        <v>185</v>
      </c>
      <c r="L399">
        <f>IF(Table_TRM_Fixtures[[#This Row],[Technology]]="LED", Table_TRM_Fixtures[[#This Row],[Fixture Watts  (TRM Data)]], Table_TRM_Fixtures[[#This Row],[Lamp Watts  (TRM Data)]])</f>
        <v>347</v>
      </c>
      <c r="M399" t="str">
        <f>Table_TRM_Fixtures[[#This Row],[No. of Lamps  (TRM Data)]]</f>
        <v>N/A</v>
      </c>
      <c r="N399" t="s">
        <v>186</v>
      </c>
      <c r="O399" t="s">
        <v>186</v>
      </c>
      <c r="P399" t="s">
        <v>187</v>
      </c>
      <c r="S399" t="s">
        <v>980</v>
      </c>
      <c r="T399" t="str">
        <f>Table_TRM_Fixtures[[#This Row],[Fixture code  (TRM Data)]]</f>
        <v>LED347-FIXT</v>
      </c>
      <c r="U399" t="s">
        <v>2883</v>
      </c>
      <c r="V399" t="s">
        <v>185</v>
      </c>
      <c r="W399" t="s">
        <v>3120</v>
      </c>
      <c r="X399" t="s">
        <v>186</v>
      </c>
      <c r="AA399">
        <f>IF(Table_TRM_Fixtures[[#This Row],[Pre-EISA Baseline]]="Nominal", Table_TRM_Fixtures[[#This Row],[Fixture Watts  (TRM Data)]], Table_TRM_Fixtures[[#This Row],[Modified Baseline Fixture Watts]])</f>
        <v>347</v>
      </c>
    </row>
    <row r="400" spans="1:27" x14ac:dyDescent="0.2">
      <c r="A400" t="s">
        <v>983</v>
      </c>
      <c r="B400" t="s">
        <v>4309</v>
      </c>
      <c r="C400" t="s">
        <v>4310</v>
      </c>
      <c r="D400" t="s">
        <v>4311</v>
      </c>
      <c r="E400" t="s">
        <v>187</v>
      </c>
      <c r="F400" t="s">
        <v>186</v>
      </c>
      <c r="G400" t="s">
        <v>186</v>
      </c>
      <c r="H400">
        <v>348</v>
      </c>
      <c r="I400">
        <v>15</v>
      </c>
      <c r="J400" s="110">
        <v>398</v>
      </c>
      <c r="K400" t="s">
        <v>185</v>
      </c>
      <c r="L400">
        <f>IF(Table_TRM_Fixtures[[#This Row],[Technology]]="LED", Table_TRM_Fixtures[[#This Row],[Fixture Watts  (TRM Data)]], Table_TRM_Fixtures[[#This Row],[Lamp Watts  (TRM Data)]])</f>
        <v>348</v>
      </c>
      <c r="M400" t="str">
        <f>Table_TRM_Fixtures[[#This Row],[No. of Lamps  (TRM Data)]]</f>
        <v>N/A</v>
      </c>
      <c r="N400" t="s">
        <v>186</v>
      </c>
      <c r="O400" t="s">
        <v>186</v>
      </c>
      <c r="P400" t="s">
        <v>187</v>
      </c>
      <c r="S400" t="s">
        <v>982</v>
      </c>
      <c r="T400" t="str">
        <f>Table_TRM_Fixtures[[#This Row],[Fixture code  (TRM Data)]]</f>
        <v>LED348-FIXT</v>
      </c>
      <c r="U400" t="s">
        <v>2883</v>
      </c>
      <c r="V400" t="s">
        <v>185</v>
      </c>
      <c r="W400" t="s">
        <v>3120</v>
      </c>
      <c r="X400" t="s">
        <v>186</v>
      </c>
      <c r="AA400">
        <f>IF(Table_TRM_Fixtures[[#This Row],[Pre-EISA Baseline]]="Nominal", Table_TRM_Fixtures[[#This Row],[Fixture Watts  (TRM Data)]], Table_TRM_Fixtures[[#This Row],[Modified Baseline Fixture Watts]])</f>
        <v>348</v>
      </c>
    </row>
    <row r="401" spans="1:27" x14ac:dyDescent="0.2">
      <c r="A401" t="s">
        <v>985</v>
      </c>
      <c r="B401" t="s">
        <v>4312</v>
      </c>
      <c r="C401" t="s">
        <v>4313</v>
      </c>
      <c r="D401" t="s">
        <v>4314</v>
      </c>
      <c r="E401" t="s">
        <v>187</v>
      </c>
      <c r="F401" t="s">
        <v>186</v>
      </c>
      <c r="G401" t="s">
        <v>186</v>
      </c>
      <c r="H401">
        <v>349</v>
      </c>
      <c r="I401">
        <v>15</v>
      </c>
      <c r="J401" s="110">
        <v>399</v>
      </c>
      <c r="K401" t="s">
        <v>185</v>
      </c>
      <c r="L401">
        <f>IF(Table_TRM_Fixtures[[#This Row],[Technology]]="LED", Table_TRM_Fixtures[[#This Row],[Fixture Watts  (TRM Data)]], Table_TRM_Fixtures[[#This Row],[Lamp Watts  (TRM Data)]])</f>
        <v>349</v>
      </c>
      <c r="M401" t="str">
        <f>Table_TRM_Fixtures[[#This Row],[No. of Lamps  (TRM Data)]]</f>
        <v>N/A</v>
      </c>
      <c r="N401" t="s">
        <v>186</v>
      </c>
      <c r="O401" t="s">
        <v>186</v>
      </c>
      <c r="P401" t="s">
        <v>187</v>
      </c>
      <c r="S401" t="s">
        <v>984</v>
      </c>
      <c r="T401" t="str">
        <f>Table_TRM_Fixtures[[#This Row],[Fixture code  (TRM Data)]]</f>
        <v>LED349-FIXT</v>
      </c>
      <c r="U401" t="s">
        <v>2883</v>
      </c>
      <c r="V401" t="s">
        <v>185</v>
      </c>
      <c r="W401" t="s">
        <v>3120</v>
      </c>
      <c r="X401" t="s">
        <v>186</v>
      </c>
      <c r="AA401">
        <f>IF(Table_TRM_Fixtures[[#This Row],[Pre-EISA Baseline]]="Nominal", Table_TRM_Fixtures[[#This Row],[Fixture Watts  (TRM Data)]], Table_TRM_Fixtures[[#This Row],[Modified Baseline Fixture Watts]])</f>
        <v>349</v>
      </c>
    </row>
    <row r="402" spans="1:27" x14ac:dyDescent="0.2">
      <c r="A402" t="s">
        <v>987</v>
      </c>
      <c r="B402" t="s">
        <v>4315</v>
      </c>
      <c r="C402" t="s">
        <v>4316</v>
      </c>
      <c r="D402" t="s">
        <v>4317</v>
      </c>
      <c r="E402" t="s">
        <v>187</v>
      </c>
      <c r="F402" t="s">
        <v>186</v>
      </c>
      <c r="G402" t="s">
        <v>186</v>
      </c>
      <c r="H402">
        <v>350</v>
      </c>
      <c r="I402">
        <v>15</v>
      </c>
      <c r="J402" s="110">
        <v>400</v>
      </c>
      <c r="K402" t="s">
        <v>185</v>
      </c>
      <c r="L402">
        <f>IF(Table_TRM_Fixtures[[#This Row],[Technology]]="LED", Table_TRM_Fixtures[[#This Row],[Fixture Watts  (TRM Data)]], Table_TRM_Fixtures[[#This Row],[Lamp Watts  (TRM Data)]])</f>
        <v>350</v>
      </c>
      <c r="M402" t="str">
        <f>Table_TRM_Fixtures[[#This Row],[No. of Lamps  (TRM Data)]]</f>
        <v>N/A</v>
      </c>
      <c r="N402" t="s">
        <v>186</v>
      </c>
      <c r="O402" t="s">
        <v>186</v>
      </c>
      <c r="P402" t="s">
        <v>187</v>
      </c>
      <c r="S402" t="s">
        <v>986</v>
      </c>
      <c r="T402" t="str">
        <f>Table_TRM_Fixtures[[#This Row],[Fixture code  (TRM Data)]]</f>
        <v>LED350-FIXT</v>
      </c>
      <c r="U402" t="s">
        <v>2883</v>
      </c>
      <c r="V402" t="s">
        <v>185</v>
      </c>
      <c r="W402" t="s">
        <v>3120</v>
      </c>
      <c r="X402" t="s">
        <v>186</v>
      </c>
      <c r="AA402">
        <f>IF(Table_TRM_Fixtures[[#This Row],[Pre-EISA Baseline]]="Nominal", Table_TRM_Fixtures[[#This Row],[Fixture Watts  (TRM Data)]], Table_TRM_Fixtures[[#This Row],[Modified Baseline Fixture Watts]])</f>
        <v>350</v>
      </c>
    </row>
    <row r="403" spans="1:27" x14ac:dyDescent="0.2">
      <c r="A403" t="s">
        <v>989</v>
      </c>
      <c r="B403" t="s">
        <v>4318</v>
      </c>
      <c r="C403" t="s">
        <v>4319</v>
      </c>
      <c r="D403" t="s">
        <v>4320</v>
      </c>
      <c r="E403" t="s">
        <v>187</v>
      </c>
      <c r="F403" t="s">
        <v>186</v>
      </c>
      <c r="G403" t="s">
        <v>186</v>
      </c>
      <c r="H403">
        <v>351</v>
      </c>
      <c r="I403">
        <v>15</v>
      </c>
      <c r="J403" s="110">
        <v>401</v>
      </c>
      <c r="K403" t="s">
        <v>185</v>
      </c>
      <c r="L403">
        <f>IF(Table_TRM_Fixtures[[#This Row],[Technology]]="LED", Table_TRM_Fixtures[[#This Row],[Fixture Watts  (TRM Data)]], Table_TRM_Fixtures[[#This Row],[Lamp Watts  (TRM Data)]])</f>
        <v>351</v>
      </c>
      <c r="M403" t="str">
        <f>Table_TRM_Fixtures[[#This Row],[No. of Lamps  (TRM Data)]]</f>
        <v>N/A</v>
      </c>
      <c r="N403" t="s">
        <v>186</v>
      </c>
      <c r="O403" t="s">
        <v>186</v>
      </c>
      <c r="P403" t="s">
        <v>187</v>
      </c>
      <c r="S403" t="s">
        <v>988</v>
      </c>
      <c r="T403" t="str">
        <f>Table_TRM_Fixtures[[#This Row],[Fixture code  (TRM Data)]]</f>
        <v>LED351-FIXT</v>
      </c>
      <c r="U403" t="s">
        <v>2883</v>
      </c>
      <c r="V403" t="s">
        <v>185</v>
      </c>
      <c r="W403" t="s">
        <v>3120</v>
      </c>
      <c r="X403" t="s">
        <v>186</v>
      </c>
      <c r="AA403">
        <f>IF(Table_TRM_Fixtures[[#This Row],[Pre-EISA Baseline]]="Nominal", Table_TRM_Fixtures[[#This Row],[Fixture Watts  (TRM Data)]], Table_TRM_Fixtures[[#This Row],[Modified Baseline Fixture Watts]])</f>
        <v>351</v>
      </c>
    </row>
    <row r="404" spans="1:27" x14ac:dyDescent="0.2">
      <c r="A404" t="s">
        <v>991</v>
      </c>
      <c r="B404" t="s">
        <v>4321</v>
      </c>
      <c r="C404" t="s">
        <v>4322</v>
      </c>
      <c r="D404" t="s">
        <v>4323</v>
      </c>
      <c r="E404" t="s">
        <v>187</v>
      </c>
      <c r="F404" t="s">
        <v>186</v>
      </c>
      <c r="G404" t="s">
        <v>186</v>
      </c>
      <c r="H404">
        <v>352</v>
      </c>
      <c r="I404">
        <v>15</v>
      </c>
      <c r="J404" s="110">
        <v>402</v>
      </c>
      <c r="K404" t="s">
        <v>185</v>
      </c>
      <c r="L404">
        <f>IF(Table_TRM_Fixtures[[#This Row],[Technology]]="LED", Table_TRM_Fixtures[[#This Row],[Fixture Watts  (TRM Data)]], Table_TRM_Fixtures[[#This Row],[Lamp Watts  (TRM Data)]])</f>
        <v>352</v>
      </c>
      <c r="M404" t="str">
        <f>Table_TRM_Fixtures[[#This Row],[No. of Lamps  (TRM Data)]]</f>
        <v>N/A</v>
      </c>
      <c r="N404" t="s">
        <v>186</v>
      </c>
      <c r="O404" t="s">
        <v>186</v>
      </c>
      <c r="P404" t="s">
        <v>187</v>
      </c>
      <c r="S404" t="s">
        <v>990</v>
      </c>
      <c r="T404" t="str">
        <f>Table_TRM_Fixtures[[#This Row],[Fixture code  (TRM Data)]]</f>
        <v>LED352-FIXT</v>
      </c>
      <c r="U404" t="s">
        <v>2883</v>
      </c>
      <c r="V404" t="s">
        <v>185</v>
      </c>
      <c r="W404" t="s">
        <v>3120</v>
      </c>
      <c r="X404" t="s">
        <v>186</v>
      </c>
      <c r="AA404">
        <f>IF(Table_TRM_Fixtures[[#This Row],[Pre-EISA Baseline]]="Nominal", Table_TRM_Fixtures[[#This Row],[Fixture Watts  (TRM Data)]], Table_TRM_Fixtures[[#This Row],[Modified Baseline Fixture Watts]])</f>
        <v>352</v>
      </c>
    </row>
    <row r="405" spans="1:27" x14ac:dyDescent="0.2">
      <c r="A405" t="s">
        <v>993</v>
      </c>
      <c r="B405" t="s">
        <v>4324</v>
      </c>
      <c r="C405" t="s">
        <v>4325</v>
      </c>
      <c r="D405" t="s">
        <v>4326</v>
      </c>
      <c r="E405" t="s">
        <v>187</v>
      </c>
      <c r="F405" t="s">
        <v>186</v>
      </c>
      <c r="G405" t="s">
        <v>186</v>
      </c>
      <c r="H405">
        <v>353</v>
      </c>
      <c r="I405">
        <v>15</v>
      </c>
      <c r="J405" s="110">
        <v>403</v>
      </c>
      <c r="K405" t="s">
        <v>185</v>
      </c>
      <c r="L405">
        <f>IF(Table_TRM_Fixtures[[#This Row],[Technology]]="LED", Table_TRM_Fixtures[[#This Row],[Fixture Watts  (TRM Data)]], Table_TRM_Fixtures[[#This Row],[Lamp Watts  (TRM Data)]])</f>
        <v>353</v>
      </c>
      <c r="M405" t="str">
        <f>Table_TRM_Fixtures[[#This Row],[No. of Lamps  (TRM Data)]]</f>
        <v>N/A</v>
      </c>
      <c r="N405" t="s">
        <v>186</v>
      </c>
      <c r="O405" t="s">
        <v>186</v>
      </c>
      <c r="P405" t="s">
        <v>187</v>
      </c>
      <c r="S405" t="s">
        <v>992</v>
      </c>
      <c r="T405" t="str">
        <f>Table_TRM_Fixtures[[#This Row],[Fixture code  (TRM Data)]]</f>
        <v>LED353-FIXT</v>
      </c>
      <c r="U405" t="s">
        <v>2883</v>
      </c>
      <c r="V405" t="s">
        <v>185</v>
      </c>
      <c r="W405" t="s">
        <v>3120</v>
      </c>
      <c r="X405" t="s">
        <v>186</v>
      </c>
      <c r="AA405">
        <f>IF(Table_TRM_Fixtures[[#This Row],[Pre-EISA Baseline]]="Nominal", Table_TRM_Fixtures[[#This Row],[Fixture Watts  (TRM Data)]], Table_TRM_Fixtures[[#This Row],[Modified Baseline Fixture Watts]])</f>
        <v>353</v>
      </c>
    </row>
    <row r="406" spans="1:27" x14ac:dyDescent="0.2">
      <c r="A406" t="s">
        <v>995</v>
      </c>
      <c r="B406" t="s">
        <v>4327</v>
      </c>
      <c r="C406" t="s">
        <v>4328</v>
      </c>
      <c r="D406" t="s">
        <v>4329</v>
      </c>
      <c r="E406" t="s">
        <v>187</v>
      </c>
      <c r="F406" t="s">
        <v>186</v>
      </c>
      <c r="G406" t="s">
        <v>186</v>
      </c>
      <c r="H406">
        <v>354</v>
      </c>
      <c r="I406">
        <v>15</v>
      </c>
      <c r="J406" s="110">
        <v>404</v>
      </c>
      <c r="K406" t="s">
        <v>185</v>
      </c>
      <c r="L406">
        <f>IF(Table_TRM_Fixtures[[#This Row],[Technology]]="LED", Table_TRM_Fixtures[[#This Row],[Fixture Watts  (TRM Data)]], Table_TRM_Fixtures[[#This Row],[Lamp Watts  (TRM Data)]])</f>
        <v>354</v>
      </c>
      <c r="M406" t="str">
        <f>Table_TRM_Fixtures[[#This Row],[No. of Lamps  (TRM Data)]]</f>
        <v>N/A</v>
      </c>
      <c r="N406" t="s">
        <v>186</v>
      </c>
      <c r="O406" t="s">
        <v>186</v>
      </c>
      <c r="P406" t="s">
        <v>187</v>
      </c>
      <c r="S406" t="s">
        <v>994</v>
      </c>
      <c r="T406" t="str">
        <f>Table_TRM_Fixtures[[#This Row],[Fixture code  (TRM Data)]]</f>
        <v>LED354-FIXT</v>
      </c>
      <c r="U406" t="s">
        <v>2883</v>
      </c>
      <c r="V406" t="s">
        <v>185</v>
      </c>
      <c r="W406" t="s">
        <v>3120</v>
      </c>
      <c r="X406" t="s">
        <v>186</v>
      </c>
      <c r="AA406">
        <f>IF(Table_TRM_Fixtures[[#This Row],[Pre-EISA Baseline]]="Nominal", Table_TRM_Fixtures[[#This Row],[Fixture Watts  (TRM Data)]], Table_TRM_Fixtures[[#This Row],[Modified Baseline Fixture Watts]])</f>
        <v>354</v>
      </c>
    </row>
    <row r="407" spans="1:27" x14ac:dyDescent="0.2">
      <c r="A407" t="s">
        <v>997</v>
      </c>
      <c r="B407" t="s">
        <v>4330</v>
      </c>
      <c r="C407" t="s">
        <v>4331</v>
      </c>
      <c r="D407" t="s">
        <v>4332</v>
      </c>
      <c r="E407" t="s">
        <v>187</v>
      </c>
      <c r="F407" t="s">
        <v>186</v>
      </c>
      <c r="G407" t="s">
        <v>186</v>
      </c>
      <c r="H407">
        <v>355</v>
      </c>
      <c r="I407">
        <v>15</v>
      </c>
      <c r="J407" s="110">
        <v>405</v>
      </c>
      <c r="K407" t="s">
        <v>185</v>
      </c>
      <c r="L407">
        <f>IF(Table_TRM_Fixtures[[#This Row],[Technology]]="LED", Table_TRM_Fixtures[[#This Row],[Fixture Watts  (TRM Data)]], Table_TRM_Fixtures[[#This Row],[Lamp Watts  (TRM Data)]])</f>
        <v>355</v>
      </c>
      <c r="M407" t="str">
        <f>Table_TRM_Fixtures[[#This Row],[No. of Lamps  (TRM Data)]]</f>
        <v>N/A</v>
      </c>
      <c r="N407" t="s">
        <v>186</v>
      </c>
      <c r="O407" t="s">
        <v>186</v>
      </c>
      <c r="P407" t="s">
        <v>187</v>
      </c>
      <c r="S407" t="s">
        <v>996</v>
      </c>
      <c r="T407" t="str">
        <f>Table_TRM_Fixtures[[#This Row],[Fixture code  (TRM Data)]]</f>
        <v>LED355-FIXT</v>
      </c>
      <c r="U407" t="s">
        <v>2883</v>
      </c>
      <c r="V407" t="s">
        <v>185</v>
      </c>
      <c r="W407" t="s">
        <v>3120</v>
      </c>
      <c r="X407" t="s">
        <v>186</v>
      </c>
      <c r="AA407">
        <f>IF(Table_TRM_Fixtures[[#This Row],[Pre-EISA Baseline]]="Nominal", Table_TRM_Fixtures[[#This Row],[Fixture Watts  (TRM Data)]], Table_TRM_Fixtures[[#This Row],[Modified Baseline Fixture Watts]])</f>
        <v>355</v>
      </c>
    </row>
    <row r="408" spans="1:27" x14ac:dyDescent="0.2">
      <c r="A408" t="s">
        <v>999</v>
      </c>
      <c r="B408" t="s">
        <v>4333</v>
      </c>
      <c r="C408" t="s">
        <v>4334</v>
      </c>
      <c r="D408" t="s">
        <v>4335</v>
      </c>
      <c r="E408" t="s">
        <v>187</v>
      </c>
      <c r="F408" t="s">
        <v>186</v>
      </c>
      <c r="G408" t="s">
        <v>186</v>
      </c>
      <c r="H408">
        <v>356</v>
      </c>
      <c r="I408">
        <v>15</v>
      </c>
      <c r="J408" s="110">
        <v>406</v>
      </c>
      <c r="K408" t="s">
        <v>185</v>
      </c>
      <c r="L408">
        <f>IF(Table_TRM_Fixtures[[#This Row],[Technology]]="LED", Table_TRM_Fixtures[[#This Row],[Fixture Watts  (TRM Data)]], Table_TRM_Fixtures[[#This Row],[Lamp Watts  (TRM Data)]])</f>
        <v>356</v>
      </c>
      <c r="M408" t="str">
        <f>Table_TRM_Fixtures[[#This Row],[No. of Lamps  (TRM Data)]]</f>
        <v>N/A</v>
      </c>
      <c r="N408" t="s">
        <v>186</v>
      </c>
      <c r="O408" t="s">
        <v>186</v>
      </c>
      <c r="P408" t="s">
        <v>187</v>
      </c>
      <c r="S408" t="s">
        <v>998</v>
      </c>
      <c r="T408" t="str">
        <f>Table_TRM_Fixtures[[#This Row],[Fixture code  (TRM Data)]]</f>
        <v>LED356-FIXT</v>
      </c>
      <c r="U408" t="s">
        <v>2883</v>
      </c>
      <c r="V408" t="s">
        <v>185</v>
      </c>
      <c r="W408" t="s">
        <v>3120</v>
      </c>
      <c r="X408" t="s">
        <v>186</v>
      </c>
      <c r="AA408">
        <f>IF(Table_TRM_Fixtures[[#This Row],[Pre-EISA Baseline]]="Nominal", Table_TRM_Fixtures[[#This Row],[Fixture Watts  (TRM Data)]], Table_TRM_Fixtures[[#This Row],[Modified Baseline Fixture Watts]])</f>
        <v>356</v>
      </c>
    </row>
    <row r="409" spans="1:27" x14ac:dyDescent="0.2">
      <c r="A409" t="s">
        <v>1001</v>
      </c>
      <c r="B409" t="s">
        <v>4336</v>
      </c>
      <c r="C409" t="s">
        <v>4337</v>
      </c>
      <c r="D409" t="s">
        <v>4338</v>
      </c>
      <c r="E409" t="s">
        <v>187</v>
      </c>
      <c r="F409" t="s">
        <v>186</v>
      </c>
      <c r="G409" t="s">
        <v>186</v>
      </c>
      <c r="H409">
        <v>357</v>
      </c>
      <c r="I409">
        <v>15</v>
      </c>
      <c r="J409" s="110">
        <v>407</v>
      </c>
      <c r="K409" t="s">
        <v>185</v>
      </c>
      <c r="L409">
        <f>IF(Table_TRM_Fixtures[[#This Row],[Technology]]="LED", Table_TRM_Fixtures[[#This Row],[Fixture Watts  (TRM Data)]], Table_TRM_Fixtures[[#This Row],[Lamp Watts  (TRM Data)]])</f>
        <v>357</v>
      </c>
      <c r="M409" t="str">
        <f>Table_TRM_Fixtures[[#This Row],[No. of Lamps  (TRM Data)]]</f>
        <v>N/A</v>
      </c>
      <c r="N409" t="s">
        <v>186</v>
      </c>
      <c r="O409" t="s">
        <v>186</v>
      </c>
      <c r="P409" t="s">
        <v>187</v>
      </c>
      <c r="S409" t="s">
        <v>1000</v>
      </c>
      <c r="T409" t="str">
        <f>Table_TRM_Fixtures[[#This Row],[Fixture code  (TRM Data)]]</f>
        <v>LED357-FIXT</v>
      </c>
      <c r="U409" t="s">
        <v>2883</v>
      </c>
      <c r="V409" t="s">
        <v>185</v>
      </c>
      <c r="W409" t="s">
        <v>3120</v>
      </c>
      <c r="X409" t="s">
        <v>186</v>
      </c>
      <c r="AA409">
        <f>IF(Table_TRM_Fixtures[[#This Row],[Pre-EISA Baseline]]="Nominal", Table_TRM_Fixtures[[#This Row],[Fixture Watts  (TRM Data)]], Table_TRM_Fixtures[[#This Row],[Modified Baseline Fixture Watts]])</f>
        <v>357</v>
      </c>
    </row>
    <row r="410" spans="1:27" x14ac:dyDescent="0.2">
      <c r="A410" t="s">
        <v>1003</v>
      </c>
      <c r="B410" t="s">
        <v>4339</v>
      </c>
      <c r="C410" t="s">
        <v>4340</v>
      </c>
      <c r="D410" t="s">
        <v>4341</v>
      </c>
      <c r="E410" t="s">
        <v>187</v>
      </c>
      <c r="F410" t="s">
        <v>186</v>
      </c>
      <c r="G410" t="s">
        <v>186</v>
      </c>
      <c r="H410">
        <v>358</v>
      </c>
      <c r="I410">
        <v>15</v>
      </c>
      <c r="J410" s="110">
        <v>408</v>
      </c>
      <c r="K410" t="s">
        <v>185</v>
      </c>
      <c r="L410">
        <f>IF(Table_TRM_Fixtures[[#This Row],[Technology]]="LED", Table_TRM_Fixtures[[#This Row],[Fixture Watts  (TRM Data)]], Table_TRM_Fixtures[[#This Row],[Lamp Watts  (TRM Data)]])</f>
        <v>358</v>
      </c>
      <c r="M410" t="str">
        <f>Table_TRM_Fixtures[[#This Row],[No. of Lamps  (TRM Data)]]</f>
        <v>N/A</v>
      </c>
      <c r="N410" t="s">
        <v>186</v>
      </c>
      <c r="O410" t="s">
        <v>186</v>
      </c>
      <c r="P410" t="s">
        <v>187</v>
      </c>
      <c r="S410" t="s">
        <v>1002</v>
      </c>
      <c r="T410" t="str">
        <f>Table_TRM_Fixtures[[#This Row],[Fixture code  (TRM Data)]]</f>
        <v>LED358-FIXT</v>
      </c>
      <c r="U410" t="s">
        <v>2883</v>
      </c>
      <c r="V410" t="s">
        <v>185</v>
      </c>
      <c r="W410" t="s">
        <v>3120</v>
      </c>
      <c r="X410" t="s">
        <v>186</v>
      </c>
      <c r="AA410">
        <f>IF(Table_TRM_Fixtures[[#This Row],[Pre-EISA Baseline]]="Nominal", Table_TRM_Fixtures[[#This Row],[Fixture Watts  (TRM Data)]], Table_TRM_Fixtures[[#This Row],[Modified Baseline Fixture Watts]])</f>
        <v>358</v>
      </c>
    </row>
    <row r="411" spans="1:27" x14ac:dyDescent="0.2">
      <c r="A411" t="s">
        <v>1005</v>
      </c>
      <c r="B411" t="s">
        <v>4342</v>
      </c>
      <c r="C411" t="s">
        <v>4343</v>
      </c>
      <c r="D411" t="s">
        <v>4344</v>
      </c>
      <c r="E411" t="s">
        <v>187</v>
      </c>
      <c r="F411" t="s">
        <v>186</v>
      </c>
      <c r="G411" t="s">
        <v>186</v>
      </c>
      <c r="H411">
        <v>359</v>
      </c>
      <c r="I411">
        <v>15</v>
      </c>
      <c r="J411" s="110">
        <v>409</v>
      </c>
      <c r="K411" t="s">
        <v>185</v>
      </c>
      <c r="L411">
        <f>IF(Table_TRM_Fixtures[[#This Row],[Technology]]="LED", Table_TRM_Fixtures[[#This Row],[Fixture Watts  (TRM Data)]], Table_TRM_Fixtures[[#This Row],[Lamp Watts  (TRM Data)]])</f>
        <v>359</v>
      </c>
      <c r="M411" t="str">
        <f>Table_TRM_Fixtures[[#This Row],[No. of Lamps  (TRM Data)]]</f>
        <v>N/A</v>
      </c>
      <c r="N411" t="s">
        <v>186</v>
      </c>
      <c r="O411" t="s">
        <v>186</v>
      </c>
      <c r="P411" t="s">
        <v>187</v>
      </c>
      <c r="S411" t="s">
        <v>1004</v>
      </c>
      <c r="T411" t="str">
        <f>Table_TRM_Fixtures[[#This Row],[Fixture code  (TRM Data)]]</f>
        <v>LED359-FIXT</v>
      </c>
      <c r="U411" t="s">
        <v>2883</v>
      </c>
      <c r="V411" t="s">
        <v>185</v>
      </c>
      <c r="W411" t="s">
        <v>3120</v>
      </c>
      <c r="X411" t="s">
        <v>186</v>
      </c>
      <c r="AA411">
        <f>IF(Table_TRM_Fixtures[[#This Row],[Pre-EISA Baseline]]="Nominal", Table_TRM_Fixtures[[#This Row],[Fixture Watts  (TRM Data)]], Table_TRM_Fixtures[[#This Row],[Modified Baseline Fixture Watts]])</f>
        <v>359</v>
      </c>
    </row>
    <row r="412" spans="1:27" x14ac:dyDescent="0.2">
      <c r="A412" t="s">
        <v>1007</v>
      </c>
      <c r="B412" t="s">
        <v>4345</v>
      </c>
      <c r="C412" t="s">
        <v>4346</v>
      </c>
      <c r="D412" t="s">
        <v>4347</v>
      </c>
      <c r="E412" t="s">
        <v>187</v>
      </c>
      <c r="F412" t="s">
        <v>186</v>
      </c>
      <c r="G412" t="s">
        <v>186</v>
      </c>
      <c r="H412">
        <v>360</v>
      </c>
      <c r="I412">
        <v>15</v>
      </c>
      <c r="J412" s="110">
        <v>410</v>
      </c>
      <c r="K412" t="s">
        <v>185</v>
      </c>
      <c r="L412">
        <f>IF(Table_TRM_Fixtures[[#This Row],[Technology]]="LED", Table_TRM_Fixtures[[#This Row],[Fixture Watts  (TRM Data)]], Table_TRM_Fixtures[[#This Row],[Lamp Watts  (TRM Data)]])</f>
        <v>360</v>
      </c>
      <c r="M412" t="str">
        <f>Table_TRM_Fixtures[[#This Row],[No. of Lamps  (TRM Data)]]</f>
        <v>N/A</v>
      </c>
      <c r="N412" t="s">
        <v>186</v>
      </c>
      <c r="O412" t="s">
        <v>186</v>
      </c>
      <c r="P412" t="s">
        <v>187</v>
      </c>
      <c r="S412" t="s">
        <v>1006</v>
      </c>
      <c r="T412" t="str">
        <f>Table_TRM_Fixtures[[#This Row],[Fixture code  (TRM Data)]]</f>
        <v>LED360-FIXT</v>
      </c>
      <c r="U412" t="s">
        <v>2883</v>
      </c>
      <c r="V412" t="s">
        <v>185</v>
      </c>
      <c r="W412" t="s">
        <v>3120</v>
      </c>
      <c r="X412" t="s">
        <v>186</v>
      </c>
      <c r="AA412">
        <f>IF(Table_TRM_Fixtures[[#This Row],[Pre-EISA Baseline]]="Nominal", Table_TRM_Fixtures[[#This Row],[Fixture Watts  (TRM Data)]], Table_TRM_Fixtures[[#This Row],[Modified Baseline Fixture Watts]])</f>
        <v>360</v>
      </c>
    </row>
    <row r="413" spans="1:27" x14ac:dyDescent="0.2">
      <c r="A413" t="s">
        <v>1009</v>
      </c>
      <c r="B413" t="s">
        <v>4348</v>
      </c>
      <c r="C413" t="s">
        <v>4349</v>
      </c>
      <c r="D413" t="s">
        <v>4350</v>
      </c>
      <c r="E413" t="s">
        <v>187</v>
      </c>
      <c r="F413" t="s">
        <v>186</v>
      </c>
      <c r="G413" t="s">
        <v>186</v>
      </c>
      <c r="H413">
        <v>361</v>
      </c>
      <c r="I413">
        <v>15</v>
      </c>
      <c r="J413" s="110">
        <v>411</v>
      </c>
      <c r="K413" t="s">
        <v>185</v>
      </c>
      <c r="L413">
        <f>IF(Table_TRM_Fixtures[[#This Row],[Technology]]="LED", Table_TRM_Fixtures[[#This Row],[Fixture Watts  (TRM Data)]], Table_TRM_Fixtures[[#This Row],[Lamp Watts  (TRM Data)]])</f>
        <v>361</v>
      </c>
      <c r="M413" t="str">
        <f>Table_TRM_Fixtures[[#This Row],[No. of Lamps  (TRM Data)]]</f>
        <v>N/A</v>
      </c>
      <c r="N413" t="s">
        <v>186</v>
      </c>
      <c r="O413" t="s">
        <v>186</v>
      </c>
      <c r="P413" t="s">
        <v>187</v>
      </c>
      <c r="S413" t="s">
        <v>1008</v>
      </c>
      <c r="T413" t="str">
        <f>Table_TRM_Fixtures[[#This Row],[Fixture code  (TRM Data)]]</f>
        <v>LED361-FIXT</v>
      </c>
      <c r="U413" t="s">
        <v>2883</v>
      </c>
      <c r="V413" t="s">
        <v>185</v>
      </c>
      <c r="W413" t="s">
        <v>3120</v>
      </c>
      <c r="X413" t="s">
        <v>186</v>
      </c>
      <c r="AA413">
        <f>IF(Table_TRM_Fixtures[[#This Row],[Pre-EISA Baseline]]="Nominal", Table_TRM_Fixtures[[#This Row],[Fixture Watts  (TRM Data)]], Table_TRM_Fixtures[[#This Row],[Modified Baseline Fixture Watts]])</f>
        <v>361</v>
      </c>
    </row>
    <row r="414" spans="1:27" x14ac:dyDescent="0.2">
      <c r="A414" t="s">
        <v>1011</v>
      </c>
      <c r="B414" t="s">
        <v>4351</v>
      </c>
      <c r="C414" t="s">
        <v>4352</v>
      </c>
      <c r="D414" t="s">
        <v>4353</v>
      </c>
      <c r="E414" t="s">
        <v>187</v>
      </c>
      <c r="F414" t="s">
        <v>186</v>
      </c>
      <c r="G414" t="s">
        <v>186</v>
      </c>
      <c r="H414">
        <v>362</v>
      </c>
      <c r="I414">
        <v>15</v>
      </c>
      <c r="J414" s="110">
        <v>412</v>
      </c>
      <c r="K414" t="s">
        <v>185</v>
      </c>
      <c r="L414">
        <f>IF(Table_TRM_Fixtures[[#This Row],[Technology]]="LED", Table_TRM_Fixtures[[#This Row],[Fixture Watts  (TRM Data)]], Table_TRM_Fixtures[[#This Row],[Lamp Watts  (TRM Data)]])</f>
        <v>362</v>
      </c>
      <c r="M414" t="str">
        <f>Table_TRM_Fixtures[[#This Row],[No. of Lamps  (TRM Data)]]</f>
        <v>N/A</v>
      </c>
      <c r="N414" t="s">
        <v>186</v>
      </c>
      <c r="O414" t="s">
        <v>186</v>
      </c>
      <c r="P414" t="s">
        <v>187</v>
      </c>
      <c r="S414" t="s">
        <v>1010</v>
      </c>
      <c r="T414" t="str">
        <f>Table_TRM_Fixtures[[#This Row],[Fixture code  (TRM Data)]]</f>
        <v>LED362-FIXT</v>
      </c>
      <c r="U414" t="s">
        <v>2883</v>
      </c>
      <c r="V414" t="s">
        <v>185</v>
      </c>
      <c r="W414" t="s">
        <v>3120</v>
      </c>
      <c r="X414" t="s">
        <v>186</v>
      </c>
      <c r="AA414">
        <f>IF(Table_TRM_Fixtures[[#This Row],[Pre-EISA Baseline]]="Nominal", Table_TRM_Fixtures[[#This Row],[Fixture Watts  (TRM Data)]], Table_TRM_Fixtures[[#This Row],[Modified Baseline Fixture Watts]])</f>
        <v>362</v>
      </c>
    </row>
    <row r="415" spans="1:27" x14ac:dyDescent="0.2">
      <c r="A415" t="s">
        <v>1013</v>
      </c>
      <c r="B415" t="s">
        <v>4354</v>
      </c>
      <c r="C415" t="s">
        <v>4355</v>
      </c>
      <c r="D415" t="s">
        <v>4356</v>
      </c>
      <c r="E415" t="s">
        <v>187</v>
      </c>
      <c r="F415" t="s">
        <v>186</v>
      </c>
      <c r="G415" t="s">
        <v>186</v>
      </c>
      <c r="H415">
        <v>363</v>
      </c>
      <c r="I415">
        <v>15</v>
      </c>
      <c r="J415" s="110">
        <v>413</v>
      </c>
      <c r="K415" t="s">
        <v>185</v>
      </c>
      <c r="L415">
        <f>IF(Table_TRM_Fixtures[[#This Row],[Technology]]="LED", Table_TRM_Fixtures[[#This Row],[Fixture Watts  (TRM Data)]], Table_TRM_Fixtures[[#This Row],[Lamp Watts  (TRM Data)]])</f>
        <v>363</v>
      </c>
      <c r="M415" t="str">
        <f>Table_TRM_Fixtures[[#This Row],[No. of Lamps  (TRM Data)]]</f>
        <v>N/A</v>
      </c>
      <c r="N415" t="s">
        <v>186</v>
      </c>
      <c r="O415" t="s">
        <v>186</v>
      </c>
      <c r="P415" t="s">
        <v>187</v>
      </c>
      <c r="S415" t="s">
        <v>1012</v>
      </c>
      <c r="T415" t="str">
        <f>Table_TRM_Fixtures[[#This Row],[Fixture code  (TRM Data)]]</f>
        <v>LED363-FIXT</v>
      </c>
      <c r="U415" t="s">
        <v>2883</v>
      </c>
      <c r="V415" t="s">
        <v>185</v>
      </c>
      <c r="W415" t="s">
        <v>3120</v>
      </c>
      <c r="X415" t="s">
        <v>186</v>
      </c>
      <c r="AA415">
        <f>IF(Table_TRM_Fixtures[[#This Row],[Pre-EISA Baseline]]="Nominal", Table_TRM_Fixtures[[#This Row],[Fixture Watts  (TRM Data)]], Table_TRM_Fixtures[[#This Row],[Modified Baseline Fixture Watts]])</f>
        <v>363</v>
      </c>
    </row>
    <row r="416" spans="1:27" x14ac:dyDescent="0.2">
      <c r="A416" t="s">
        <v>1015</v>
      </c>
      <c r="B416" t="s">
        <v>4357</v>
      </c>
      <c r="C416" t="s">
        <v>4358</v>
      </c>
      <c r="D416" t="s">
        <v>4359</v>
      </c>
      <c r="E416" t="s">
        <v>187</v>
      </c>
      <c r="F416" t="s">
        <v>186</v>
      </c>
      <c r="G416" t="s">
        <v>186</v>
      </c>
      <c r="H416">
        <v>364</v>
      </c>
      <c r="I416">
        <v>15</v>
      </c>
      <c r="J416" s="110">
        <v>414</v>
      </c>
      <c r="K416" t="s">
        <v>185</v>
      </c>
      <c r="L416">
        <f>IF(Table_TRM_Fixtures[[#This Row],[Technology]]="LED", Table_TRM_Fixtures[[#This Row],[Fixture Watts  (TRM Data)]], Table_TRM_Fixtures[[#This Row],[Lamp Watts  (TRM Data)]])</f>
        <v>364</v>
      </c>
      <c r="M416" t="str">
        <f>Table_TRM_Fixtures[[#This Row],[No. of Lamps  (TRM Data)]]</f>
        <v>N/A</v>
      </c>
      <c r="N416" t="s">
        <v>186</v>
      </c>
      <c r="O416" t="s">
        <v>186</v>
      </c>
      <c r="P416" t="s">
        <v>187</v>
      </c>
      <c r="S416" t="s">
        <v>1014</v>
      </c>
      <c r="T416" t="str">
        <f>Table_TRM_Fixtures[[#This Row],[Fixture code  (TRM Data)]]</f>
        <v>LED364-FIXT</v>
      </c>
      <c r="U416" t="s">
        <v>2883</v>
      </c>
      <c r="V416" t="s">
        <v>185</v>
      </c>
      <c r="W416" t="s">
        <v>3120</v>
      </c>
      <c r="X416" t="s">
        <v>186</v>
      </c>
      <c r="AA416">
        <f>IF(Table_TRM_Fixtures[[#This Row],[Pre-EISA Baseline]]="Nominal", Table_TRM_Fixtures[[#This Row],[Fixture Watts  (TRM Data)]], Table_TRM_Fixtures[[#This Row],[Modified Baseline Fixture Watts]])</f>
        <v>364</v>
      </c>
    </row>
    <row r="417" spans="1:27" x14ac:dyDescent="0.2">
      <c r="A417" t="s">
        <v>1017</v>
      </c>
      <c r="B417" t="s">
        <v>4360</v>
      </c>
      <c r="C417" t="s">
        <v>4361</v>
      </c>
      <c r="D417" t="s">
        <v>4362</v>
      </c>
      <c r="E417" t="s">
        <v>187</v>
      </c>
      <c r="F417" t="s">
        <v>186</v>
      </c>
      <c r="G417" t="s">
        <v>186</v>
      </c>
      <c r="H417">
        <v>365</v>
      </c>
      <c r="I417">
        <v>15</v>
      </c>
      <c r="J417" s="110">
        <v>415</v>
      </c>
      <c r="K417" t="s">
        <v>185</v>
      </c>
      <c r="L417">
        <f>IF(Table_TRM_Fixtures[[#This Row],[Technology]]="LED", Table_TRM_Fixtures[[#This Row],[Fixture Watts  (TRM Data)]], Table_TRM_Fixtures[[#This Row],[Lamp Watts  (TRM Data)]])</f>
        <v>365</v>
      </c>
      <c r="M417" t="str">
        <f>Table_TRM_Fixtures[[#This Row],[No. of Lamps  (TRM Data)]]</f>
        <v>N/A</v>
      </c>
      <c r="N417" t="s">
        <v>186</v>
      </c>
      <c r="O417" t="s">
        <v>186</v>
      </c>
      <c r="P417" t="s">
        <v>187</v>
      </c>
      <c r="S417" t="s">
        <v>1016</v>
      </c>
      <c r="T417" t="str">
        <f>Table_TRM_Fixtures[[#This Row],[Fixture code  (TRM Data)]]</f>
        <v>LED365-FIXT</v>
      </c>
      <c r="U417" t="s">
        <v>2883</v>
      </c>
      <c r="V417" t="s">
        <v>185</v>
      </c>
      <c r="W417" t="s">
        <v>3120</v>
      </c>
      <c r="X417" t="s">
        <v>186</v>
      </c>
      <c r="AA417">
        <f>IF(Table_TRM_Fixtures[[#This Row],[Pre-EISA Baseline]]="Nominal", Table_TRM_Fixtures[[#This Row],[Fixture Watts  (TRM Data)]], Table_TRM_Fixtures[[#This Row],[Modified Baseline Fixture Watts]])</f>
        <v>365</v>
      </c>
    </row>
    <row r="418" spans="1:27" x14ac:dyDescent="0.2">
      <c r="A418" t="s">
        <v>1019</v>
      </c>
      <c r="B418" t="s">
        <v>4363</v>
      </c>
      <c r="C418" t="s">
        <v>4364</v>
      </c>
      <c r="D418" t="s">
        <v>4365</v>
      </c>
      <c r="E418" t="s">
        <v>187</v>
      </c>
      <c r="F418" t="s">
        <v>186</v>
      </c>
      <c r="G418" t="s">
        <v>186</v>
      </c>
      <c r="H418">
        <v>366</v>
      </c>
      <c r="I418">
        <v>15</v>
      </c>
      <c r="J418" s="110">
        <v>416</v>
      </c>
      <c r="K418" t="s">
        <v>185</v>
      </c>
      <c r="L418">
        <f>IF(Table_TRM_Fixtures[[#This Row],[Technology]]="LED", Table_TRM_Fixtures[[#This Row],[Fixture Watts  (TRM Data)]], Table_TRM_Fixtures[[#This Row],[Lamp Watts  (TRM Data)]])</f>
        <v>366</v>
      </c>
      <c r="M418" t="str">
        <f>Table_TRM_Fixtures[[#This Row],[No. of Lamps  (TRM Data)]]</f>
        <v>N/A</v>
      </c>
      <c r="N418" t="s">
        <v>186</v>
      </c>
      <c r="O418" t="s">
        <v>186</v>
      </c>
      <c r="P418" t="s">
        <v>187</v>
      </c>
      <c r="S418" t="s">
        <v>1018</v>
      </c>
      <c r="T418" t="str">
        <f>Table_TRM_Fixtures[[#This Row],[Fixture code  (TRM Data)]]</f>
        <v>LED366-FIXT</v>
      </c>
      <c r="U418" t="s">
        <v>2883</v>
      </c>
      <c r="V418" t="s">
        <v>185</v>
      </c>
      <c r="W418" t="s">
        <v>3120</v>
      </c>
      <c r="X418" t="s">
        <v>186</v>
      </c>
      <c r="AA418">
        <f>IF(Table_TRM_Fixtures[[#This Row],[Pre-EISA Baseline]]="Nominal", Table_TRM_Fixtures[[#This Row],[Fixture Watts  (TRM Data)]], Table_TRM_Fixtures[[#This Row],[Modified Baseline Fixture Watts]])</f>
        <v>366</v>
      </c>
    </row>
    <row r="419" spans="1:27" x14ac:dyDescent="0.2">
      <c r="A419" t="s">
        <v>1021</v>
      </c>
      <c r="B419" t="s">
        <v>4366</v>
      </c>
      <c r="C419" t="s">
        <v>4367</v>
      </c>
      <c r="D419" t="s">
        <v>4368</v>
      </c>
      <c r="E419" t="s">
        <v>187</v>
      </c>
      <c r="F419" t="s">
        <v>186</v>
      </c>
      <c r="G419" t="s">
        <v>186</v>
      </c>
      <c r="H419">
        <v>367</v>
      </c>
      <c r="I419">
        <v>15</v>
      </c>
      <c r="J419" s="110">
        <v>417</v>
      </c>
      <c r="K419" t="s">
        <v>185</v>
      </c>
      <c r="L419">
        <f>IF(Table_TRM_Fixtures[[#This Row],[Technology]]="LED", Table_TRM_Fixtures[[#This Row],[Fixture Watts  (TRM Data)]], Table_TRM_Fixtures[[#This Row],[Lamp Watts  (TRM Data)]])</f>
        <v>367</v>
      </c>
      <c r="M419" t="str">
        <f>Table_TRM_Fixtures[[#This Row],[No. of Lamps  (TRM Data)]]</f>
        <v>N/A</v>
      </c>
      <c r="N419" t="s">
        <v>186</v>
      </c>
      <c r="O419" t="s">
        <v>186</v>
      </c>
      <c r="P419" t="s">
        <v>187</v>
      </c>
      <c r="S419" t="s">
        <v>1020</v>
      </c>
      <c r="T419" t="str">
        <f>Table_TRM_Fixtures[[#This Row],[Fixture code  (TRM Data)]]</f>
        <v>LED367-FIXT</v>
      </c>
      <c r="U419" t="s">
        <v>2883</v>
      </c>
      <c r="V419" t="s">
        <v>185</v>
      </c>
      <c r="W419" t="s">
        <v>3120</v>
      </c>
      <c r="X419" t="s">
        <v>186</v>
      </c>
      <c r="AA419">
        <f>IF(Table_TRM_Fixtures[[#This Row],[Pre-EISA Baseline]]="Nominal", Table_TRM_Fixtures[[#This Row],[Fixture Watts  (TRM Data)]], Table_TRM_Fixtures[[#This Row],[Modified Baseline Fixture Watts]])</f>
        <v>367</v>
      </c>
    </row>
    <row r="420" spans="1:27" x14ac:dyDescent="0.2">
      <c r="A420" t="s">
        <v>1023</v>
      </c>
      <c r="B420" t="s">
        <v>4369</v>
      </c>
      <c r="C420" t="s">
        <v>4370</v>
      </c>
      <c r="D420" t="s">
        <v>4371</v>
      </c>
      <c r="E420" t="s">
        <v>187</v>
      </c>
      <c r="F420" t="s">
        <v>186</v>
      </c>
      <c r="G420" t="s">
        <v>186</v>
      </c>
      <c r="H420">
        <v>368</v>
      </c>
      <c r="I420">
        <v>15</v>
      </c>
      <c r="J420" s="110">
        <v>418</v>
      </c>
      <c r="K420" t="s">
        <v>185</v>
      </c>
      <c r="L420">
        <f>IF(Table_TRM_Fixtures[[#This Row],[Technology]]="LED", Table_TRM_Fixtures[[#This Row],[Fixture Watts  (TRM Data)]], Table_TRM_Fixtures[[#This Row],[Lamp Watts  (TRM Data)]])</f>
        <v>368</v>
      </c>
      <c r="M420" t="str">
        <f>Table_TRM_Fixtures[[#This Row],[No. of Lamps  (TRM Data)]]</f>
        <v>N/A</v>
      </c>
      <c r="N420" t="s">
        <v>186</v>
      </c>
      <c r="O420" t="s">
        <v>186</v>
      </c>
      <c r="P420" t="s">
        <v>187</v>
      </c>
      <c r="S420" t="s">
        <v>1022</v>
      </c>
      <c r="T420" t="str">
        <f>Table_TRM_Fixtures[[#This Row],[Fixture code  (TRM Data)]]</f>
        <v>LED368-FIXT</v>
      </c>
      <c r="U420" t="s">
        <v>2883</v>
      </c>
      <c r="V420" t="s">
        <v>185</v>
      </c>
      <c r="W420" t="s">
        <v>3120</v>
      </c>
      <c r="X420" t="s">
        <v>186</v>
      </c>
      <c r="AA420">
        <f>IF(Table_TRM_Fixtures[[#This Row],[Pre-EISA Baseline]]="Nominal", Table_TRM_Fixtures[[#This Row],[Fixture Watts  (TRM Data)]], Table_TRM_Fixtures[[#This Row],[Modified Baseline Fixture Watts]])</f>
        <v>368</v>
      </c>
    </row>
    <row r="421" spans="1:27" x14ac:dyDescent="0.2">
      <c r="A421" t="s">
        <v>1025</v>
      </c>
      <c r="B421" t="s">
        <v>4372</v>
      </c>
      <c r="C421" t="s">
        <v>4373</v>
      </c>
      <c r="D421" t="s">
        <v>4374</v>
      </c>
      <c r="E421" t="s">
        <v>187</v>
      </c>
      <c r="F421" t="s">
        <v>186</v>
      </c>
      <c r="G421" t="s">
        <v>186</v>
      </c>
      <c r="H421">
        <v>369</v>
      </c>
      <c r="I421">
        <v>15</v>
      </c>
      <c r="J421" s="110">
        <v>419</v>
      </c>
      <c r="K421" t="s">
        <v>185</v>
      </c>
      <c r="L421">
        <f>IF(Table_TRM_Fixtures[[#This Row],[Technology]]="LED", Table_TRM_Fixtures[[#This Row],[Fixture Watts  (TRM Data)]], Table_TRM_Fixtures[[#This Row],[Lamp Watts  (TRM Data)]])</f>
        <v>369</v>
      </c>
      <c r="M421" t="str">
        <f>Table_TRM_Fixtures[[#This Row],[No. of Lamps  (TRM Data)]]</f>
        <v>N/A</v>
      </c>
      <c r="N421" t="s">
        <v>186</v>
      </c>
      <c r="O421" t="s">
        <v>186</v>
      </c>
      <c r="P421" t="s">
        <v>187</v>
      </c>
      <c r="S421" t="s">
        <v>1024</v>
      </c>
      <c r="T421" t="str">
        <f>Table_TRM_Fixtures[[#This Row],[Fixture code  (TRM Data)]]</f>
        <v>LED369-FIXT</v>
      </c>
      <c r="U421" t="s">
        <v>2883</v>
      </c>
      <c r="V421" t="s">
        <v>185</v>
      </c>
      <c r="W421" t="s">
        <v>3120</v>
      </c>
      <c r="X421" t="s">
        <v>186</v>
      </c>
      <c r="AA421">
        <f>IF(Table_TRM_Fixtures[[#This Row],[Pre-EISA Baseline]]="Nominal", Table_TRM_Fixtures[[#This Row],[Fixture Watts  (TRM Data)]], Table_TRM_Fixtures[[#This Row],[Modified Baseline Fixture Watts]])</f>
        <v>369</v>
      </c>
    </row>
    <row r="422" spans="1:27" x14ac:dyDescent="0.2">
      <c r="A422" t="s">
        <v>1027</v>
      </c>
      <c r="B422" t="s">
        <v>4375</v>
      </c>
      <c r="C422" t="s">
        <v>4376</v>
      </c>
      <c r="D422" t="s">
        <v>4377</v>
      </c>
      <c r="E422" t="s">
        <v>187</v>
      </c>
      <c r="F422" t="s">
        <v>186</v>
      </c>
      <c r="G422" t="s">
        <v>186</v>
      </c>
      <c r="H422">
        <v>370</v>
      </c>
      <c r="I422">
        <v>15</v>
      </c>
      <c r="J422" s="110">
        <v>420</v>
      </c>
      <c r="K422" t="s">
        <v>185</v>
      </c>
      <c r="L422">
        <f>IF(Table_TRM_Fixtures[[#This Row],[Technology]]="LED", Table_TRM_Fixtures[[#This Row],[Fixture Watts  (TRM Data)]], Table_TRM_Fixtures[[#This Row],[Lamp Watts  (TRM Data)]])</f>
        <v>370</v>
      </c>
      <c r="M422" t="str">
        <f>Table_TRM_Fixtures[[#This Row],[No. of Lamps  (TRM Data)]]</f>
        <v>N/A</v>
      </c>
      <c r="N422" t="s">
        <v>186</v>
      </c>
      <c r="O422" t="s">
        <v>186</v>
      </c>
      <c r="P422" t="s">
        <v>187</v>
      </c>
      <c r="S422" t="s">
        <v>1026</v>
      </c>
      <c r="T422" t="str">
        <f>Table_TRM_Fixtures[[#This Row],[Fixture code  (TRM Data)]]</f>
        <v>LED370-FIXT</v>
      </c>
      <c r="U422" t="s">
        <v>2883</v>
      </c>
      <c r="V422" t="s">
        <v>185</v>
      </c>
      <c r="W422" t="s">
        <v>3120</v>
      </c>
      <c r="X422" t="s">
        <v>186</v>
      </c>
      <c r="AA422">
        <f>IF(Table_TRM_Fixtures[[#This Row],[Pre-EISA Baseline]]="Nominal", Table_TRM_Fixtures[[#This Row],[Fixture Watts  (TRM Data)]], Table_TRM_Fixtures[[#This Row],[Modified Baseline Fixture Watts]])</f>
        <v>370</v>
      </c>
    </row>
    <row r="423" spans="1:27" x14ac:dyDescent="0.2">
      <c r="A423" t="s">
        <v>1029</v>
      </c>
      <c r="B423" t="s">
        <v>4378</v>
      </c>
      <c r="C423" t="s">
        <v>4379</v>
      </c>
      <c r="D423" t="s">
        <v>4380</v>
      </c>
      <c r="E423" t="s">
        <v>187</v>
      </c>
      <c r="F423" t="s">
        <v>186</v>
      </c>
      <c r="G423" t="s">
        <v>186</v>
      </c>
      <c r="H423">
        <v>371</v>
      </c>
      <c r="I423">
        <v>15</v>
      </c>
      <c r="J423" s="110">
        <v>421</v>
      </c>
      <c r="K423" t="s">
        <v>185</v>
      </c>
      <c r="L423">
        <f>IF(Table_TRM_Fixtures[[#This Row],[Technology]]="LED", Table_TRM_Fixtures[[#This Row],[Fixture Watts  (TRM Data)]], Table_TRM_Fixtures[[#This Row],[Lamp Watts  (TRM Data)]])</f>
        <v>371</v>
      </c>
      <c r="M423" t="str">
        <f>Table_TRM_Fixtures[[#This Row],[No. of Lamps  (TRM Data)]]</f>
        <v>N/A</v>
      </c>
      <c r="N423" t="s">
        <v>186</v>
      </c>
      <c r="O423" t="s">
        <v>186</v>
      </c>
      <c r="P423" t="s">
        <v>187</v>
      </c>
      <c r="S423" t="s">
        <v>1028</v>
      </c>
      <c r="T423" t="str">
        <f>Table_TRM_Fixtures[[#This Row],[Fixture code  (TRM Data)]]</f>
        <v>LED371-FIXT</v>
      </c>
      <c r="U423" t="s">
        <v>2883</v>
      </c>
      <c r="V423" t="s">
        <v>185</v>
      </c>
      <c r="W423" t="s">
        <v>3120</v>
      </c>
      <c r="X423" t="s">
        <v>186</v>
      </c>
      <c r="AA423">
        <f>IF(Table_TRM_Fixtures[[#This Row],[Pre-EISA Baseline]]="Nominal", Table_TRM_Fixtures[[#This Row],[Fixture Watts  (TRM Data)]], Table_TRM_Fixtures[[#This Row],[Modified Baseline Fixture Watts]])</f>
        <v>371</v>
      </c>
    </row>
    <row r="424" spans="1:27" x14ac:dyDescent="0.2">
      <c r="A424" t="s">
        <v>1031</v>
      </c>
      <c r="B424" t="s">
        <v>4381</v>
      </c>
      <c r="C424" t="s">
        <v>4382</v>
      </c>
      <c r="D424" t="s">
        <v>4383</v>
      </c>
      <c r="E424" t="s">
        <v>187</v>
      </c>
      <c r="F424" t="s">
        <v>186</v>
      </c>
      <c r="G424" t="s">
        <v>186</v>
      </c>
      <c r="H424">
        <v>372</v>
      </c>
      <c r="I424">
        <v>15</v>
      </c>
      <c r="J424" s="110">
        <v>422</v>
      </c>
      <c r="K424" t="s">
        <v>185</v>
      </c>
      <c r="L424">
        <f>IF(Table_TRM_Fixtures[[#This Row],[Technology]]="LED", Table_TRM_Fixtures[[#This Row],[Fixture Watts  (TRM Data)]], Table_TRM_Fixtures[[#This Row],[Lamp Watts  (TRM Data)]])</f>
        <v>372</v>
      </c>
      <c r="M424" t="str">
        <f>Table_TRM_Fixtures[[#This Row],[No. of Lamps  (TRM Data)]]</f>
        <v>N/A</v>
      </c>
      <c r="N424" t="s">
        <v>186</v>
      </c>
      <c r="O424" t="s">
        <v>186</v>
      </c>
      <c r="P424" t="s">
        <v>187</v>
      </c>
      <c r="S424" t="s">
        <v>1030</v>
      </c>
      <c r="T424" t="str">
        <f>Table_TRM_Fixtures[[#This Row],[Fixture code  (TRM Data)]]</f>
        <v>LED372-FIXT</v>
      </c>
      <c r="U424" t="s">
        <v>2883</v>
      </c>
      <c r="V424" t="s">
        <v>185</v>
      </c>
      <c r="W424" t="s">
        <v>3120</v>
      </c>
      <c r="X424" t="s">
        <v>186</v>
      </c>
      <c r="AA424">
        <f>IF(Table_TRM_Fixtures[[#This Row],[Pre-EISA Baseline]]="Nominal", Table_TRM_Fixtures[[#This Row],[Fixture Watts  (TRM Data)]], Table_TRM_Fixtures[[#This Row],[Modified Baseline Fixture Watts]])</f>
        <v>372</v>
      </c>
    </row>
    <row r="425" spans="1:27" x14ac:dyDescent="0.2">
      <c r="A425" t="s">
        <v>1033</v>
      </c>
      <c r="B425" t="s">
        <v>4384</v>
      </c>
      <c r="C425" t="s">
        <v>4385</v>
      </c>
      <c r="D425" t="s">
        <v>4386</v>
      </c>
      <c r="E425" t="s">
        <v>187</v>
      </c>
      <c r="F425" t="s">
        <v>186</v>
      </c>
      <c r="G425" t="s">
        <v>186</v>
      </c>
      <c r="H425">
        <v>373</v>
      </c>
      <c r="I425">
        <v>15</v>
      </c>
      <c r="J425" s="110">
        <v>423</v>
      </c>
      <c r="K425" t="s">
        <v>185</v>
      </c>
      <c r="L425">
        <f>IF(Table_TRM_Fixtures[[#This Row],[Technology]]="LED", Table_TRM_Fixtures[[#This Row],[Fixture Watts  (TRM Data)]], Table_TRM_Fixtures[[#This Row],[Lamp Watts  (TRM Data)]])</f>
        <v>373</v>
      </c>
      <c r="M425" t="str">
        <f>Table_TRM_Fixtures[[#This Row],[No. of Lamps  (TRM Data)]]</f>
        <v>N/A</v>
      </c>
      <c r="N425" t="s">
        <v>186</v>
      </c>
      <c r="O425" t="s">
        <v>186</v>
      </c>
      <c r="P425" t="s">
        <v>187</v>
      </c>
      <c r="S425" t="s">
        <v>1032</v>
      </c>
      <c r="T425" t="str">
        <f>Table_TRM_Fixtures[[#This Row],[Fixture code  (TRM Data)]]</f>
        <v>LED373-FIXT</v>
      </c>
      <c r="U425" t="s">
        <v>2883</v>
      </c>
      <c r="V425" t="s">
        <v>185</v>
      </c>
      <c r="W425" t="s">
        <v>3120</v>
      </c>
      <c r="X425" t="s">
        <v>186</v>
      </c>
      <c r="AA425">
        <f>IF(Table_TRM_Fixtures[[#This Row],[Pre-EISA Baseline]]="Nominal", Table_TRM_Fixtures[[#This Row],[Fixture Watts  (TRM Data)]], Table_TRM_Fixtures[[#This Row],[Modified Baseline Fixture Watts]])</f>
        <v>373</v>
      </c>
    </row>
    <row r="426" spans="1:27" x14ac:dyDescent="0.2">
      <c r="A426" t="s">
        <v>1035</v>
      </c>
      <c r="B426" t="s">
        <v>4387</v>
      </c>
      <c r="C426" t="s">
        <v>4388</v>
      </c>
      <c r="D426" t="s">
        <v>4389</v>
      </c>
      <c r="E426" t="s">
        <v>187</v>
      </c>
      <c r="F426" t="s">
        <v>186</v>
      </c>
      <c r="G426" t="s">
        <v>186</v>
      </c>
      <c r="H426">
        <v>374</v>
      </c>
      <c r="I426">
        <v>15</v>
      </c>
      <c r="J426" s="110">
        <v>424</v>
      </c>
      <c r="K426" t="s">
        <v>185</v>
      </c>
      <c r="L426">
        <f>IF(Table_TRM_Fixtures[[#This Row],[Technology]]="LED", Table_TRM_Fixtures[[#This Row],[Fixture Watts  (TRM Data)]], Table_TRM_Fixtures[[#This Row],[Lamp Watts  (TRM Data)]])</f>
        <v>374</v>
      </c>
      <c r="M426" t="str">
        <f>Table_TRM_Fixtures[[#This Row],[No. of Lamps  (TRM Data)]]</f>
        <v>N/A</v>
      </c>
      <c r="N426" t="s">
        <v>186</v>
      </c>
      <c r="O426" t="s">
        <v>186</v>
      </c>
      <c r="P426" t="s">
        <v>187</v>
      </c>
      <c r="S426" t="s">
        <v>1034</v>
      </c>
      <c r="T426" t="str">
        <f>Table_TRM_Fixtures[[#This Row],[Fixture code  (TRM Data)]]</f>
        <v>LED374-FIXT</v>
      </c>
      <c r="U426" t="s">
        <v>2883</v>
      </c>
      <c r="V426" t="s">
        <v>185</v>
      </c>
      <c r="W426" t="s">
        <v>3120</v>
      </c>
      <c r="X426" t="s">
        <v>186</v>
      </c>
      <c r="AA426">
        <f>IF(Table_TRM_Fixtures[[#This Row],[Pre-EISA Baseline]]="Nominal", Table_TRM_Fixtures[[#This Row],[Fixture Watts  (TRM Data)]], Table_TRM_Fixtures[[#This Row],[Modified Baseline Fixture Watts]])</f>
        <v>374</v>
      </c>
    </row>
    <row r="427" spans="1:27" x14ac:dyDescent="0.2">
      <c r="A427" t="s">
        <v>1037</v>
      </c>
      <c r="B427" t="s">
        <v>4390</v>
      </c>
      <c r="C427" t="s">
        <v>4391</v>
      </c>
      <c r="D427" t="s">
        <v>4392</v>
      </c>
      <c r="E427" t="s">
        <v>187</v>
      </c>
      <c r="F427" t="s">
        <v>186</v>
      </c>
      <c r="G427" t="s">
        <v>186</v>
      </c>
      <c r="H427">
        <v>375</v>
      </c>
      <c r="I427">
        <v>15</v>
      </c>
      <c r="J427" s="110">
        <v>425</v>
      </c>
      <c r="K427" t="s">
        <v>185</v>
      </c>
      <c r="L427">
        <f>IF(Table_TRM_Fixtures[[#This Row],[Technology]]="LED", Table_TRM_Fixtures[[#This Row],[Fixture Watts  (TRM Data)]], Table_TRM_Fixtures[[#This Row],[Lamp Watts  (TRM Data)]])</f>
        <v>375</v>
      </c>
      <c r="M427" t="str">
        <f>Table_TRM_Fixtures[[#This Row],[No. of Lamps  (TRM Data)]]</f>
        <v>N/A</v>
      </c>
      <c r="N427" t="s">
        <v>186</v>
      </c>
      <c r="O427" t="s">
        <v>186</v>
      </c>
      <c r="P427" t="s">
        <v>187</v>
      </c>
      <c r="S427" t="s">
        <v>1036</v>
      </c>
      <c r="T427" t="str">
        <f>Table_TRM_Fixtures[[#This Row],[Fixture code  (TRM Data)]]</f>
        <v>LED375-FIXT</v>
      </c>
      <c r="U427" t="s">
        <v>2883</v>
      </c>
      <c r="V427" t="s">
        <v>185</v>
      </c>
      <c r="W427" t="s">
        <v>3120</v>
      </c>
      <c r="X427" t="s">
        <v>186</v>
      </c>
      <c r="AA427">
        <f>IF(Table_TRM_Fixtures[[#This Row],[Pre-EISA Baseline]]="Nominal", Table_TRM_Fixtures[[#This Row],[Fixture Watts  (TRM Data)]], Table_TRM_Fixtures[[#This Row],[Modified Baseline Fixture Watts]])</f>
        <v>375</v>
      </c>
    </row>
    <row r="428" spans="1:27" x14ac:dyDescent="0.2">
      <c r="A428" t="s">
        <v>1039</v>
      </c>
      <c r="B428" t="s">
        <v>4393</v>
      </c>
      <c r="C428" t="s">
        <v>4394</v>
      </c>
      <c r="D428" t="s">
        <v>4395</v>
      </c>
      <c r="E428" t="s">
        <v>187</v>
      </c>
      <c r="F428" t="s">
        <v>186</v>
      </c>
      <c r="G428" t="s">
        <v>186</v>
      </c>
      <c r="H428">
        <v>376</v>
      </c>
      <c r="I428">
        <v>15</v>
      </c>
      <c r="J428" s="110">
        <v>426</v>
      </c>
      <c r="K428" t="s">
        <v>185</v>
      </c>
      <c r="L428">
        <f>IF(Table_TRM_Fixtures[[#This Row],[Technology]]="LED", Table_TRM_Fixtures[[#This Row],[Fixture Watts  (TRM Data)]], Table_TRM_Fixtures[[#This Row],[Lamp Watts  (TRM Data)]])</f>
        <v>376</v>
      </c>
      <c r="M428" t="str">
        <f>Table_TRM_Fixtures[[#This Row],[No. of Lamps  (TRM Data)]]</f>
        <v>N/A</v>
      </c>
      <c r="N428" t="s">
        <v>186</v>
      </c>
      <c r="O428" t="s">
        <v>186</v>
      </c>
      <c r="P428" t="s">
        <v>187</v>
      </c>
      <c r="S428" t="s">
        <v>1038</v>
      </c>
      <c r="T428" t="str">
        <f>Table_TRM_Fixtures[[#This Row],[Fixture code  (TRM Data)]]</f>
        <v>LED376-FIXT</v>
      </c>
      <c r="U428" t="s">
        <v>2883</v>
      </c>
      <c r="V428" t="s">
        <v>185</v>
      </c>
      <c r="W428" t="s">
        <v>3120</v>
      </c>
      <c r="X428" t="s">
        <v>186</v>
      </c>
      <c r="AA428">
        <f>IF(Table_TRM_Fixtures[[#This Row],[Pre-EISA Baseline]]="Nominal", Table_TRM_Fixtures[[#This Row],[Fixture Watts  (TRM Data)]], Table_TRM_Fixtures[[#This Row],[Modified Baseline Fixture Watts]])</f>
        <v>376</v>
      </c>
    </row>
    <row r="429" spans="1:27" x14ac:dyDescent="0.2">
      <c r="A429" t="s">
        <v>1041</v>
      </c>
      <c r="B429" t="s">
        <v>4396</v>
      </c>
      <c r="C429" t="s">
        <v>4397</v>
      </c>
      <c r="D429" t="s">
        <v>4398</v>
      </c>
      <c r="E429" t="s">
        <v>187</v>
      </c>
      <c r="F429" t="s">
        <v>186</v>
      </c>
      <c r="G429" t="s">
        <v>186</v>
      </c>
      <c r="H429">
        <v>377</v>
      </c>
      <c r="I429">
        <v>15</v>
      </c>
      <c r="J429" s="110">
        <v>427</v>
      </c>
      <c r="K429" t="s">
        <v>185</v>
      </c>
      <c r="L429">
        <f>IF(Table_TRM_Fixtures[[#This Row],[Technology]]="LED", Table_TRM_Fixtures[[#This Row],[Fixture Watts  (TRM Data)]], Table_TRM_Fixtures[[#This Row],[Lamp Watts  (TRM Data)]])</f>
        <v>377</v>
      </c>
      <c r="M429" t="str">
        <f>Table_TRM_Fixtures[[#This Row],[No. of Lamps  (TRM Data)]]</f>
        <v>N/A</v>
      </c>
      <c r="N429" t="s">
        <v>186</v>
      </c>
      <c r="O429" t="s">
        <v>186</v>
      </c>
      <c r="P429" t="s">
        <v>187</v>
      </c>
      <c r="S429" t="s">
        <v>1040</v>
      </c>
      <c r="T429" t="str">
        <f>Table_TRM_Fixtures[[#This Row],[Fixture code  (TRM Data)]]</f>
        <v>LED377-FIXT</v>
      </c>
      <c r="U429" t="s">
        <v>2883</v>
      </c>
      <c r="V429" t="s">
        <v>185</v>
      </c>
      <c r="W429" t="s">
        <v>3120</v>
      </c>
      <c r="X429" t="s">
        <v>186</v>
      </c>
      <c r="AA429">
        <f>IF(Table_TRM_Fixtures[[#This Row],[Pre-EISA Baseline]]="Nominal", Table_TRM_Fixtures[[#This Row],[Fixture Watts  (TRM Data)]], Table_TRM_Fixtures[[#This Row],[Modified Baseline Fixture Watts]])</f>
        <v>377</v>
      </c>
    </row>
    <row r="430" spans="1:27" x14ac:dyDescent="0.2">
      <c r="A430" t="s">
        <v>1043</v>
      </c>
      <c r="B430" t="s">
        <v>4399</v>
      </c>
      <c r="C430" t="s">
        <v>4400</v>
      </c>
      <c r="D430" t="s">
        <v>4401</v>
      </c>
      <c r="E430" t="s">
        <v>187</v>
      </c>
      <c r="F430" t="s">
        <v>186</v>
      </c>
      <c r="G430" t="s">
        <v>186</v>
      </c>
      <c r="H430">
        <v>378</v>
      </c>
      <c r="I430">
        <v>15</v>
      </c>
      <c r="J430" s="110">
        <v>428</v>
      </c>
      <c r="K430" t="s">
        <v>185</v>
      </c>
      <c r="L430">
        <f>IF(Table_TRM_Fixtures[[#This Row],[Technology]]="LED", Table_TRM_Fixtures[[#This Row],[Fixture Watts  (TRM Data)]], Table_TRM_Fixtures[[#This Row],[Lamp Watts  (TRM Data)]])</f>
        <v>378</v>
      </c>
      <c r="M430" t="str">
        <f>Table_TRM_Fixtures[[#This Row],[No. of Lamps  (TRM Data)]]</f>
        <v>N/A</v>
      </c>
      <c r="N430" t="s">
        <v>186</v>
      </c>
      <c r="O430" t="s">
        <v>186</v>
      </c>
      <c r="P430" t="s">
        <v>187</v>
      </c>
      <c r="S430" t="s">
        <v>1042</v>
      </c>
      <c r="T430" t="str">
        <f>Table_TRM_Fixtures[[#This Row],[Fixture code  (TRM Data)]]</f>
        <v>LED378-FIXT</v>
      </c>
      <c r="U430" t="s">
        <v>2883</v>
      </c>
      <c r="V430" t="s">
        <v>185</v>
      </c>
      <c r="W430" t="s">
        <v>3120</v>
      </c>
      <c r="X430" t="s">
        <v>186</v>
      </c>
      <c r="AA430">
        <f>IF(Table_TRM_Fixtures[[#This Row],[Pre-EISA Baseline]]="Nominal", Table_TRM_Fixtures[[#This Row],[Fixture Watts  (TRM Data)]], Table_TRM_Fixtures[[#This Row],[Modified Baseline Fixture Watts]])</f>
        <v>378</v>
      </c>
    </row>
    <row r="431" spans="1:27" x14ac:dyDescent="0.2">
      <c r="A431" t="s">
        <v>1045</v>
      </c>
      <c r="B431" t="s">
        <v>4402</v>
      </c>
      <c r="C431" t="s">
        <v>4403</v>
      </c>
      <c r="D431" t="s">
        <v>4404</v>
      </c>
      <c r="E431" t="s">
        <v>187</v>
      </c>
      <c r="F431" t="s">
        <v>186</v>
      </c>
      <c r="G431" t="s">
        <v>186</v>
      </c>
      <c r="H431">
        <v>379</v>
      </c>
      <c r="I431">
        <v>15</v>
      </c>
      <c r="J431" s="110">
        <v>429</v>
      </c>
      <c r="K431" t="s">
        <v>185</v>
      </c>
      <c r="L431">
        <f>IF(Table_TRM_Fixtures[[#This Row],[Technology]]="LED", Table_TRM_Fixtures[[#This Row],[Fixture Watts  (TRM Data)]], Table_TRM_Fixtures[[#This Row],[Lamp Watts  (TRM Data)]])</f>
        <v>379</v>
      </c>
      <c r="M431" t="str">
        <f>Table_TRM_Fixtures[[#This Row],[No. of Lamps  (TRM Data)]]</f>
        <v>N/A</v>
      </c>
      <c r="N431" t="s">
        <v>186</v>
      </c>
      <c r="O431" t="s">
        <v>186</v>
      </c>
      <c r="P431" t="s">
        <v>187</v>
      </c>
      <c r="S431" t="s">
        <v>1044</v>
      </c>
      <c r="T431" t="str">
        <f>Table_TRM_Fixtures[[#This Row],[Fixture code  (TRM Data)]]</f>
        <v>LED379-FIXT</v>
      </c>
      <c r="U431" t="s">
        <v>2883</v>
      </c>
      <c r="V431" t="s">
        <v>185</v>
      </c>
      <c r="W431" t="s">
        <v>3120</v>
      </c>
      <c r="X431" t="s">
        <v>186</v>
      </c>
      <c r="AA431">
        <f>IF(Table_TRM_Fixtures[[#This Row],[Pre-EISA Baseline]]="Nominal", Table_TRM_Fixtures[[#This Row],[Fixture Watts  (TRM Data)]], Table_TRM_Fixtures[[#This Row],[Modified Baseline Fixture Watts]])</f>
        <v>379</v>
      </c>
    </row>
    <row r="432" spans="1:27" x14ac:dyDescent="0.2">
      <c r="A432" t="s">
        <v>1047</v>
      </c>
      <c r="B432" t="s">
        <v>4405</v>
      </c>
      <c r="C432" t="s">
        <v>4406</v>
      </c>
      <c r="D432" t="s">
        <v>4407</v>
      </c>
      <c r="E432" t="s">
        <v>187</v>
      </c>
      <c r="F432" t="s">
        <v>186</v>
      </c>
      <c r="G432" t="s">
        <v>186</v>
      </c>
      <c r="H432">
        <v>380</v>
      </c>
      <c r="I432">
        <v>15</v>
      </c>
      <c r="J432" s="110">
        <v>430</v>
      </c>
      <c r="K432" t="s">
        <v>185</v>
      </c>
      <c r="L432">
        <f>IF(Table_TRM_Fixtures[[#This Row],[Technology]]="LED", Table_TRM_Fixtures[[#This Row],[Fixture Watts  (TRM Data)]], Table_TRM_Fixtures[[#This Row],[Lamp Watts  (TRM Data)]])</f>
        <v>380</v>
      </c>
      <c r="M432" t="str">
        <f>Table_TRM_Fixtures[[#This Row],[No. of Lamps  (TRM Data)]]</f>
        <v>N/A</v>
      </c>
      <c r="N432" t="s">
        <v>186</v>
      </c>
      <c r="O432" t="s">
        <v>186</v>
      </c>
      <c r="P432" t="s">
        <v>187</v>
      </c>
      <c r="S432" t="s">
        <v>1046</v>
      </c>
      <c r="T432" t="str">
        <f>Table_TRM_Fixtures[[#This Row],[Fixture code  (TRM Data)]]</f>
        <v>LED380-FIXT</v>
      </c>
      <c r="U432" t="s">
        <v>2883</v>
      </c>
      <c r="V432" t="s">
        <v>185</v>
      </c>
      <c r="W432" t="s">
        <v>3120</v>
      </c>
      <c r="X432" t="s">
        <v>186</v>
      </c>
      <c r="AA432">
        <f>IF(Table_TRM_Fixtures[[#This Row],[Pre-EISA Baseline]]="Nominal", Table_TRM_Fixtures[[#This Row],[Fixture Watts  (TRM Data)]], Table_TRM_Fixtures[[#This Row],[Modified Baseline Fixture Watts]])</f>
        <v>380</v>
      </c>
    </row>
    <row r="433" spans="1:27" x14ac:dyDescent="0.2">
      <c r="A433" t="s">
        <v>1049</v>
      </c>
      <c r="B433" t="s">
        <v>4408</v>
      </c>
      <c r="C433" t="s">
        <v>4409</v>
      </c>
      <c r="D433" t="s">
        <v>4410</v>
      </c>
      <c r="E433" t="s">
        <v>187</v>
      </c>
      <c r="F433" t="s">
        <v>186</v>
      </c>
      <c r="G433" t="s">
        <v>186</v>
      </c>
      <c r="H433">
        <v>381</v>
      </c>
      <c r="I433">
        <v>15</v>
      </c>
      <c r="J433" s="110">
        <v>431</v>
      </c>
      <c r="K433" t="s">
        <v>185</v>
      </c>
      <c r="L433">
        <f>IF(Table_TRM_Fixtures[[#This Row],[Technology]]="LED", Table_TRM_Fixtures[[#This Row],[Fixture Watts  (TRM Data)]], Table_TRM_Fixtures[[#This Row],[Lamp Watts  (TRM Data)]])</f>
        <v>381</v>
      </c>
      <c r="M433" t="str">
        <f>Table_TRM_Fixtures[[#This Row],[No. of Lamps  (TRM Data)]]</f>
        <v>N/A</v>
      </c>
      <c r="N433" t="s">
        <v>186</v>
      </c>
      <c r="O433" t="s">
        <v>186</v>
      </c>
      <c r="P433" t="s">
        <v>187</v>
      </c>
      <c r="S433" t="s">
        <v>1048</v>
      </c>
      <c r="T433" t="str">
        <f>Table_TRM_Fixtures[[#This Row],[Fixture code  (TRM Data)]]</f>
        <v>LED381-FIXT</v>
      </c>
      <c r="U433" t="s">
        <v>2883</v>
      </c>
      <c r="V433" t="s">
        <v>185</v>
      </c>
      <c r="W433" t="s">
        <v>3120</v>
      </c>
      <c r="X433" t="s">
        <v>186</v>
      </c>
      <c r="AA433">
        <f>IF(Table_TRM_Fixtures[[#This Row],[Pre-EISA Baseline]]="Nominal", Table_TRM_Fixtures[[#This Row],[Fixture Watts  (TRM Data)]], Table_TRM_Fixtures[[#This Row],[Modified Baseline Fixture Watts]])</f>
        <v>381</v>
      </c>
    </row>
    <row r="434" spans="1:27" x14ac:dyDescent="0.2">
      <c r="A434" t="s">
        <v>1051</v>
      </c>
      <c r="B434" t="s">
        <v>4411</v>
      </c>
      <c r="C434" t="s">
        <v>4412</v>
      </c>
      <c r="D434" t="s">
        <v>4413</v>
      </c>
      <c r="E434" t="s">
        <v>187</v>
      </c>
      <c r="F434" t="s">
        <v>186</v>
      </c>
      <c r="G434" t="s">
        <v>186</v>
      </c>
      <c r="H434">
        <v>382</v>
      </c>
      <c r="I434">
        <v>15</v>
      </c>
      <c r="J434" s="110">
        <v>432</v>
      </c>
      <c r="K434" t="s">
        <v>185</v>
      </c>
      <c r="L434">
        <f>IF(Table_TRM_Fixtures[[#This Row],[Technology]]="LED", Table_TRM_Fixtures[[#This Row],[Fixture Watts  (TRM Data)]], Table_TRM_Fixtures[[#This Row],[Lamp Watts  (TRM Data)]])</f>
        <v>382</v>
      </c>
      <c r="M434" t="str">
        <f>Table_TRM_Fixtures[[#This Row],[No. of Lamps  (TRM Data)]]</f>
        <v>N/A</v>
      </c>
      <c r="N434" t="s">
        <v>186</v>
      </c>
      <c r="O434" t="s">
        <v>186</v>
      </c>
      <c r="P434" t="s">
        <v>187</v>
      </c>
      <c r="S434" t="s">
        <v>1050</v>
      </c>
      <c r="T434" t="str">
        <f>Table_TRM_Fixtures[[#This Row],[Fixture code  (TRM Data)]]</f>
        <v>LED382-FIXT</v>
      </c>
      <c r="U434" t="s">
        <v>2883</v>
      </c>
      <c r="V434" t="s">
        <v>185</v>
      </c>
      <c r="W434" t="s">
        <v>3120</v>
      </c>
      <c r="X434" t="s">
        <v>186</v>
      </c>
      <c r="AA434">
        <f>IF(Table_TRM_Fixtures[[#This Row],[Pre-EISA Baseline]]="Nominal", Table_TRM_Fixtures[[#This Row],[Fixture Watts  (TRM Data)]], Table_TRM_Fixtures[[#This Row],[Modified Baseline Fixture Watts]])</f>
        <v>382</v>
      </c>
    </row>
    <row r="435" spans="1:27" x14ac:dyDescent="0.2">
      <c r="A435" t="s">
        <v>1053</v>
      </c>
      <c r="B435" t="s">
        <v>4414</v>
      </c>
      <c r="C435" t="s">
        <v>4415</v>
      </c>
      <c r="D435" t="s">
        <v>4416</v>
      </c>
      <c r="E435" t="s">
        <v>187</v>
      </c>
      <c r="F435" t="s">
        <v>186</v>
      </c>
      <c r="G435" t="s">
        <v>186</v>
      </c>
      <c r="H435">
        <v>383</v>
      </c>
      <c r="I435">
        <v>15</v>
      </c>
      <c r="J435" s="110">
        <v>433</v>
      </c>
      <c r="K435" t="s">
        <v>185</v>
      </c>
      <c r="L435">
        <f>IF(Table_TRM_Fixtures[[#This Row],[Technology]]="LED", Table_TRM_Fixtures[[#This Row],[Fixture Watts  (TRM Data)]], Table_TRM_Fixtures[[#This Row],[Lamp Watts  (TRM Data)]])</f>
        <v>383</v>
      </c>
      <c r="M435" t="str">
        <f>Table_TRM_Fixtures[[#This Row],[No. of Lamps  (TRM Data)]]</f>
        <v>N/A</v>
      </c>
      <c r="N435" t="s">
        <v>186</v>
      </c>
      <c r="O435" t="s">
        <v>186</v>
      </c>
      <c r="P435" t="s">
        <v>187</v>
      </c>
      <c r="S435" t="s">
        <v>1052</v>
      </c>
      <c r="T435" t="str">
        <f>Table_TRM_Fixtures[[#This Row],[Fixture code  (TRM Data)]]</f>
        <v>LED383-FIXT</v>
      </c>
      <c r="U435" t="s">
        <v>2883</v>
      </c>
      <c r="V435" t="s">
        <v>185</v>
      </c>
      <c r="W435" t="s">
        <v>3120</v>
      </c>
      <c r="X435" t="s">
        <v>186</v>
      </c>
      <c r="AA435">
        <f>IF(Table_TRM_Fixtures[[#This Row],[Pre-EISA Baseline]]="Nominal", Table_TRM_Fixtures[[#This Row],[Fixture Watts  (TRM Data)]], Table_TRM_Fixtures[[#This Row],[Modified Baseline Fixture Watts]])</f>
        <v>383</v>
      </c>
    </row>
    <row r="436" spans="1:27" x14ac:dyDescent="0.2">
      <c r="A436" t="s">
        <v>1055</v>
      </c>
      <c r="B436" t="s">
        <v>4417</v>
      </c>
      <c r="C436" t="s">
        <v>4418</v>
      </c>
      <c r="D436" t="s">
        <v>4419</v>
      </c>
      <c r="E436" t="s">
        <v>187</v>
      </c>
      <c r="F436" t="s">
        <v>186</v>
      </c>
      <c r="G436" t="s">
        <v>186</v>
      </c>
      <c r="H436">
        <v>384</v>
      </c>
      <c r="I436">
        <v>15</v>
      </c>
      <c r="J436" s="110">
        <v>434</v>
      </c>
      <c r="K436" t="s">
        <v>185</v>
      </c>
      <c r="L436">
        <f>IF(Table_TRM_Fixtures[[#This Row],[Technology]]="LED", Table_TRM_Fixtures[[#This Row],[Fixture Watts  (TRM Data)]], Table_TRM_Fixtures[[#This Row],[Lamp Watts  (TRM Data)]])</f>
        <v>384</v>
      </c>
      <c r="M436" t="str">
        <f>Table_TRM_Fixtures[[#This Row],[No. of Lamps  (TRM Data)]]</f>
        <v>N/A</v>
      </c>
      <c r="N436" t="s">
        <v>186</v>
      </c>
      <c r="O436" t="s">
        <v>186</v>
      </c>
      <c r="P436" t="s">
        <v>187</v>
      </c>
      <c r="S436" t="s">
        <v>1054</v>
      </c>
      <c r="T436" t="str">
        <f>Table_TRM_Fixtures[[#This Row],[Fixture code  (TRM Data)]]</f>
        <v>LED384-FIXT</v>
      </c>
      <c r="U436" t="s">
        <v>2883</v>
      </c>
      <c r="V436" t="s">
        <v>185</v>
      </c>
      <c r="W436" t="s">
        <v>3120</v>
      </c>
      <c r="X436" t="s">
        <v>186</v>
      </c>
      <c r="AA436">
        <f>IF(Table_TRM_Fixtures[[#This Row],[Pre-EISA Baseline]]="Nominal", Table_TRM_Fixtures[[#This Row],[Fixture Watts  (TRM Data)]], Table_TRM_Fixtures[[#This Row],[Modified Baseline Fixture Watts]])</f>
        <v>384</v>
      </c>
    </row>
    <row r="437" spans="1:27" x14ac:dyDescent="0.2">
      <c r="A437" t="s">
        <v>1057</v>
      </c>
      <c r="B437" t="s">
        <v>4420</v>
      </c>
      <c r="C437" t="s">
        <v>4421</v>
      </c>
      <c r="D437" t="s">
        <v>4422</v>
      </c>
      <c r="E437" t="s">
        <v>187</v>
      </c>
      <c r="F437" t="s">
        <v>186</v>
      </c>
      <c r="G437" t="s">
        <v>186</v>
      </c>
      <c r="H437">
        <v>385</v>
      </c>
      <c r="I437">
        <v>15</v>
      </c>
      <c r="J437" s="110">
        <v>435</v>
      </c>
      <c r="K437" t="s">
        <v>185</v>
      </c>
      <c r="L437">
        <f>IF(Table_TRM_Fixtures[[#This Row],[Technology]]="LED", Table_TRM_Fixtures[[#This Row],[Fixture Watts  (TRM Data)]], Table_TRM_Fixtures[[#This Row],[Lamp Watts  (TRM Data)]])</f>
        <v>385</v>
      </c>
      <c r="M437" t="str">
        <f>Table_TRM_Fixtures[[#This Row],[No. of Lamps  (TRM Data)]]</f>
        <v>N/A</v>
      </c>
      <c r="N437" t="s">
        <v>186</v>
      </c>
      <c r="O437" t="s">
        <v>186</v>
      </c>
      <c r="P437" t="s">
        <v>187</v>
      </c>
      <c r="S437" t="s">
        <v>1056</v>
      </c>
      <c r="T437" t="str">
        <f>Table_TRM_Fixtures[[#This Row],[Fixture code  (TRM Data)]]</f>
        <v>LED385-FIXT</v>
      </c>
      <c r="U437" t="s">
        <v>2883</v>
      </c>
      <c r="V437" t="s">
        <v>185</v>
      </c>
      <c r="W437" t="s">
        <v>3120</v>
      </c>
      <c r="X437" t="s">
        <v>186</v>
      </c>
      <c r="AA437">
        <f>IF(Table_TRM_Fixtures[[#This Row],[Pre-EISA Baseline]]="Nominal", Table_TRM_Fixtures[[#This Row],[Fixture Watts  (TRM Data)]], Table_TRM_Fixtures[[#This Row],[Modified Baseline Fixture Watts]])</f>
        <v>385</v>
      </c>
    </row>
    <row r="438" spans="1:27" x14ac:dyDescent="0.2">
      <c r="A438" t="s">
        <v>1059</v>
      </c>
      <c r="B438" t="s">
        <v>4423</v>
      </c>
      <c r="C438" t="s">
        <v>4424</v>
      </c>
      <c r="D438" t="s">
        <v>4425</v>
      </c>
      <c r="E438" t="s">
        <v>187</v>
      </c>
      <c r="F438" t="s">
        <v>186</v>
      </c>
      <c r="G438" t="s">
        <v>186</v>
      </c>
      <c r="H438">
        <v>386</v>
      </c>
      <c r="I438">
        <v>15</v>
      </c>
      <c r="J438" s="110">
        <v>436</v>
      </c>
      <c r="K438" t="s">
        <v>185</v>
      </c>
      <c r="L438">
        <f>IF(Table_TRM_Fixtures[[#This Row],[Technology]]="LED", Table_TRM_Fixtures[[#This Row],[Fixture Watts  (TRM Data)]], Table_TRM_Fixtures[[#This Row],[Lamp Watts  (TRM Data)]])</f>
        <v>386</v>
      </c>
      <c r="M438" t="str">
        <f>Table_TRM_Fixtures[[#This Row],[No. of Lamps  (TRM Data)]]</f>
        <v>N/A</v>
      </c>
      <c r="N438" t="s">
        <v>186</v>
      </c>
      <c r="O438" t="s">
        <v>186</v>
      </c>
      <c r="P438" t="s">
        <v>187</v>
      </c>
      <c r="S438" t="s">
        <v>1058</v>
      </c>
      <c r="T438" t="str">
        <f>Table_TRM_Fixtures[[#This Row],[Fixture code  (TRM Data)]]</f>
        <v>LED386-FIXT</v>
      </c>
      <c r="U438" t="s">
        <v>2883</v>
      </c>
      <c r="V438" t="s">
        <v>185</v>
      </c>
      <c r="W438" t="s">
        <v>3120</v>
      </c>
      <c r="X438" t="s">
        <v>186</v>
      </c>
      <c r="AA438">
        <f>IF(Table_TRM_Fixtures[[#This Row],[Pre-EISA Baseline]]="Nominal", Table_TRM_Fixtures[[#This Row],[Fixture Watts  (TRM Data)]], Table_TRM_Fixtures[[#This Row],[Modified Baseline Fixture Watts]])</f>
        <v>386</v>
      </c>
    </row>
    <row r="439" spans="1:27" x14ac:dyDescent="0.2">
      <c r="A439" t="s">
        <v>1061</v>
      </c>
      <c r="B439" t="s">
        <v>4426</v>
      </c>
      <c r="C439" t="s">
        <v>4427</v>
      </c>
      <c r="D439" t="s">
        <v>4428</v>
      </c>
      <c r="E439" t="s">
        <v>187</v>
      </c>
      <c r="F439" t="s">
        <v>186</v>
      </c>
      <c r="G439" t="s">
        <v>186</v>
      </c>
      <c r="H439">
        <v>387</v>
      </c>
      <c r="I439">
        <v>15</v>
      </c>
      <c r="J439" s="110">
        <v>437</v>
      </c>
      <c r="K439" t="s">
        <v>185</v>
      </c>
      <c r="L439">
        <f>IF(Table_TRM_Fixtures[[#This Row],[Technology]]="LED", Table_TRM_Fixtures[[#This Row],[Fixture Watts  (TRM Data)]], Table_TRM_Fixtures[[#This Row],[Lamp Watts  (TRM Data)]])</f>
        <v>387</v>
      </c>
      <c r="M439" t="str">
        <f>Table_TRM_Fixtures[[#This Row],[No. of Lamps  (TRM Data)]]</f>
        <v>N/A</v>
      </c>
      <c r="N439" t="s">
        <v>186</v>
      </c>
      <c r="O439" t="s">
        <v>186</v>
      </c>
      <c r="P439" t="s">
        <v>187</v>
      </c>
      <c r="S439" t="s">
        <v>1060</v>
      </c>
      <c r="T439" t="str">
        <f>Table_TRM_Fixtures[[#This Row],[Fixture code  (TRM Data)]]</f>
        <v>LED387-FIXT</v>
      </c>
      <c r="U439" t="s">
        <v>2883</v>
      </c>
      <c r="V439" t="s">
        <v>185</v>
      </c>
      <c r="W439" t="s">
        <v>3120</v>
      </c>
      <c r="X439" t="s">
        <v>186</v>
      </c>
      <c r="AA439">
        <f>IF(Table_TRM_Fixtures[[#This Row],[Pre-EISA Baseline]]="Nominal", Table_TRM_Fixtures[[#This Row],[Fixture Watts  (TRM Data)]], Table_TRM_Fixtures[[#This Row],[Modified Baseline Fixture Watts]])</f>
        <v>387</v>
      </c>
    </row>
    <row r="440" spans="1:27" x14ac:dyDescent="0.2">
      <c r="A440" t="s">
        <v>1063</v>
      </c>
      <c r="B440" t="s">
        <v>4429</v>
      </c>
      <c r="C440" t="s">
        <v>4430</v>
      </c>
      <c r="D440" t="s">
        <v>4431</v>
      </c>
      <c r="E440" t="s">
        <v>187</v>
      </c>
      <c r="F440" t="s">
        <v>186</v>
      </c>
      <c r="G440" t="s">
        <v>186</v>
      </c>
      <c r="H440">
        <v>388</v>
      </c>
      <c r="I440">
        <v>15</v>
      </c>
      <c r="J440" s="110">
        <v>438</v>
      </c>
      <c r="K440" t="s">
        <v>185</v>
      </c>
      <c r="L440">
        <f>IF(Table_TRM_Fixtures[[#This Row],[Technology]]="LED", Table_TRM_Fixtures[[#This Row],[Fixture Watts  (TRM Data)]], Table_TRM_Fixtures[[#This Row],[Lamp Watts  (TRM Data)]])</f>
        <v>388</v>
      </c>
      <c r="M440" t="str">
        <f>Table_TRM_Fixtures[[#This Row],[No. of Lamps  (TRM Data)]]</f>
        <v>N/A</v>
      </c>
      <c r="N440" t="s">
        <v>186</v>
      </c>
      <c r="O440" t="s">
        <v>186</v>
      </c>
      <c r="P440" t="s">
        <v>187</v>
      </c>
      <c r="S440" t="s">
        <v>1062</v>
      </c>
      <c r="T440" t="str">
        <f>Table_TRM_Fixtures[[#This Row],[Fixture code  (TRM Data)]]</f>
        <v>LED388-FIXT</v>
      </c>
      <c r="U440" t="s">
        <v>2883</v>
      </c>
      <c r="V440" t="s">
        <v>185</v>
      </c>
      <c r="W440" t="s">
        <v>3120</v>
      </c>
      <c r="X440" t="s">
        <v>186</v>
      </c>
      <c r="AA440">
        <f>IF(Table_TRM_Fixtures[[#This Row],[Pre-EISA Baseline]]="Nominal", Table_TRM_Fixtures[[#This Row],[Fixture Watts  (TRM Data)]], Table_TRM_Fixtures[[#This Row],[Modified Baseline Fixture Watts]])</f>
        <v>388</v>
      </c>
    </row>
    <row r="441" spans="1:27" x14ac:dyDescent="0.2">
      <c r="A441" t="s">
        <v>1065</v>
      </c>
      <c r="B441" t="s">
        <v>4432</v>
      </c>
      <c r="C441" t="s">
        <v>4433</v>
      </c>
      <c r="D441" t="s">
        <v>4434</v>
      </c>
      <c r="E441" t="s">
        <v>187</v>
      </c>
      <c r="F441" t="s">
        <v>186</v>
      </c>
      <c r="G441" t="s">
        <v>186</v>
      </c>
      <c r="H441">
        <v>389</v>
      </c>
      <c r="I441">
        <v>15</v>
      </c>
      <c r="J441" s="110">
        <v>439</v>
      </c>
      <c r="K441" t="s">
        <v>185</v>
      </c>
      <c r="L441">
        <f>IF(Table_TRM_Fixtures[[#This Row],[Technology]]="LED", Table_TRM_Fixtures[[#This Row],[Fixture Watts  (TRM Data)]], Table_TRM_Fixtures[[#This Row],[Lamp Watts  (TRM Data)]])</f>
        <v>389</v>
      </c>
      <c r="M441" t="str">
        <f>Table_TRM_Fixtures[[#This Row],[No. of Lamps  (TRM Data)]]</f>
        <v>N/A</v>
      </c>
      <c r="N441" t="s">
        <v>186</v>
      </c>
      <c r="O441" t="s">
        <v>186</v>
      </c>
      <c r="P441" t="s">
        <v>187</v>
      </c>
      <c r="S441" t="s">
        <v>1064</v>
      </c>
      <c r="T441" t="str">
        <f>Table_TRM_Fixtures[[#This Row],[Fixture code  (TRM Data)]]</f>
        <v>LED389-FIXT</v>
      </c>
      <c r="U441" t="s">
        <v>2883</v>
      </c>
      <c r="V441" t="s">
        <v>185</v>
      </c>
      <c r="W441" t="s">
        <v>3120</v>
      </c>
      <c r="X441" t="s">
        <v>186</v>
      </c>
      <c r="AA441">
        <f>IF(Table_TRM_Fixtures[[#This Row],[Pre-EISA Baseline]]="Nominal", Table_TRM_Fixtures[[#This Row],[Fixture Watts  (TRM Data)]], Table_TRM_Fixtures[[#This Row],[Modified Baseline Fixture Watts]])</f>
        <v>389</v>
      </c>
    </row>
    <row r="442" spans="1:27" x14ac:dyDescent="0.2">
      <c r="A442" t="s">
        <v>1067</v>
      </c>
      <c r="B442" t="s">
        <v>4435</v>
      </c>
      <c r="C442" t="s">
        <v>4436</v>
      </c>
      <c r="D442" t="s">
        <v>4437</v>
      </c>
      <c r="E442" t="s">
        <v>187</v>
      </c>
      <c r="F442" t="s">
        <v>186</v>
      </c>
      <c r="G442" t="s">
        <v>186</v>
      </c>
      <c r="H442">
        <v>390</v>
      </c>
      <c r="I442">
        <v>15</v>
      </c>
      <c r="J442" s="110">
        <v>440</v>
      </c>
      <c r="K442" t="s">
        <v>185</v>
      </c>
      <c r="L442">
        <f>IF(Table_TRM_Fixtures[[#This Row],[Technology]]="LED", Table_TRM_Fixtures[[#This Row],[Fixture Watts  (TRM Data)]], Table_TRM_Fixtures[[#This Row],[Lamp Watts  (TRM Data)]])</f>
        <v>390</v>
      </c>
      <c r="M442" t="str">
        <f>Table_TRM_Fixtures[[#This Row],[No. of Lamps  (TRM Data)]]</f>
        <v>N/A</v>
      </c>
      <c r="N442" t="s">
        <v>186</v>
      </c>
      <c r="O442" t="s">
        <v>186</v>
      </c>
      <c r="P442" t="s">
        <v>187</v>
      </c>
      <c r="S442" t="s">
        <v>1066</v>
      </c>
      <c r="T442" t="str">
        <f>Table_TRM_Fixtures[[#This Row],[Fixture code  (TRM Data)]]</f>
        <v>LED390-FIXT</v>
      </c>
      <c r="U442" t="s">
        <v>2883</v>
      </c>
      <c r="V442" t="s">
        <v>185</v>
      </c>
      <c r="W442" t="s">
        <v>3120</v>
      </c>
      <c r="X442" t="s">
        <v>186</v>
      </c>
      <c r="AA442">
        <f>IF(Table_TRM_Fixtures[[#This Row],[Pre-EISA Baseline]]="Nominal", Table_TRM_Fixtures[[#This Row],[Fixture Watts  (TRM Data)]], Table_TRM_Fixtures[[#This Row],[Modified Baseline Fixture Watts]])</f>
        <v>390</v>
      </c>
    </row>
    <row r="443" spans="1:27" x14ac:dyDescent="0.2">
      <c r="A443" t="s">
        <v>1069</v>
      </c>
      <c r="B443" t="s">
        <v>4438</v>
      </c>
      <c r="C443" t="s">
        <v>4439</v>
      </c>
      <c r="D443" t="s">
        <v>4440</v>
      </c>
      <c r="E443" t="s">
        <v>187</v>
      </c>
      <c r="F443" t="s">
        <v>186</v>
      </c>
      <c r="G443" t="s">
        <v>186</v>
      </c>
      <c r="H443">
        <v>391</v>
      </c>
      <c r="I443">
        <v>15</v>
      </c>
      <c r="J443" s="110">
        <v>441</v>
      </c>
      <c r="K443" t="s">
        <v>185</v>
      </c>
      <c r="L443">
        <f>IF(Table_TRM_Fixtures[[#This Row],[Technology]]="LED", Table_TRM_Fixtures[[#This Row],[Fixture Watts  (TRM Data)]], Table_TRM_Fixtures[[#This Row],[Lamp Watts  (TRM Data)]])</f>
        <v>391</v>
      </c>
      <c r="M443" t="str">
        <f>Table_TRM_Fixtures[[#This Row],[No. of Lamps  (TRM Data)]]</f>
        <v>N/A</v>
      </c>
      <c r="N443" t="s">
        <v>186</v>
      </c>
      <c r="O443" t="s">
        <v>186</v>
      </c>
      <c r="P443" t="s">
        <v>187</v>
      </c>
      <c r="S443" t="s">
        <v>1068</v>
      </c>
      <c r="T443" t="str">
        <f>Table_TRM_Fixtures[[#This Row],[Fixture code  (TRM Data)]]</f>
        <v>LED391-FIXT</v>
      </c>
      <c r="U443" t="s">
        <v>2883</v>
      </c>
      <c r="V443" t="s">
        <v>185</v>
      </c>
      <c r="W443" t="s">
        <v>3120</v>
      </c>
      <c r="X443" t="s">
        <v>186</v>
      </c>
      <c r="AA443">
        <f>IF(Table_TRM_Fixtures[[#This Row],[Pre-EISA Baseline]]="Nominal", Table_TRM_Fixtures[[#This Row],[Fixture Watts  (TRM Data)]], Table_TRM_Fixtures[[#This Row],[Modified Baseline Fixture Watts]])</f>
        <v>391</v>
      </c>
    </row>
    <row r="444" spans="1:27" x14ac:dyDescent="0.2">
      <c r="A444" t="s">
        <v>1071</v>
      </c>
      <c r="B444" t="s">
        <v>4441</v>
      </c>
      <c r="C444" t="s">
        <v>4442</v>
      </c>
      <c r="D444" t="s">
        <v>4443</v>
      </c>
      <c r="E444" t="s">
        <v>187</v>
      </c>
      <c r="F444" t="s">
        <v>186</v>
      </c>
      <c r="G444" t="s">
        <v>186</v>
      </c>
      <c r="H444">
        <v>392</v>
      </c>
      <c r="I444">
        <v>15</v>
      </c>
      <c r="J444" s="110">
        <v>442</v>
      </c>
      <c r="K444" t="s">
        <v>185</v>
      </c>
      <c r="L444">
        <f>IF(Table_TRM_Fixtures[[#This Row],[Technology]]="LED", Table_TRM_Fixtures[[#This Row],[Fixture Watts  (TRM Data)]], Table_TRM_Fixtures[[#This Row],[Lamp Watts  (TRM Data)]])</f>
        <v>392</v>
      </c>
      <c r="M444" t="str">
        <f>Table_TRM_Fixtures[[#This Row],[No. of Lamps  (TRM Data)]]</f>
        <v>N/A</v>
      </c>
      <c r="N444" t="s">
        <v>186</v>
      </c>
      <c r="O444" t="s">
        <v>186</v>
      </c>
      <c r="P444" t="s">
        <v>187</v>
      </c>
      <c r="S444" t="s">
        <v>1070</v>
      </c>
      <c r="T444" t="str">
        <f>Table_TRM_Fixtures[[#This Row],[Fixture code  (TRM Data)]]</f>
        <v>LED392-FIXT</v>
      </c>
      <c r="U444" t="s">
        <v>2883</v>
      </c>
      <c r="V444" t="s">
        <v>185</v>
      </c>
      <c r="W444" t="s">
        <v>3120</v>
      </c>
      <c r="X444" t="s">
        <v>186</v>
      </c>
      <c r="AA444">
        <f>IF(Table_TRM_Fixtures[[#This Row],[Pre-EISA Baseline]]="Nominal", Table_TRM_Fixtures[[#This Row],[Fixture Watts  (TRM Data)]], Table_TRM_Fixtures[[#This Row],[Modified Baseline Fixture Watts]])</f>
        <v>392</v>
      </c>
    </row>
    <row r="445" spans="1:27" x14ac:dyDescent="0.2">
      <c r="A445" t="s">
        <v>1073</v>
      </c>
      <c r="B445" t="s">
        <v>4444</v>
      </c>
      <c r="C445" t="s">
        <v>4445</v>
      </c>
      <c r="D445" t="s">
        <v>4446</v>
      </c>
      <c r="E445" t="s">
        <v>187</v>
      </c>
      <c r="F445" t="s">
        <v>186</v>
      </c>
      <c r="G445" t="s">
        <v>186</v>
      </c>
      <c r="H445">
        <v>393</v>
      </c>
      <c r="I445">
        <v>15</v>
      </c>
      <c r="J445" s="110">
        <v>443</v>
      </c>
      <c r="K445" t="s">
        <v>185</v>
      </c>
      <c r="L445">
        <f>IF(Table_TRM_Fixtures[[#This Row],[Technology]]="LED", Table_TRM_Fixtures[[#This Row],[Fixture Watts  (TRM Data)]], Table_TRM_Fixtures[[#This Row],[Lamp Watts  (TRM Data)]])</f>
        <v>393</v>
      </c>
      <c r="M445" t="str">
        <f>Table_TRM_Fixtures[[#This Row],[No. of Lamps  (TRM Data)]]</f>
        <v>N/A</v>
      </c>
      <c r="N445" t="s">
        <v>186</v>
      </c>
      <c r="O445" t="s">
        <v>186</v>
      </c>
      <c r="P445" t="s">
        <v>187</v>
      </c>
      <c r="S445" t="s">
        <v>1072</v>
      </c>
      <c r="T445" t="str">
        <f>Table_TRM_Fixtures[[#This Row],[Fixture code  (TRM Data)]]</f>
        <v>LED393-FIXT</v>
      </c>
      <c r="U445" t="s">
        <v>2883</v>
      </c>
      <c r="V445" t="s">
        <v>185</v>
      </c>
      <c r="W445" t="s">
        <v>3120</v>
      </c>
      <c r="X445" t="s">
        <v>186</v>
      </c>
      <c r="AA445">
        <f>IF(Table_TRM_Fixtures[[#This Row],[Pre-EISA Baseline]]="Nominal", Table_TRM_Fixtures[[#This Row],[Fixture Watts  (TRM Data)]], Table_TRM_Fixtures[[#This Row],[Modified Baseline Fixture Watts]])</f>
        <v>393</v>
      </c>
    </row>
    <row r="446" spans="1:27" x14ac:dyDescent="0.2">
      <c r="A446" t="s">
        <v>1075</v>
      </c>
      <c r="B446" t="s">
        <v>4447</v>
      </c>
      <c r="C446" t="s">
        <v>4448</v>
      </c>
      <c r="D446" t="s">
        <v>4449</v>
      </c>
      <c r="E446" t="s">
        <v>187</v>
      </c>
      <c r="F446" t="s">
        <v>186</v>
      </c>
      <c r="G446" t="s">
        <v>186</v>
      </c>
      <c r="H446">
        <v>394</v>
      </c>
      <c r="I446">
        <v>15</v>
      </c>
      <c r="J446" s="110">
        <v>444</v>
      </c>
      <c r="K446" t="s">
        <v>185</v>
      </c>
      <c r="L446">
        <f>IF(Table_TRM_Fixtures[[#This Row],[Technology]]="LED", Table_TRM_Fixtures[[#This Row],[Fixture Watts  (TRM Data)]], Table_TRM_Fixtures[[#This Row],[Lamp Watts  (TRM Data)]])</f>
        <v>394</v>
      </c>
      <c r="M446" t="str">
        <f>Table_TRM_Fixtures[[#This Row],[No. of Lamps  (TRM Data)]]</f>
        <v>N/A</v>
      </c>
      <c r="N446" t="s">
        <v>186</v>
      </c>
      <c r="O446" t="s">
        <v>186</v>
      </c>
      <c r="P446" t="s">
        <v>187</v>
      </c>
      <c r="S446" t="s">
        <v>1074</v>
      </c>
      <c r="T446" t="str">
        <f>Table_TRM_Fixtures[[#This Row],[Fixture code  (TRM Data)]]</f>
        <v>LED394-FIXT</v>
      </c>
      <c r="U446" t="s">
        <v>2883</v>
      </c>
      <c r="V446" t="s">
        <v>185</v>
      </c>
      <c r="W446" t="s">
        <v>3120</v>
      </c>
      <c r="X446" t="s">
        <v>186</v>
      </c>
      <c r="AA446">
        <f>IF(Table_TRM_Fixtures[[#This Row],[Pre-EISA Baseline]]="Nominal", Table_TRM_Fixtures[[#This Row],[Fixture Watts  (TRM Data)]], Table_TRM_Fixtures[[#This Row],[Modified Baseline Fixture Watts]])</f>
        <v>394</v>
      </c>
    </row>
    <row r="447" spans="1:27" x14ac:dyDescent="0.2">
      <c r="A447" t="s">
        <v>1077</v>
      </c>
      <c r="B447" t="s">
        <v>4450</v>
      </c>
      <c r="C447" t="s">
        <v>4451</v>
      </c>
      <c r="D447" t="s">
        <v>4452</v>
      </c>
      <c r="E447" t="s">
        <v>187</v>
      </c>
      <c r="F447" t="s">
        <v>186</v>
      </c>
      <c r="G447" t="s">
        <v>186</v>
      </c>
      <c r="H447">
        <v>395</v>
      </c>
      <c r="I447">
        <v>15</v>
      </c>
      <c r="J447" s="110">
        <v>445</v>
      </c>
      <c r="K447" t="s">
        <v>185</v>
      </c>
      <c r="L447">
        <f>IF(Table_TRM_Fixtures[[#This Row],[Technology]]="LED", Table_TRM_Fixtures[[#This Row],[Fixture Watts  (TRM Data)]], Table_TRM_Fixtures[[#This Row],[Lamp Watts  (TRM Data)]])</f>
        <v>395</v>
      </c>
      <c r="M447" t="str">
        <f>Table_TRM_Fixtures[[#This Row],[No. of Lamps  (TRM Data)]]</f>
        <v>N/A</v>
      </c>
      <c r="N447" t="s">
        <v>186</v>
      </c>
      <c r="O447" t="s">
        <v>186</v>
      </c>
      <c r="P447" t="s">
        <v>187</v>
      </c>
      <c r="S447" t="s">
        <v>1076</v>
      </c>
      <c r="T447" t="str">
        <f>Table_TRM_Fixtures[[#This Row],[Fixture code  (TRM Data)]]</f>
        <v>LED395-FIXT</v>
      </c>
      <c r="U447" t="s">
        <v>2883</v>
      </c>
      <c r="V447" t="s">
        <v>185</v>
      </c>
      <c r="W447" t="s">
        <v>3120</v>
      </c>
      <c r="X447" t="s">
        <v>186</v>
      </c>
      <c r="AA447">
        <f>IF(Table_TRM_Fixtures[[#This Row],[Pre-EISA Baseline]]="Nominal", Table_TRM_Fixtures[[#This Row],[Fixture Watts  (TRM Data)]], Table_TRM_Fixtures[[#This Row],[Modified Baseline Fixture Watts]])</f>
        <v>395</v>
      </c>
    </row>
    <row r="448" spans="1:27" x14ac:dyDescent="0.2">
      <c r="A448" t="s">
        <v>1079</v>
      </c>
      <c r="B448" t="s">
        <v>4453</v>
      </c>
      <c r="C448" t="s">
        <v>4454</v>
      </c>
      <c r="D448" t="s">
        <v>4455</v>
      </c>
      <c r="E448" t="s">
        <v>187</v>
      </c>
      <c r="F448" t="s">
        <v>186</v>
      </c>
      <c r="G448" t="s">
        <v>186</v>
      </c>
      <c r="H448">
        <v>396</v>
      </c>
      <c r="I448">
        <v>15</v>
      </c>
      <c r="J448" s="110">
        <v>446</v>
      </c>
      <c r="K448" t="s">
        <v>185</v>
      </c>
      <c r="L448">
        <f>IF(Table_TRM_Fixtures[[#This Row],[Technology]]="LED", Table_TRM_Fixtures[[#This Row],[Fixture Watts  (TRM Data)]], Table_TRM_Fixtures[[#This Row],[Lamp Watts  (TRM Data)]])</f>
        <v>396</v>
      </c>
      <c r="M448" t="str">
        <f>Table_TRM_Fixtures[[#This Row],[No. of Lamps  (TRM Data)]]</f>
        <v>N/A</v>
      </c>
      <c r="N448" t="s">
        <v>186</v>
      </c>
      <c r="O448" t="s">
        <v>186</v>
      </c>
      <c r="P448" t="s">
        <v>187</v>
      </c>
      <c r="S448" t="s">
        <v>1078</v>
      </c>
      <c r="T448" t="str">
        <f>Table_TRM_Fixtures[[#This Row],[Fixture code  (TRM Data)]]</f>
        <v>LED396-FIXT</v>
      </c>
      <c r="U448" t="s">
        <v>2883</v>
      </c>
      <c r="V448" t="s">
        <v>185</v>
      </c>
      <c r="W448" t="s">
        <v>3120</v>
      </c>
      <c r="X448" t="s">
        <v>186</v>
      </c>
      <c r="AA448">
        <f>IF(Table_TRM_Fixtures[[#This Row],[Pre-EISA Baseline]]="Nominal", Table_TRM_Fixtures[[#This Row],[Fixture Watts  (TRM Data)]], Table_TRM_Fixtures[[#This Row],[Modified Baseline Fixture Watts]])</f>
        <v>396</v>
      </c>
    </row>
    <row r="449" spans="1:27" x14ac:dyDescent="0.2">
      <c r="A449" t="s">
        <v>1081</v>
      </c>
      <c r="B449" t="s">
        <v>4456</v>
      </c>
      <c r="C449" t="s">
        <v>4457</v>
      </c>
      <c r="D449" t="s">
        <v>4458</v>
      </c>
      <c r="E449" t="s">
        <v>187</v>
      </c>
      <c r="F449" t="s">
        <v>186</v>
      </c>
      <c r="G449" t="s">
        <v>186</v>
      </c>
      <c r="H449">
        <v>397</v>
      </c>
      <c r="I449">
        <v>15</v>
      </c>
      <c r="J449" s="110">
        <v>447</v>
      </c>
      <c r="K449" t="s">
        <v>185</v>
      </c>
      <c r="L449">
        <f>IF(Table_TRM_Fixtures[[#This Row],[Technology]]="LED", Table_TRM_Fixtures[[#This Row],[Fixture Watts  (TRM Data)]], Table_TRM_Fixtures[[#This Row],[Lamp Watts  (TRM Data)]])</f>
        <v>397</v>
      </c>
      <c r="M449" t="str">
        <f>Table_TRM_Fixtures[[#This Row],[No. of Lamps  (TRM Data)]]</f>
        <v>N/A</v>
      </c>
      <c r="N449" t="s">
        <v>186</v>
      </c>
      <c r="O449" t="s">
        <v>186</v>
      </c>
      <c r="P449" t="s">
        <v>187</v>
      </c>
      <c r="S449" t="s">
        <v>1080</v>
      </c>
      <c r="T449" t="str">
        <f>Table_TRM_Fixtures[[#This Row],[Fixture code  (TRM Data)]]</f>
        <v>LED397-FIXT</v>
      </c>
      <c r="U449" t="s">
        <v>2883</v>
      </c>
      <c r="V449" t="s">
        <v>185</v>
      </c>
      <c r="W449" t="s">
        <v>3120</v>
      </c>
      <c r="X449" t="s">
        <v>186</v>
      </c>
      <c r="AA449">
        <f>IF(Table_TRM_Fixtures[[#This Row],[Pre-EISA Baseline]]="Nominal", Table_TRM_Fixtures[[#This Row],[Fixture Watts  (TRM Data)]], Table_TRM_Fixtures[[#This Row],[Modified Baseline Fixture Watts]])</f>
        <v>397</v>
      </c>
    </row>
    <row r="450" spans="1:27" x14ac:dyDescent="0.2">
      <c r="A450" t="s">
        <v>1083</v>
      </c>
      <c r="B450" t="s">
        <v>4459</v>
      </c>
      <c r="C450" t="s">
        <v>4460</v>
      </c>
      <c r="D450" t="s">
        <v>4461</v>
      </c>
      <c r="E450" t="s">
        <v>187</v>
      </c>
      <c r="F450" t="s">
        <v>186</v>
      </c>
      <c r="G450" t="s">
        <v>186</v>
      </c>
      <c r="H450">
        <v>398</v>
      </c>
      <c r="I450">
        <v>15</v>
      </c>
      <c r="J450" s="110">
        <v>448</v>
      </c>
      <c r="K450" t="s">
        <v>185</v>
      </c>
      <c r="L450">
        <f>IF(Table_TRM_Fixtures[[#This Row],[Technology]]="LED", Table_TRM_Fixtures[[#This Row],[Fixture Watts  (TRM Data)]], Table_TRM_Fixtures[[#This Row],[Lamp Watts  (TRM Data)]])</f>
        <v>398</v>
      </c>
      <c r="M450" t="str">
        <f>Table_TRM_Fixtures[[#This Row],[No. of Lamps  (TRM Data)]]</f>
        <v>N/A</v>
      </c>
      <c r="N450" t="s">
        <v>186</v>
      </c>
      <c r="O450" t="s">
        <v>186</v>
      </c>
      <c r="P450" t="s">
        <v>187</v>
      </c>
      <c r="S450" t="s">
        <v>1082</v>
      </c>
      <c r="T450" t="str">
        <f>Table_TRM_Fixtures[[#This Row],[Fixture code  (TRM Data)]]</f>
        <v>LED398-FIXT</v>
      </c>
      <c r="U450" t="s">
        <v>2883</v>
      </c>
      <c r="V450" t="s">
        <v>185</v>
      </c>
      <c r="W450" t="s">
        <v>3120</v>
      </c>
      <c r="X450" t="s">
        <v>186</v>
      </c>
      <c r="AA450">
        <f>IF(Table_TRM_Fixtures[[#This Row],[Pre-EISA Baseline]]="Nominal", Table_TRM_Fixtures[[#This Row],[Fixture Watts  (TRM Data)]], Table_TRM_Fixtures[[#This Row],[Modified Baseline Fixture Watts]])</f>
        <v>398</v>
      </c>
    </row>
    <row r="451" spans="1:27" x14ac:dyDescent="0.2">
      <c r="A451" t="s">
        <v>1085</v>
      </c>
      <c r="B451" t="s">
        <v>4462</v>
      </c>
      <c r="C451" t="s">
        <v>4463</v>
      </c>
      <c r="D451" t="s">
        <v>4464</v>
      </c>
      <c r="E451" t="s">
        <v>187</v>
      </c>
      <c r="F451" t="s">
        <v>186</v>
      </c>
      <c r="G451" t="s">
        <v>186</v>
      </c>
      <c r="H451">
        <v>399</v>
      </c>
      <c r="I451">
        <v>15</v>
      </c>
      <c r="J451" s="110">
        <v>449</v>
      </c>
      <c r="K451" t="s">
        <v>185</v>
      </c>
      <c r="L451">
        <f>IF(Table_TRM_Fixtures[[#This Row],[Technology]]="LED", Table_TRM_Fixtures[[#This Row],[Fixture Watts  (TRM Data)]], Table_TRM_Fixtures[[#This Row],[Lamp Watts  (TRM Data)]])</f>
        <v>399</v>
      </c>
      <c r="M451" t="str">
        <f>Table_TRM_Fixtures[[#This Row],[No. of Lamps  (TRM Data)]]</f>
        <v>N/A</v>
      </c>
      <c r="N451" t="s">
        <v>186</v>
      </c>
      <c r="O451" t="s">
        <v>186</v>
      </c>
      <c r="P451" t="s">
        <v>187</v>
      </c>
      <c r="S451" t="s">
        <v>1084</v>
      </c>
      <c r="T451" t="str">
        <f>Table_TRM_Fixtures[[#This Row],[Fixture code  (TRM Data)]]</f>
        <v>LED399-FIXT</v>
      </c>
      <c r="U451" t="s">
        <v>2883</v>
      </c>
      <c r="V451" t="s">
        <v>185</v>
      </c>
      <c r="W451" t="s">
        <v>3120</v>
      </c>
      <c r="X451" t="s">
        <v>186</v>
      </c>
      <c r="AA451">
        <f>IF(Table_TRM_Fixtures[[#This Row],[Pre-EISA Baseline]]="Nominal", Table_TRM_Fixtures[[#This Row],[Fixture Watts  (TRM Data)]], Table_TRM_Fixtures[[#This Row],[Modified Baseline Fixture Watts]])</f>
        <v>399</v>
      </c>
    </row>
    <row r="452" spans="1:27" x14ac:dyDescent="0.2">
      <c r="A452" t="s">
        <v>1087</v>
      </c>
      <c r="B452" t="s">
        <v>4465</v>
      </c>
      <c r="C452" t="s">
        <v>4466</v>
      </c>
      <c r="D452" t="s">
        <v>4467</v>
      </c>
      <c r="E452" t="s">
        <v>187</v>
      </c>
      <c r="F452" t="s">
        <v>186</v>
      </c>
      <c r="G452" t="s">
        <v>186</v>
      </c>
      <c r="H452">
        <v>400</v>
      </c>
      <c r="I452">
        <v>15</v>
      </c>
      <c r="J452" s="110">
        <v>450</v>
      </c>
      <c r="K452" t="s">
        <v>185</v>
      </c>
      <c r="L452">
        <f>IF(Table_TRM_Fixtures[[#This Row],[Technology]]="LED", Table_TRM_Fixtures[[#This Row],[Fixture Watts  (TRM Data)]], Table_TRM_Fixtures[[#This Row],[Lamp Watts  (TRM Data)]])</f>
        <v>400</v>
      </c>
      <c r="M452" t="str">
        <f>Table_TRM_Fixtures[[#This Row],[No. of Lamps  (TRM Data)]]</f>
        <v>N/A</v>
      </c>
      <c r="N452" t="s">
        <v>186</v>
      </c>
      <c r="O452" t="s">
        <v>186</v>
      </c>
      <c r="P452" t="s">
        <v>187</v>
      </c>
      <c r="S452" t="s">
        <v>1086</v>
      </c>
      <c r="T452" t="str">
        <f>Table_TRM_Fixtures[[#This Row],[Fixture code  (TRM Data)]]</f>
        <v>LED400-FIXT</v>
      </c>
      <c r="U452" t="s">
        <v>2883</v>
      </c>
      <c r="V452" t="s">
        <v>185</v>
      </c>
      <c r="W452" t="s">
        <v>3120</v>
      </c>
      <c r="X452" t="s">
        <v>186</v>
      </c>
      <c r="AA452">
        <f>IF(Table_TRM_Fixtures[[#This Row],[Pre-EISA Baseline]]="Nominal", Table_TRM_Fixtures[[#This Row],[Fixture Watts  (TRM Data)]], Table_TRM_Fixtures[[#This Row],[Modified Baseline Fixture Watts]])</f>
        <v>400</v>
      </c>
    </row>
    <row r="453" spans="1:27" x14ac:dyDescent="0.2">
      <c r="A453" t="s">
        <v>1089</v>
      </c>
      <c r="B453" t="s">
        <v>4468</v>
      </c>
      <c r="C453" t="s">
        <v>4469</v>
      </c>
      <c r="D453" t="s">
        <v>4470</v>
      </c>
      <c r="E453" t="s">
        <v>187</v>
      </c>
      <c r="F453" t="s">
        <v>186</v>
      </c>
      <c r="G453" t="s">
        <v>186</v>
      </c>
      <c r="H453">
        <v>401</v>
      </c>
      <c r="I453">
        <v>15</v>
      </c>
      <c r="J453" s="110">
        <v>451</v>
      </c>
      <c r="K453" t="s">
        <v>185</v>
      </c>
      <c r="L453">
        <f>IF(Table_TRM_Fixtures[[#This Row],[Technology]]="LED", Table_TRM_Fixtures[[#This Row],[Fixture Watts  (TRM Data)]], Table_TRM_Fixtures[[#This Row],[Lamp Watts  (TRM Data)]])</f>
        <v>401</v>
      </c>
      <c r="M453" t="str">
        <f>Table_TRM_Fixtures[[#This Row],[No. of Lamps  (TRM Data)]]</f>
        <v>N/A</v>
      </c>
      <c r="N453" t="s">
        <v>186</v>
      </c>
      <c r="O453" t="s">
        <v>186</v>
      </c>
      <c r="P453" t="s">
        <v>187</v>
      </c>
      <c r="S453" t="s">
        <v>1088</v>
      </c>
      <c r="T453" t="str">
        <f>Table_TRM_Fixtures[[#This Row],[Fixture code  (TRM Data)]]</f>
        <v>LED401-FIXT</v>
      </c>
      <c r="U453" t="s">
        <v>2883</v>
      </c>
      <c r="V453" t="s">
        <v>185</v>
      </c>
      <c r="W453" t="s">
        <v>3120</v>
      </c>
      <c r="X453" t="s">
        <v>186</v>
      </c>
      <c r="AA453">
        <f>IF(Table_TRM_Fixtures[[#This Row],[Pre-EISA Baseline]]="Nominal", Table_TRM_Fixtures[[#This Row],[Fixture Watts  (TRM Data)]], Table_TRM_Fixtures[[#This Row],[Modified Baseline Fixture Watts]])</f>
        <v>401</v>
      </c>
    </row>
    <row r="454" spans="1:27" x14ac:dyDescent="0.2">
      <c r="A454" t="s">
        <v>1091</v>
      </c>
      <c r="B454" t="s">
        <v>4471</v>
      </c>
      <c r="C454" t="s">
        <v>4472</v>
      </c>
      <c r="D454" t="s">
        <v>4473</v>
      </c>
      <c r="E454" t="s">
        <v>187</v>
      </c>
      <c r="F454" t="s">
        <v>186</v>
      </c>
      <c r="G454" t="s">
        <v>186</v>
      </c>
      <c r="H454">
        <v>402</v>
      </c>
      <c r="I454">
        <v>15</v>
      </c>
      <c r="J454" s="110">
        <v>452</v>
      </c>
      <c r="K454" t="s">
        <v>185</v>
      </c>
      <c r="L454">
        <f>IF(Table_TRM_Fixtures[[#This Row],[Technology]]="LED", Table_TRM_Fixtures[[#This Row],[Fixture Watts  (TRM Data)]], Table_TRM_Fixtures[[#This Row],[Lamp Watts  (TRM Data)]])</f>
        <v>402</v>
      </c>
      <c r="M454" t="str">
        <f>Table_TRM_Fixtures[[#This Row],[No. of Lamps  (TRM Data)]]</f>
        <v>N/A</v>
      </c>
      <c r="N454" t="s">
        <v>186</v>
      </c>
      <c r="O454" t="s">
        <v>186</v>
      </c>
      <c r="P454" t="s">
        <v>187</v>
      </c>
      <c r="S454" t="s">
        <v>1090</v>
      </c>
      <c r="T454" t="str">
        <f>Table_TRM_Fixtures[[#This Row],[Fixture code  (TRM Data)]]</f>
        <v>LED402-FIXT</v>
      </c>
      <c r="U454" t="s">
        <v>2883</v>
      </c>
      <c r="V454" t="s">
        <v>185</v>
      </c>
      <c r="W454" t="s">
        <v>3120</v>
      </c>
      <c r="X454" t="s">
        <v>186</v>
      </c>
      <c r="AA454">
        <f>IF(Table_TRM_Fixtures[[#This Row],[Pre-EISA Baseline]]="Nominal", Table_TRM_Fixtures[[#This Row],[Fixture Watts  (TRM Data)]], Table_TRM_Fixtures[[#This Row],[Modified Baseline Fixture Watts]])</f>
        <v>402</v>
      </c>
    </row>
    <row r="455" spans="1:27" x14ac:dyDescent="0.2">
      <c r="A455" t="s">
        <v>1093</v>
      </c>
      <c r="B455" t="s">
        <v>4474</v>
      </c>
      <c r="C455" t="s">
        <v>4475</v>
      </c>
      <c r="D455" t="s">
        <v>4476</v>
      </c>
      <c r="E455" t="s">
        <v>187</v>
      </c>
      <c r="F455" t="s">
        <v>186</v>
      </c>
      <c r="G455" t="s">
        <v>186</v>
      </c>
      <c r="H455">
        <v>403</v>
      </c>
      <c r="I455">
        <v>15</v>
      </c>
      <c r="J455" s="110">
        <v>453</v>
      </c>
      <c r="K455" t="s">
        <v>185</v>
      </c>
      <c r="L455">
        <f>IF(Table_TRM_Fixtures[[#This Row],[Technology]]="LED", Table_TRM_Fixtures[[#This Row],[Fixture Watts  (TRM Data)]], Table_TRM_Fixtures[[#This Row],[Lamp Watts  (TRM Data)]])</f>
        <v>403</v>
      </c>
      <c r="M455" t="str">
        <f>Table_TRM_Fixtures[[#This Row],[No. of Lamps  (TRM Data)]]</f>
        <v>N/A</v>
      </c>
      <c r="N455" t="s">
        <v>186</v>
      </c>
      <c r="O455" t="s">
        <v>186</v>
      </c>
      <c r="P455" t="s">
        <v>187</v>
      </c>
      <c r="S455" t="s">
        <v>1092</v>
      </c>
      <c r="T455" t="str">
        <f>Table_TRM_Fixtures[[#This Row],[Fixture code  (TRM Data)]]</f>
        <v>LED403-FIXT</v>
      </c>
      <c r="U455" t="s">
        <v>2883</v>
      </c>
      <c r="V455" t="s">
        <v>185</v>
      </c>
      <c r="W455" t="s">
        <v>3120</v>
      </c>
      <c r="X455" t="s">
        <v>186</v>
      </c>
      <c r="AA455">
        <f>IF(Table_TRM_Fixtures[[#This Row],[Pre-EISA Baseline]]="Nominal", Table_TRM_Fixtures[[#This Row],[Fixture Watts  (TRM Data)]], Table_TRM_Fixtures[[#This Row],[Modified Baseline Fixture Watts]])</f>
        <v>403</v>
      </c>
    </row>
    <row r="456" spans="1:27" x14ac:dyDescent="0.2">
      <c r="A456" t="s">
        <v>1095</v>
      </c>
      <c r="B456" t="s">
        <v>4477</v>
      </c>
      <c r="C456" t="s">
        <v>4478</v>
      </c>
      <c r="D456" t="s">
        <v>4479</v>
      </c>
      <c r="E456" t="s">
        <v>187</v>
      </c>
      <c r="F456" t="s">
        <v>186</v>
      </c>
      <c r="G456" t="s">
        <v>186</v>
      </c>
      <c r="H456">
        <v>404</v>
      </c>
      <c r="I456">
        <v>15</v>
      </c>
      <c r="J456" s="110">
        <v>454</v>
      </c>
      <c r="K456" t="s">
        <v>185</v>
      </c>
      <c r="L456">
        <f>IF(Table_TRM_Fixtures[[#This Row],[Technology]]="LED", Table_TRM_Fixtures[[#This Row],[Fixture Watts  (TRM Data)]], Table_TRM_Fixtures[[#This Row],[Lamp Watts  (TRM Data)]])</f>
        <v>404</v>
      </c>
      <c r="M456" t="str">
        <f>Table_TRM_Fixtures[[#This Row],[No. of Lamps  (TRM Data)]]</f>
        <v>N/A</v>
      </c>
      <c r="N456" t="s">
        <v>186</v>
      </c>
      <c r="O456" t="s">
        <v>186</v>
      </c>
      <c r="P456" t="s">
        <v>187</v>
      </c>
      <c r="S456" t="s">
        <v>1094</v>
      </c>
      <c r="T456" t="str">
        <f>Table_TRM_Fixtures[[#This Row],[Fixture code  (TRM Data)]]</f>
        <v>LED404-FIXT</v>
      </c>
      <c r="U456" t="s">
        <v>2883</v>
      </c>
      <c r="V456" t="s">
        <v>185</v>
      </c>
      <c r="W456" t="s">
        <v>3120</v>
      </c>
      <c r="X456" t="s">
        <v>186</v>
      </c>
      <c r="AA456">
        <f>IF(Table_TRM_Fixtures[[#This Row],[Pre-EISA Baseline]]="Nominal", Table_TRM_Fixtures[[#This Row],[Fixture Watts  (TRM Data)]], Table_TRM_Fixtures[[#This Row],[Modified Baseline Fixture Watts]])</f>
        <v>404</v>
      </c>
    </row>
    <row r="457" spans="1:27" x14ac:dyDescent="0.2">
      <c r="A457" t="s">
        <v>1097</v>
      </c>
      <c r="B457" t="s">
        <v>4480</v>
      </c>
      <c r="C457" t="s">
        <v>4481</v>
      </c>
      <c r="D457" t="s">
        <v>4482</v>
      </c>
      <c r="E457" t="s">
        <v>187</v>
      </c>
      <c r="F457" t="s">
        <v>186</v>
      </c>
      <c r="G457" t="s">
        <v>186</v>
      </c>
      <c r="H457">
        <v>405</v>
      </c>
      <c r="I457">
        <v>15</v>
      </c>
      <c r="J457" s="110">
        <v>455</v>
      </c>
      <c r="K457" t="s">
        <v>185</v>
      </c>
      <c r="L457">
        <f>IF(Table_TRM_Fixtures[[#This Row],[Technology]]="LED", Table_TRM_Fixtures[[#This Row],[Fixture Watts  (TRM Data)]], Table_TRM_Fixtures[[#This Row],[Lamp Watts  (TRM Data)]])</f>
        <v>405</v>
      </c>
      <c r="M457" t="str">
        <f>Table_TRM_Fixtures[[#This Row],[No. of Lamps  (TRM Data)]]</f>
        <v>N/A</v>
      </c>
      <c r="N457" t="s">
        <v>186</v>
      </c>
      <c r="O457" t="s">
        <v>186</v>
      </c>
      <c r="P457" t="s">
        <v>187</v>
      </c>
      <c r="S457" t="s">
        <v>1096</v>
      </c>
      <c r="T457" t="str">
        <f>Table_TRM_Fixtures[[#This Row],[Fixture code  (TRM Data)]]</f>
        <v>LED405-FIXT</v>
      </c>
      <c r="U457" t="s">
        <v>2883</v>
      </c>
      <c r="V457" t="s">
        <v>185</v>
      </c>
      <c r="W457" t="s">
        <v>3120</v>
      </c>
      <c r="X457" t="s">
        <v>186</v>
      </c>
      <c r="AA457">
        <f>IF(Table_TRM_Fixtures[[#This Row],[Pre-EISA Baseline]]="Nominal", Table_TRM_Fixtures[[#This Row],[Fixture Watts  (TRM Data)]], Table_TRM_Fixtures[[#This Row],[Modified Baseline Fixture Watts]])</f>
        <v>405</v>
      </c>
    </row>
    <row r="458" spans="1:27" x14ac:dyDescent="0.2">
      <c r="A458" t="s">
        <v>1099</v>
      </c>
      <c r="B458" t="s">
        <v>4483</v>
      </c>
      <c r="C458" t="s">
        <v>4484</v>
      </c>
      <c r="D458" t="s">
        <v>4485</v>
      </c>
      <c r="E458" t="s">
        <v>187</v>
      </c>
      <c r="F458" t="s">
        <v>186</v>
      </c>
      <c r="G458" t="s">
        <v>186</v>
      </c>
      <c r="H458">
        <v>406</v>
      </c>
      <c r="I458">
        <v>15</v>
      </c>
      <c r="J458" s="110">
        <v>456</v>
      </c>
      <c r="K458" t="s">
        <v>185</v>
      </c>
      <c r="L458">
        <f>IF(Table_TRM_Fixtures[[#This Row],[Technology]]="LED", Table_TRM_Fixtures[[#This Row],[Fixture Watts  (TRM Data)]], Table_TRM_Fixtures[[#This Row],[Lamp Watts  (TRM Data)]])</f>
        <v>406</v>
      </c>
      <c r="M458" t="str">
        <f>Table_TRM_Fixtures[[#This Row],[No. of Lamps  (TRM Data)]]</f>
        <v>N/A</v>
      </c>
      <c r="N458" t="s">
        <v>186</v>
      </c>
      <c r="O458" t="s">
        <v>186</v>
      </c>
      <c r="P458" t="s">
        <v>187</v>
      </c>
      <c r="S458" t="s">
        <v>1098</v>
      </c>
      <c r="T458" t="str">
        <f>Table_TRM_Fixtures[[#This Row],[Fixture code  (TRM Data)]]</f>
        <v>LED406-FIXT</v>
      </c>
      <c r="U458" t="s">
        <v>2883</v>
      </c>
      <c r="V458" t="s">
        <v>185</v>
      </c>
      <c r="W458" t="s">
        <v>3120</v>
      </c>
      <c r="X458" t="s">
        <v>186</v>
      </c>
      <c r="AA458">
        <f>IF(Table_TRM_Fixtures[[#This Row],[Pre-EISA Baseline]]="Nominal", Table_TRM_Fixtures[[#This Row],[Fixture Watts  (TRM Data)]], Table_TRM_Fixtures[[#This Row],[Modified Baseline Fixture Watts]])</f>
        <v>406</v>
      </c>
    </row>
    <row r="459" spans="1:27" x14ac:dyDescent="0.2">
      <c r="A459" t="s">
        <v>1101</v>
      </c>
      <c r="B459" t="s">
        <v>4486</v>
      </c>
      <c r="C459" t="s">
        <v>4487</v>
      </c>
      <c r="D459" t="s">
        <v>4488</v>
      </c>
      <c r="E459" t="s">
        <v>187</v>
      </c>
      <c r="F459" t="s">
        <v>186</v>
      </c>
      <c r="G459" t="s">
        <v>186</v>
      </c>
      <c r="H459">
        <v>407</v>
      </c>
      <c r="I459">
        <v>15</v>
      </c>
      <c r="J459" s="110">
        <v>457</v>
      </c>
      <c r="K459" t="s">
        <v>185</v>
      </c>
      <c r="L459">
        <f>IF(Table_TRM_Fixtures[[#This Row],[Technology]]="LED", Table_TRM_Fixtures[[#This Row],[Fixture Watts  (TRM Data)]], Table_TRM_Fixtures[[#This Row],[Lamp Watts  (TRM Data)]])</f>
        <v>407</v>
      </c>
      <c r="M459" t="str">
        <f>Table_TRM_Fixtures[[#This Row],[No. of Lamps  (TRM Data)]]</f>
        <v>N/A</v>
      </c>
      <c r="N459" t="s">
        <v>186</v>
      </c>
      <c r="O459" t="s">
        <v>186</v>
      </c>
      <c r="P459" t="s">
        <v>187</v>
      </c>
      <c r="S459" t="s">
        <v>1100</v>
      </c>
      <c r="T459" t="str">
        <f>Table_TRM_Fixtures[[#This Row],[Fixture code  (TRM Data)]]</f>
        <v>LED407-FIXT</v>
      </c>
      <c r="U459" t="s">
        <v>2883</v>
      </c>
      <c r="V459" t="s">
        <v>185</v>
      </c>
      <c r="W459" t="s">
        <v>3120</v>
      </c>
      <c r="X459" t="s">
        <v>186</v>
      </c>
      <c r="AA459">
        <f>IF(Table_TRM_Fixtures[[#This Row],[Pre-EISA Baseline]]="Nominal", Table_TRM_Fixtures[[#This Row],[Fixture Watts  (TRM Data)]], Table_TRM_Fixtures[[#This Row],[Modified Baseline Fixture Watts]])</f>
        <v>407</v>
      </c>
    </row>
    <row r="460" spans="1:27" x14ac:dyDescent="0.2">
      <c r="A460" t="s">
        <v>1103</v>
      </c>
      <c r="B460" t="s">
        <v>4489</v>
      </c>
      <c r="C460" t="s">
        <v>4490</v>
      </c>
      <c r="D460" t="s">
        <v>4491</v>
      </c>
      <c r="E460" t="s">
        <v>187</v>
      </c>
      <c r="F460" t="s">
        <v>186</v>
      </c>
      <c r="G460" t="s">
        <v>186</v>
      </c>
      <c r="H460">
        <v>408</v>
      </c>
      <c r="I460">
        <v>15</v>
      </c>
      <c r="J460" s="110">
        <v>458</v>
      </c>
      <c r="K460" t="s">
        <v>185</v>
      </c>
      <c r="L460">
        <f>IF(Table_TRM_Fixtures[[#This Row],[Technology]]="LED", Table_TRM_Fixtures[[#This Row],[Fixture Watts  (TRM Data)]], Table_TRM_Fixtures[[#This Row],[Lamp Watts  (TRM Data)]])</f>
        <v>408</v>
      </c>
      <c r="M460" t="str">
        <f>Table_TRM_Fixtures[[#This Row],[No. of Lamps  (TRM Data)]]</f>
        <v>N/A</v>
      </c>
      <c r="N460" t="s">
        <v>186</v>
      </c>
      <c r="O460" t="s">
        <v>186</v>
      </c>
      <c r="P460" t="s">
        <v>187</v>
      </c>
      <c r="S460" t="s">
        <v>1102</v>
      </c>
      <c r="T460" t="str">
        <f>Table_TRM_Fixtures[[#This Row],[Fixture code  (TRM Data)]]</f>
        <v>LED408-FIXT</v>
      </c>
      <c r="U460" t="s">
        <v>2883</v>
      </c>
      <c r="V460" t="s">
        <v>185</v>
      </c>
      <c r="W460" t="s">
        <v>3120</v>
      </c>
      <c r="X460" t="s">
        <v>186</v>
      </c>
      <c r="AA460">
        <f>IF(Table_TRM_Fixtures[[#This Row],[Pre-EISA Baseline]]="Nominal", Table_TRM_Fixtures[[#This Row],[Fixture Watts  (TRM Data)]], Table_TRM_Fixtures[[#This Row],[Modified Baseline Fixture Watts]])</f>
        <v>408</v>
      </c>
    </row>
    <row r="461" spans="1:27" x14ac:dyDescent="0.2">
      <c r="A461" t="s">
        <v>1105</v>
      </c>
      <c r="B461" t="s">
        <v>4492</v>
      </c>
      <c r="C461" t="s">
        <v>4493</v>
      </c>
      <c r="D461" t="s">
        <v>4494</v>
      </c>
      <c r="E461" t="s">
        <v>187</v>
      </c>
      <c r="F461" t="s">
        <v>186</v>
      </c>
      <c r="G461" t="s">
        <v>186</v>
      </c>
      <c r="H461">
        <v>409</v>
      </c>
      <c r="I461">
        <v>15</v>
      </c>
      <c r="J461" s="110">
        <v>459</v>
      </c>
      <c r="K461" t="s">
        <v>185</v>
      </c>
      <c r="L461">
        <f>IF(Table_TRM_Fixtures[[#This Row],[Technology]]="LED", Table_TRM_Fixtures[[#This Row],[Fixture Watts  (TRM Data)]], Table_TRM_Fixtures[[#This Row],[Lamp Watts  (TRM Data)]])</f>
        <v>409</v>
      </c>
      <c r="M461" t="str">
        <f>Table_TRM_Fixtures[[#This Row],[No. of Lamps  (TRM Data)]]</f>
        <v>N/A</v>
      </c>
      <c r="N461" t="s">
        <v>186</v>
      </c>
      <c r="O461" t="s">
        <v>186</v>
      </c>
      <c r="P461" t="s">
        <v>187</v>
      </c>
      <c r="S461" t="s">
        <v>1104</v>
      </c>
      <c r="T461" t="str">
        <f>Table_TRM_Fixtures[[#This Row],[Fixture code  (TRM Data)]]</f>
        <v>LED409-FIXT</v>
      </c>
      <c r="U461" t="s">
        <v>2883</v>
      </c>
      <c r="V461" t="s">
        <v>185</v>
      </c>
      <c r="W461" t="s">
        <v>3120</v>
      </c>
      <c r="X461" t="s">
        <v>186</v>
      </c>
      <c r="AA461">
        <f>IF(Table_TRM_Fixtures[[#This Row],[Pre-EISA Baseline]]="Nominal", Table_TRM_Fixtures[[#This Row],[Fixture Watts  (TRM Data)]], Table_TRM_Fixtures[[#This Row],[Modified Baseline Fixture Watts]])</f>
        <v>409</v>
      </c>
    </row>
    <row r="462" spans="1:27" x14ac:dyDescent="0.2">
      <c r="A462" t="s">
        <v>1107</v>
      </c>
      <c r="B462" t="s">
        <v>4495</v>
      </c>
      <c r="C462" t="s">
        <v>4496</v>
      </c>
      <c r="D462" t="s">
        <v>4497</v>
      </c>
      <c r="E462" t="s">
        <v>187</v>
      </c>
      <c r="F462" t="s">
        <v>186</v>
      </c>
      <c r="G462" t="s">
        <v>186</v>
      </c>
      <c r="H462">
        <v>410</v>
      </c>
      <c r="I462">
        <v>15</v>
      </c>
      <c r="J462" s="110">
        <v>460</v>
      </c>
      <c r="K462" t="s">
        <v>185</v>
      </c>
      <c r="L462">
        <f>IF(Table_TRM_Fixtures[[#This Row],[Technology]]="LED", Table_TRM_Fixtures[[#This Row],[Fixture Watts  (TRM Data)]], Table_TRM_Fixtures[[#This Row],[Lamp Watts  (TRM Data)]])</f>
        <v>410</v>
      </c>
      <c r="M462" t="str">
        <f>Table_TRM_Fixtures[[#This Row],[No. of Lamps  (TRM Data)]]</f>
        <v>N/A</v>
      </c>
      <c r="N462" t="s">
        <v>186</v>
      </c>
      <c r="O462" t="s">
        <v>186</v>
      </c>
      <c r="P462" t="s">
        <v>187</v>
      </c>
      <c r="S462" t="s">
        <v>1106</v>
      </c>
      <c r="T462" t="str">
        <f>Table_TRM_Fixtures[[#This Row],[Fixture code  (TRM Data)]]</f>
        <v>LED410-FIXT</v>
      </c>
      <c r="U462" t="s">
        <v>2883</v>
      </c>
      <c r="V462" t="s">
        <v>185</v>
      </c>
      <c r="W462" t="s">
        <v>3120</v>
      </c>
      <c r="X462" t="s">
        <v>186</v>
      </c>
      <c r="AA462">
        <f>IF(Table_TRM_Fixtures[[#This Row],[Pre-EISA Baseline]]="Nominal", Table_TRM_Fixtures[[#This Row],[Fixture Watts  (TRM Data)]], Table_TRM_Fixtures[[#This Row],[Modified Baseline Fixture Watts]])</f>
        <v>410</v>
      </c>
    </row>
    <row r="463" spans="1:27" x14ac:dyDescent="0.2">
      <c r="A463" t="s">
        <v>1109</v>
      </c>
      <c r="B463" t="s">
        <v>4498</v>
      </c>
      <c r="C463" t="s">
        <v>4499</v>
      </c>
      <c r="D463" t="s">
        <v>4500</v>
      </c>
      <c r="E463" t="s">
        <v>187</v>
      </c>
      <c r="F463" t="s">
        <v>186</v>
      </c>
      <c r="G463" t="s">
        <v>186</v>
      </c>
      <c r="H463">
        <v>411</v>
      </c>
      <c r="I463">
        <v>15</v>
      </c>
      <c r="J463" s="110">
        <v>461</v>
      </c>
      <c r="K463" t="s">
        <v>185</v>
      </c>
      <c r="L463">
        <f>IF(Table_TRM_Fixtures[[#This Row],[Technology]]="LED", Table_TRM_Fixtures[[#This Row],[Fixture Watts  (TRM Data)]], Table_TRM_Fixtures[[#This Row],[Lamp Watts  (TRM Data)]])</f>
        <v>411</v>
      </c>
      <c r="M463" t="str">
        <f>Table_TRM_Fixtures[[#This Row],[No. of Lamps  (TRM Data)]]</f>
        <v>N/A</v>
      </c>
      <c r="N463" t="s">
        <v>186</v>
      </c>
      <c r="O463" t="s">
        <v>186</v>
      </c>
      <c r="P463" t="s">
        <v>187</v>
      </c>
      <c r="S463" t="s">
        <v>1108</v>
      </c>
      <c r="T463" t="str">
        <f>Table_TRM_Fixtures[[#This Row],[Fixture code  (TRM Data)]]</f>
        <v>LED411-FIXT</v>
      </c>
      <c r="U463" t="s">
        <v>2883</v>
      </c>
      <c r="V463" t="s">
        <v>185</v>
      </c>
      <c r="W463" t="s">
        <v>3120</v>
      </c>
      <c r="X463" t="s">
        <v>186</v>
      </c>
      <c r="AA463">
        <f>IF(Table_TRM_Fixtures[[#This Row],[Pre-EISA Baseline]]="Nominal", Table_TRM_Fixtures[[#This Row],[Fixture Watts  (TRM Data)]], Table_TRM_Fixtures[[#This Row],[Modified Baseline Fixture Watts]])</f>
        <v>411</v>
      </c>
    </row>
    <row r="464" spans="1:27" x14ac:dyDescent="0.2">
      <c r="A464" t="s">
        <v>1111</v>
      </c>
      <c r="B464" t="s">
        <v>4501</v>
      </c>
      <c r="C464" t="s">
        <v>4502</v>
      </c>
      <c r="D464" t="s">
        <v>4503</v>
      </c>
      <c r="E464" t="s">
        <v>187</v>
      </c>
      <c r="F464" t="s">
        <v>186</v>
      </c>
      <c r="G464" t="s">
        <v>186</v>
      </c>
      <c r="H464">
        <v>412</v>
      </c>
      <c r="I464">
        <v>15</v>
      </c>
      <c r="J464" s="110">
        <v>462</v>
      </c>
      <c r="K464" t="s">
        <v>185</v>
      </c>
      <c r="L464">
        <f>IF(Table_TRM_Fixtures[[#This Row],[Technology]]="LED", Table_TRM_Fixtures[[#This Row],[Fixture Watts  (TRM Data)]], Table_TRM_Fixtures[[#This Row],[Lamp Watts  (TRM Data)]])</f>
        <v>412</v>
      </c>
      <c r="M464" t="str">
        <f>Table_TRM_Fixtures[[#This Row],[No. of Lamps  (TRM Data)]]</f>
        <v>N/A</v>
      </c>
      <c r="N464" t="s">
        <v>186</v>
      </c>
      <c r="O464" t="s">
        <v>186</v>
      </c>
      <c r="P464" t="s">
        <v>187</v>
      </c>
      <c r="S464" t="s">
        <v>1110</v>
      </c>
      <c r="T464" t="str">
        <f>Table_TRM_Fixtures[[#This Row],[Fixture code  (TRM Data)]]</f>
        <v>LED412-FIXT</v>
      </c>
      <c r="U464" t="s">
        <v>2883</v>
      </c>
      <c r="V464" t="s">
        <v>185</v>
      </c>
      <c r="W464" t="s">
        <v>3120</v>
      </c>
      <c r="X464" t="s">
        <v>186</v>
      </c>
      <c r="AA464">
        <f>IF(Table_TRM_Fixtures[[#This Row],[Pre-EISA Baseline]]="Nominal", Table_TRM_Fixtures[[#This Row],[Fixture Watts  (TRM Data)]], Table_TRM_Fixtures[[#This Row],[Modified Baseline Fixture Watts]])</f>
        <v>412</v>
      </c>
    </row>
    <row r="465" spans="1:27" x14ac:dyDescent="0.2">
      <c r="A465" t="s">
        <v>1113</v>
      </c>
      <c r="B465" t="s">
        <v>4504</v>
      </c>
      <c r="C465" t="s">
        <v>4505</v>
      </c>
      <c r="D465" t="s">
        <v>4506</v>
      </c>
      <c r="E465" t="s">
        <v>187</v>
      </c>
      <c r="F465" t="s">
        <v>186</v>
      </c>
      <c r="G465" t="s">
        <v>186</v>
      </c>
      <c r="H465">
        <v>413</v>
      </c>
      <c r="I465">
        <v>15</v>
      </c>
      <c r="J465" s="110">
        <v>463</v>
      </c>
      <c r="K465" t="s">
        <v>185</v>
      </c>
      <c r="L465">
        <f>IF(Table_TRM_Fixtures[[#This Row],[Technology]]="LED", Table_TRM_Fixtures[[#This Row],[Fixture Watts  (TRM Data)]], Table_TRM_Fixtures[[#This Row],[Lamp Watts  (TRM Data)]])</f>
        <v>413</v>
      </c>
      <c r="M465" t="str">
        <f>Table_TRM_Fixtures[[#This Row],[No. of Lamps  (TRM Data)]]</f>
        <v>N/A</v>
      </c>
      <c r="N465" t="s">
        <v>186</v>
      </c>
      <c r="O465" t="s">
        <v>186</v>
      </c>
      <c r="P465" t="s">
        <v>187</v>
      </c>
      <c r="S465" t="s">
        <v>1112</v>
      </c>
      <c r="T465" t="str">
        <f>Table_TRM_Fixtures[[#This Row],[Fixture code  (TRM Data)]]</f>
        <v>LED413-FIXT</v>
      </c>
      <c r="U465" t="s">
        <v>2883</v>
      </c>
      <c r="V465" t="s">
        <v>185</v>
      </c>
      <c r="W465" t="s">
        <v>3120</v>
      </c>
      <c r="X465" t="s">
        <v>186</v>
      </c>
      <c r="AA465">
        <f>IF(Table_TRM_Fixtures[[#This Row],[Pre-EISA Baseline]]="Nominal", Table_TRM_Fixtures[[#This Row],[Fixture Watts  (TRM Data)]], Table_TRM_Fixtures[[#This Row],[Modified Baseline Fixture Watts]])</f>
        <v>413</v>
      </c>
    </row>
    <row r="466" spans="1:27" x14ac:dyDescent="0.2">
      <c r="A466" t="s">
        <v>1115</v>
      </c>
      <c r="B466" t="s">
        <v>4507</v>
      </c>
      <c r="C466" t="s">
        <v>4508</v>
      </c>
      <c r="D466" t="s">
        <v>4509</v>
      </c>
      <c r="E466" t="s">
        <v>187</v>
      </c>
      <c r="F466" t="s">
        <v>186</v>
      </c>
      <c r="G466" t="s">
        <v>186</v>
      </c>
      <c r="H466">
        <v>414</v>
      </c>
      <c r="I466">
        <v>15</v>
      </c>
      <c r="J466" s="110">
        <v>464</v>
      </c>
      <c r="K466" t="s">
        <v>185</v>
      </c>
      <c r="L466">
        <f>IF(Table_TRM_Fixtures[[#This Row],[Technology]]="LED", Table_TRM_Fixtures[[#This Row],[Fixture Watts  (TRM Data)]], Table_TRM_Fixtures[[#This Row],[Lamp Watts  (TRM Data)]])</f>
        <v>414</v>
      </c>
      <c r="M466" t="str">
        <f>Table_TRM_Fixtures[[#This Row],[No. of Lamps  (TRM Data)]]</f>
        <v>N/A</v>
      </c>
      <c r="N466" t="s">
        <v>186</v>
      </c>
      <c r="O466" t="s">
        <v>186</v>
      </c>
      <c r="P466" t="s">
        <v>187</v>
      </c>
      <c r="S466" t="s">
        <v>1114</v>
      </c>
      <c r="T466" t="str">
        <f>Table_TRM_Fixtures[[#This Row],[Fixture code  (TRM Data)]]</f>
        <v>LED414-FIXT</v>
      </c>
      <c r="U466" t="s">
        <v>2883</v>
      </c>
      <c r="V466" t="s">
        <v>185</v>
      </c>
      <c r="W466" t="s">
        <v>3120</v>
      </c>
      <c r="X466" t="s">
        <v>186</v>
      </c>
      <c r="AA466">
        <f>IF(Table_TRM_Fixtures[[#This Row],[Pre-EISA Baseline]]="Nominal", Table_TRM_Fixtures[[#This Row],[Fixture Watts  (TRM Data)]], Table_TRM_Fixtures[[#This Row],[Modified Baseline Fixture Watts]])</f>
        <v>414</v>
      </c>
    </row>
    <row r="467" spans="1:27" x14ac:dyDescent="0.2">
      <c r="A467" t="s">
        <v>1117</v>
      </c>
      <c r="B467" t="s">
        <v>4510</v>
      </c>
      <c r="C467" t="s">
        <v>4511</v>
      </c>
      <c r="D467" t="s">
        <v>4512</v>
      </c>
      <c r="E467" t="s">
        <v>187</v>
      </c>
      <c r="F467" t="s">
        <v>186</v>
      </c>
      <c r="G467" t="s">
        <v>186</v>
      </c>
      <c r="H467">
        <v>415</v>
      </c>
      <c r="I467">
        <v>15</v>
      </c>
      <c r="J467" s="110">
        <v>465</v>
      </c>
      <c r="K467" t="s">
        <v>185</v>
      </c>
      <c r="L467">
        <f>IF(Table_TRM_Fixtures[[#This Row],[Technology]]="LED", Table_TRM_Fixtures[[#This Row],[Fixture Watts  (TRM Data)]], Table_TRM_Fixtures[[#This Row],[Lamp Watts  (TRM Data)]])</f>
        <v>415</v>
      </c>
      <c r="M467" t="str">
        <f>Table_TRM_Fixtures[[#This Row],[No. of Lamps  (TRM Data)]]</f>
        <v>N/A</v>
      </c>
      <c r="N467" t="s">
        <v>186</v>
      </c>
      <c r="O467" t="s">
        <v>186</v>
      </c>
      <c r="P467" t="s">
        <v>187</v>
      </c>
      <c r="S467" t="s">
        <v>1116</v>
      </c>
      <c r="T467" t="str">
        <f>Table_TRM_Fixtures[[#This Row],[Fixture code  (TRM Data)]]</f>
        <v>LED415-FIXT</v>
      </c>
      <c r="U467" t="s">
        <v>2883</v>
      </c>
      <c r="V467" t="s">
        <v>185</v>
      </c>
      <c r="W467" t="s">
        <v>3120</v>
      </c>
      <c r="X467" t="s">
        <v>186</v>
      </c>
      <c r="AA467">
        <f>IF(Table_TRM_Fixtures[[#This Row],[Pre-EISA Baseline]]="Nominal", Table_TRM_Fixtures[[#This Row],[Fixture Watts  (TRM Data)]], Table_TRM_Fixtures[[#This Row],[Modified Baseline Fixture Watts]])</f>
        <v>415</v>
      </c>
    </row>
    <row r="468" spans="1:27" x14ac:dyDescent="0.2">
      <c r="A468" t="s">
        <v>1119</v>
      </c>
      <c r="B468" t="s">
        <v>4513</v>
      </c>
      <c r="C468" t="s">
        <v>4514</v>
      </c>
      <c r="D468" t="s">
        <v>4515</v>
      </c>
      <c r="E468" t="s">
        <v>187</v>
      </c>
      <c r="F468" t="s">
        <v>186</v>
      </c>
      <c r="G468" t="s">
        <v>186</v>
      </c>
      <c r="H468">
        <v>416</v>
      </c>
      <c r="I468">
        <v>15</v>
      </c>
      <c r="J468" s="110">
        <v>466</v>
      </c>
      <c r="K468" t="s">
        <v>185</v>
      </c>
      <c r="L468">
        <f>IF(Table_TRM_Fixtures[[#This Row],[Technology]]="LED", Table_TRM_Fixtures[[#This Row],[Fixture Watts  (TRM Data)]], Table_TRM_Fixtures[[#This Row],[Lamp Watts  (TRM Data)]])</f>
        <v>416</v>
      </c>
      <c r="M468" t="str">
        <f>Table_TRM_Fixtures[[#This Row],[No. of Lamps  (TRM Data)]]</f>
        <v>N/A</v>
      </c>
      <c r="N468" t="s">
        <v>186</v>
      </c>
      <c r="O468" t="s">
        <v>186</v>
      </c>
      <c r="P468" t="s">
        <v>187</v>
      </c>
      <c r="S468" t="s">
        <v>1118</v>
      </c>
      <c r="T468" t="str">
        <f>Table_TRM_Fixtures[[#This Row],[Fixture code  (TRM Data)]]</f>
        <v>LED416-FIXT</v>
      </c>
      <c r="U468" t="s">
        <v>2883</v>
      </c>
      <c r="V468" t="s">
        <v>185</v>
      </c>
      <c r="W468" t="s">
        <v>3120</v>
      </c>
      <c r="X468" t="s">
        <v>186</v>
      </c>
      <c r="AA468">
        <f>IF(Table_TRM_Fixtures[[#This Row],[Pre-EISA Baseline]]="Nominal", Table_TRM_Fixtures[[#This Row],[Fixture Watts  (TRM Data)]], Table_TRM_Fixtures[[#This Row],[Modified Baseline Fixture Watts]])</f>
        <v>416</v>
      </c>
    </row>
    <row r="469" spans="1:27" x14ac:dyDescent="0.2">
      <c r="A469" t="s">
        <v>1121</v>
      </c>
      <c r="B469" t="s">
        <v>4516</v>
      </c>
      <c r="C469" t="s">
        <v>4517</v>
      </c>
      <c r="D469" t="s">
        <v>4518</v>
      </c>
      <c r="E469" t="s">
        <v>187</v>
      </c>
      <c r="F469" t="s">
        <v>186</v>
      </c>
      <c r="G469" t="s">
        <v>186</v>
      </c>
      <c r="H469">
        <v>417</v>
      </c>
      <c r="I469">
        <v>15</v>
      </c>
      <c r="J469" s="110">
        <v>467</v>
      </c>
      <c r="K469" t="s">
        <v>185</v>
      </c>
      <c r="L469">
        <f>IF(Table_TRM_Fixtures[[#This Row],[Technology]]="LED", Table_TRM_Fixtures[[#This Row],[Fixture Watts  (TRM Data)]], Table_TRM_Fixtures[[#This Row],[Lamp Watts  (TRM Data)]])</f>
        <v>417</v>
      </c>
      <c r="M469" t="str">
        <f>Table_TRM_Fixtures[[#This Row],[No. of Lamps  (TRM Data)]]</f>
        <v>N/A</v>
      </c>
      <c r="N469" t="s">
        <v>186</v>
      </c>
      <c r="O469" t="s">
        <v>186</v>
      </c>
      <c r="P469" t="s">
        <v>187</v>
      </c>
      <c r="S469" t="s">
        <v>1120</v>
      </c>
      <c r="T469" t="str">
        <f>Table_TRM_Fixtures[[#This Row],[Fixture code  (TRM Data)]]</f>
        <v>LED417-FIXT</v>
      </c>
      <c r="U469" t="s">
        <v>2883</v>
      </c>
      <c r="V469" t="s">
        <v>185</v>
      </c>
      <c r="W469" t="s">
        <v>3120</v>
      </c>
      <c r="X469" t="s">
        <v>186</v>
      </c>
      <c r="AA469">
        <f>IF(Table_TRM_Fixtures[[#This Row],[Pre-EISA Baseline]]="Nominal", Table_TRM_Fixtures[[#This Row],[Fixture Watts  (TRM Data)]], Table_TRM_Fixtures[[#This Row],[Modified Baseline Fixture Watts]])</f>
        <v>417</v>
      </c>
    </row>
    <row r="470" spans="1:27" x14ac:dyDescent="0.2">
      <c r="A470" t="s">
        <v>1123</v>
      </c>
      <c r="B470" t="s">
        <v>4519</v>
      </c>
      <c r="C470" t="s">
        <v>4520</v>
      </c>
      <c r="D470" t="s">
        <v>4521</v>
      </c>
      <c r="E470" t="s">
        <v>187</v>
      </c>
      <c r="F470" t="s">
        <v>186</v>
      </c>
      <c r="G470" t="s">
        <v>186</v>
      </c>
      <c r="H470">
        <v>418</v>
      </c>
      <c r="I470">
        <v>15</v>
      </c>
      <c r="J470" s="110">
        <v>468</v>
      </c>
      <c r="K470" t="s">
        <v>185</v>
      </c>
      <c r="L470">
        <f>IF(Table_TRM_Fixtures[[#This Row],[Technology]]="LED", Table_TRM_Fixtures[[#This Row],[Fixture Watts  (TRM Data)]], Table_TRM_Fixtures[[#This Row],[Lamp Watts  (TRM Data)]])</f>
        <v>418</v>
      </c>
      <c r="M470" t="str">
        <f>Table_TRM_Fixtures[[#This Row],[No. of Lamps  (TRM Data)]]</f>
        <v>N/A</v>
      </c>
      <c r="N470" t="s">
        <v>186</v>
      </c>
      <c r="O470" t="s">
        <v>186</v>
      </c>
      <c r="P470" t="s">
        <v>187</v>
      </c>
      <c r="S470" t="s">
        <v>1122</v>
      </c>
      <c r="T470" t="str">
        <f>Table_TRM_Fixtures[[#This Row],[Fixture code  (TRM Data)]]</f>
        <v>LED418-FIXT</v>
      </c>
      <c r="U470" t="s">
        <v>2883</v>
      </c>
      <c r="V470" t="s">
        <v>185</v>
      </c>
      <c r="W470" t="s">
        <v>3120</v>
      </c>
      <c r="X470" t="s">
        <v>186</v>
      </c>
      <c r="AA470">
        <f>IF(Table_TRM_Fixtures[[#This Row],[Pre-EISA Baseline]]="Nominal", Table_TRM_Fixtures[[#This Row],[Fixture Watts  (TRM Data)]], Table_TRM_Fixtures[[#This Row],[Modified Baseline Fixture Watts]])</f>
        <v>418</v>
      </c>
    </row>
    <row r="471" spans="1:27" x14ac:dyDescent="0.2">
      <c r="A471" t="s">
        <v>1125</v>
      </c>
      <c r="B471" t="s">
        <v>4522</v>
      </c>
      <c r="C471" t="s">
        <v>4523</v>
      </c>
      <c r="D471" t="s">
        <v>4524</v>
      </c>
      <c r="E471" t="s">
        <v>187</v>
      </c>
      <c r="F471" t="s">
        <v>186</v>
      </c>
      <c r="G471" t="s">
        <v>186</v>
      </c>
      <c r="H471">
        <v>419</v>
      </c>
      <c r="I471">
        <v>15</v>
      </c>
      <c r="J471" s="110">
        <v>469</v>
      </c>
      <c r="K471" t="s">
        <v>185</v>
      </c>
      <c r="L471">
        <f>IF(Table_TRM_Fixtures[[#This Row],[Technology]]="LED", Table_TRM_Fixtures[[#This Row],[Fixture Watts  (TRM Data)]], Table_TRM_Fixtures[[#This Row],[Lamp Watts  (TRM Data)]])</f>
        <v>419</v>
      </c>
      <c r="M471" t="str">
        <f>Table_TRM_Fixtures[[#This Row],[No. of Lamps  (TRM Data)]]</f>
        <v>N/A</v>
      </c>
      <c r="N471" t="s">
        <v>186</v>
      </c>
      <c r="O471" t="s">
        <v>186</v>
      </c>
      <c r="P471" t="s">
        <v>187</v>
      </c>
      <c r="S471" t="s">
        <v>1124</v>
      </c>
      <c r="T471" t="str">
        <f>Table_TRM_Fixtures[[#This Row],[Fixture code  (TRM Data)]]</f>
        <v>LED419-FIXT</v>
      </c>
      <c r="U471" t="s">
        <v>2883</v>
      </c>
      <c r="V471" t="s">
        <v>185</v>
      </c>
      <c r="W471" t="s">
        <v>3120</v>
      </c>
      <c r="X471" t="s">
        <v>186</v>
      </c>
      <c r="AA471">
        <f>IF(Table_TRM_Fixtures[[#This Row],[Pre-EISA Baseline]]="Nominal", Table_TRM_Fixtures[[#This Row],[Fixture Watts  (TRM Data)]], Table_TRM_Fixtures[[#This Row],[Modified Baseline Fixture Watts]])</f>
        <v>419</v>
      </c>
    </row>
    <row r="472" spans="1:27" x14ac:dyDescent="0.2">
      <c r="A472" t="s">
        <v>1127</v>
      </c>
      <c r="B472" t="s">
        <v>4525</v>
      </c>
      <c r="C472" t="s">
        <v>4526</v>
      </c>
      <c r="D472" t="s">
        <v>4527</v>
      </c>
      <c r="E472" t="s">
        <v>187</v>
      </c>
      <c r="F472" t="s">
        <v>186</v>
      </c>
      <c r="G472" t="s">
        <v>186</v>
      </c>
      <c r="H472">
        <v>420</v>
      </c>
      <c r="I472">
        <v>15</v>
      </c>
      <c r="J472" s="110">
        <v>470</v>
      </c>
      <c r="K472" t="s">
        <v>185</v>
      </c>
      <c r="L472">
        <f>IF(Table_TRM_Fixtures[[#This Row],[Technology]]="LED", Table_TRM_Fixtures[[#This Row],[Fixture Watts  (TRM Data)]], Table_TRM_Fixtures[[#This Row],[Lamp Watts  (TRM Data)]])</f>
        <v>420</v>
      </c>
      <c r="M472" t="str">
        <f>Table_TRM_Fixtures[[#This Row],[No. of Lamps  (TRM Data)]]</f>
        <v>N/A</v>
      </c>
      <c r="N472" t="s">
        <v>186</v>
      </c>
      <c r="O472" t="s">
        <v>186</v>
      </c>
      <c r="P472" t="s">
        <v>187</v>
      </c>
      <c r="S472" t="s">
        <v>1126</v>
      </c>
      <c r="T472" t="str">
        <f>Table_TRM_Fixtures[[#This Row],[Fixture code  (TRM Data)]]</f>
        <v>LED420-FIXT</v>
      </c>
      <c r="U472" t="s">
        <v>2883</v>
      </c>
      <c r="V472" t="s">
        <v>185</v>
      </c>
      <c r="W472" t="s">
        <v>3120</v>
      </c>
      <c r="X472" t="s">
        <v>186</v>
      </c>
      <c r="AA472">
        <f>IF(Table_TRM_Fixtures[[#This Row],[Pre-EISA Baseline]]="Nominal", Table_TRM_Fixtures[[#This Row],[Fixture Watts  (TRM Data)]], Table_TRM_Fixtures[[#This Row],[Modified Baseline Fixture Watts]])</f>
        <v>420</v>
      </c>
    </row>
    <row r="473" spans="1:27" x14ac:dyDescent="0.2">
      <c r="A473" t="s">
        <v>1129</v>
      </c>
      <c r="B473" t="s">
        <v>4528</v>
      </c>
      <c r="C473" t="s">
        <v>4529</v>
      </c>
      <c r="D473" t="s">
        <v>4530</v>
      </c>
      <c r="E473" t="s">
        <v>187</v>
      </c>
      <c r="F473" t="s">
        <v>186</v>
      </c>
      <c r="G473" t="s">
        <v>186</v>
      </c>
      <c r="H473">
        <v>421</v>
      </c>
      <c r="I473">
        <v>15</v>
      </c>
      <c r="J473" s="110">
        <v>471</v>
      </c>
      <c r="K473" t="s">
        <v>185</v>
      </c>
      <c r="L473">
        <f>IF(Table_TRM_Fixtures[[#This Row],[Technology]]="LED", Table_TRM_Fixtures[[#This Row],[Fixture Watts  (TRM Data)]], Table_TRM_Fixtures[[#This Row],[Lamp Watts  (TRM Data)]])</f>
        <v>421</v>
      </c>
      <c r="M473" t="str">
        <f>Table_TRM_Fixtures[[#This Row],[No. of Lamps  (TRM Data)]]</f>
        <v>N/A</v>
      </c>
      <c r="N473" t="s">
        <v>186</v>
      </c>
      <c r="O473" t="s">
        <v>186</v>
      </c>
      <c r="P473" t="s">
        <v>187</v>
      </c>
      <c r="S473" t="s">
        <v>1128</v>
      </c>
      <c r="T473" t="str">
        <f>Table_TRM_Fixtures[[#This Row],[Fixture code  (TRM Data)]]</f>
        <v>LED421-FIXT</v>
      </c>
      <c r="U473" t="s">
        <v>2883</v>
      </c>
      <c r="V473" t="s">
        <v>185</v>
      </c>
      <c r="W473" t="s">
        <v>3120</v>
      </c>
      <c r="X473" t="s">
        <v>186</v>
      </c>
      <c r="AA473">
        <f>IF(Table_TRM_Fixtures[[#This Row],[Pre-EISA Baseline]]="Nominal", Table_TRM_Fixtures[[#This Row],[Fixture Watts  (TRM Data)]], Table_TRM_Fixtures[[#This Row],[Modified Baseline Fixture Watts]])</f>
        <v>421</v>
      </c>
    </row>
    <row r="474" spans="1:27" x14ac:dyDescent="0.2">
      <c r="A474" t="s">
        <v>1131</v>
      </c>
      <c r="B474" t="s">
        <v>4531</v>
      </c>
      <c r="C474" t="s">
        <v>4532</v>
      </c>
      <c r="D474" t="s">
        <v>4533</v>
      </c>
      <c r="E474" t="s">
        <v>187</v>
      </c>
      <c r="F474" t="s">
        <v>186</v>
      </c>
      <c r="G474" t="s">
        <v>186</v>
      </c>
      <c r="H474">
        <v>422</v>
      </c>
      <c r="I474">
        <v>15</v>
      </c>
      <c r="J474" s="110">
        <v>472</v>
      </c>
      <c r="K474" t="s">
        <v>185</v>
      </c>
      <c r="L474">
        <f>IF(Table_TRM_Fixtures[[#This Row],[Technology]]="LED", Table_TRM_Fixtures[[#This Row],[Fixture Watts  (TRM Data)]], Table_TRM_Fixtures[[#This Row],[Lamp Watts  (TRM Data)]])</f>
        <v>422</v>
      </c>
      <c r="M474" t="str">
        <f>Table_TRM_Fixtures[[#This Row],[No. of Lamps  (TRM Data)]]</f>
        <v>N/A</v>
      </c>
      <c r="N474" t="s">
        <v>186</v>
      </c>
      <c r="O474" t="s">
        <v>186</v>
      </c>
      <c r="P474" t="s">
        <v>187</v>
      </c>
      <c r="S474" t="s">
        <v>1130</v>
      </c>
      <c r="T474" t="str">
        <f>Table_TRM_Fixtures[[#This Row],[Fixture code  (TRM Data)]]</f>
        <v>LED422-FIXT</v>
      </c>
      <c r="U474" t="s">
        <v>2883</v>
      </c>
      <c r="V474" t="s">
        <v>185</v>
      </c>
      <c r="W474" t="s">
        <v>3120</v>
      </c>
      <c r="X474" t="s">
        <v>186</v>
      </c>
      <c r="AA474">
        <f>IF(Table_TRM_Fixtures[[#This Row],[Pre-EISA Baseline]]="Nominal", Table_TRM_Fixtures[[#This Row],[Fixture Watts  (TRM Data)]], Table_TRM_Fixtures[[#This Row],[Modified Baseline Fixture Watts]])</f>
        <v>422</v>
      </c>
    </row>
    <row r="475" spans="1:27" x14ac:dyDescent="0.2">
      <c r="A475" t="s">
        <v>1133</v>
      </c>
      <c r="B475" t="s">
        <v>4534</v>
      </c>
      <c r="C475" t="s">
        <v>4535</v>
      </c>
      <c r="D475" t="s">
        <v>4536</v>
      </c>
      <c r="E475" t="s">
        <v>187</v>
      </c>
      <c r="F475" t="s">
        <v>186</v>
      </c>
      <c r="G475" t="s">
        <v>186</v>
      </c>
      <c r="H475">
        <v>423</v>
      </c>
      <c r="I475">
        <v>15</v>
      </c>
      <c r="J475" s="110">
        <v>473</v>
      </c>
      <c r="K475" t="s">
        <v>185</v>
      </c>
      <c r="L475">
        <f>IF(Table_TRM_Fixtures[[#This Row],[Technology]]="LED", Table_TRM_Fixtures[[#This Row],[Fixture Watts  (TRM Data)]], Table_TRM_Fixtures[[#This Row],[Lamp Watts  (TRM Data)]])</f>
        <v>423</v>
      </c>
      <c r="M475" t="str">
        <f>Table_TRM_Fixtures[[#This Row],[No. of Lamps  (TRM Data)]]</f>
        <v>N/A</v>
      </c>
      <c r="N475" t="s">
        <v>186</v>
      </c>
      <c r="O475" t="s">
        <v>186</v>
      </c>
      <c r="P475" t="s">
        <v>187</v>
      </c>
      <c r="S475" t="s">
        <v>1132</v>
      </c>
      <c r="T475" t="str">
        <f>Table_TRM_Fixtures[[#This Row],[Fixture code  (TRM Data)]]</f>
        <v>LED423-FIXT</v>
      </c>
      <c r="U475" t="s">
        <v>2883</v>
      </c>
      <c r="V475" t="s">
        <v>185</v>
      </c>
      <c r="W475" t="s">
        <v>3120</v>
      </c>
      <c r="X475" t="s">
        <v>186</v>
      </c>
      <c r="AA475">
        <f>IF(Table_TRM_Fixtures[[#This Row],[Pre-EISA Baseline]]="Nominal", Table_TRM_Fixtures[[#This Row],[Fixture Watts  (TRM Data)]], Table_TRM_Fixtures[[#This Row],[Modified Baseline Fixture Watts]])</f>
        <v>423</v>
      </c>
    </row>
    <row r="476" spans="1:27" x14ac:dyDescent="0.2">
      <c r="A476" t="s">
        <v>1135</v>
      </c>
      <c r="B476" t="s">
        <v>4537</v>
      </c>
      <c r="C476" t="s">
        <v>4538</v>
      </c>
      <c r="D476" t="s">
        <v>4539</v>
      </c>
      <c r="E476" t="s">
        <v>187</v>
      </c>
      <c r="F476" t="s">
        <v>186</v>
      </c>
      <c r="G476" t="s">
        <v>186</v>
      </c>
      <c r="H476">
        <v>424</v>
      </c>
      <c r="I476">
        <v>15</v>
      </c>
      <c r="J476" s="110">
        <v>474</v>
      </c>
      <c r="K476" t="s">
        <v>185</v>
      </c>
      <c r="L476">
        <f>IF(Table_TRM_Fixtures[[#This Row],[Technology]]="LED", Table_TRM_Fixtures[[#This Row],[Fixture Watts  (TRM Data)]], Table_TRM_Fixtures[[#This Row],[Lamp Watts  (TRM Data)]])</f>
        <v>424</v>
      </c>
      <c r="M476" t="str">
        <f>Table_TRM_Fixtures[[#This Row],[No. of Lamps  (TRM Data)]]</f>
        <v>N/A</v>
      </c>
      <c r="N476" t="s">
        <v>186</v>
      </c>
      <c r="O476" t="s">
        <v>186</v>
      </c>
      <c r="P476" t="s">
        <v>187</v>
      </c>
      <c r="S476" t="s">
        <v>1134</v>
      </c>
      <c r="T476" t="str">
        <f>Table_TRM_Fixtures[[#This Row],[Fixture code  (TRM Data)]]</f>
        <v>LED424-FIXT</v>
      </c>
      <c r="U476" t="s">
        <v>2883</v>
      </c>
      <c r="V476" t="s">
        <v>185</v>
      </c>
      <c r="W476" t="s">
        <v>3120</v>
      </c>
      <c r="X476" t="s">
        <v>186</v>
      </c>
      <c r="AA476">
        <f>IF(Table_TRM_Fixtures[[#This Row],[Pre-EISA Baseline]]="Nominal", Table_TRM_Fixtures[[#This Row],[Fixture Watts  (TRM Data)]], Table_TRM_Fixtures[[#This Row],[Modified Baseline Fixture Watts]])</f>
        <v>424</v>
      </c>
    </row>
    <row r="477" spans="1:27" x14ac:dyDescent="0.2">
      <c r="A477" t="s">
        <v>1137</v>
      </c>
      <c r="B477" t="s">
        <v>4540</v>
      </c>
      <c r="C477" t="s">
        <v>4541</v>
      </c>
      <c r="D477" t="s">
        <v>4542</v>
      </c>
      <c r="E477" t="s">
        <v>187</v>
      </c>
      <c r="F477" t="s">
        <v>186</v>
      </c>
      <c r="G477" t="s">
        <v>186</v>
      </c>
      <c r="H477">
        <v>425</v>
      </c>
      <c r="I477">
        <v>15</v>
      </c>
      <c r="J477" s="110">
        <v>475</v>
      </c>
      <c r="K477" t="s">
        <v>185</v>
      </c>
      <c r="L477">
        <f>IF(Table_TRM_Fixtures[[#This Row],[Technology]]="LED", Table_TRM_Fixtures[[#This Row],[Fixture Watts  (TRM Data)]], Table_TRM_Fixtures[[#This Row],[Lamp Watts  (TRM Data)]])</f>
        <v>425</v>
      </c>
      <c r="M477" t="str">
        <f>Table_TRM_Fixtures[[#This Row],[No. of Lamps  (TRM Data)]]</f>
        <v>N/A</v>
      </c>
      <c r="N477" t="s">
        <v>186</v>
      </c>
      <c r="O477" t="s">
        <v>186</v>
      </c>
      <c r="P477" t="s">
        <v>187</v>
      </c>
      <c r="S477" t="s">
        <v>1136</v>
      </c>
      <c r="T477" t="str">
        <f>Table_TRM_Fixtures[[#This Row],[Fixture code  (TRM Data)]]</f>
        <v>LED425-FIXT</v>
      </c>
      <c r="U477" t="s">
        <v>2883</v>
      </c>
      <c r="V477" t="s">
        <v>185</v>
      </c>
      <c r="W477" t="s">
        <v>3120</v>
      </c>
      <c r="X477" t="s">
        <v>186</v>
      </c>
      <c r="AA477">
        <f>IF(Table_TRM_Fixtures[[#This Row],[Pre-EISA Baseline]]="Nominal", Table_TRM_Fixtures[[#This Row],[Fixture Watts  (TRM Data)]], Table_TRM_Fixtures[[#This Row],[Modified Baseline Fixture Watts]])</f>
        <v>425</v>
      </c>
    </row>
    <row r="478" spans="1:27" x14ac:dyDescent="0.2">
      <c r="A478" t="s">
        <v>1139</v>
      </c>
      <c r="B478" t="s">
        <v>4543</v>
      </c>
      <c r="C478" t="s">
        <v>4544</v>
      </c>
      <c r="D478" t="s">
        <v>4545</v>
      </c>
      <c r="E478" t="s">
        <v>187</v>
      </c>
      <c r="F478" t="s">
        <v>186</v>
      </c>
      <c r="G478" t="s">
        <v>186</v>
      </c>
      <c r="H478">
        <v>426</v>
      </c>
      <c r="I478">
        <v>15</v>
      </c>
      <c r="J478" s="110">
        <v>476</v>
      </c>
      <c r="K478" t="s">
        <v>185</v>
      </c>
      <c r="L478">
        <f>IF(Table_TRM_Fixtures[[#This Row],[Technology]]="LED", Table_TRM_Fixtures[[#This Row],[Fixture Watts  (TRM Data)]], Table_TRM_Fixtures[[#This Row],[Lamp Watts  (TRM Data)]])</f>
        <v>426</v>
      </c>
      <c r="M478" t="str">
        <f>Table_TRM_Fixtures[[#This Row],[No. of Lamps  (TRM Data)]]</f>
        <v>N/A</v>
      </c>
      <c r="N478" t="s">
        <v>186</v>
      </c>
      <c r="O478" t="s">
        <v>186</v>
      </c>
      <c r="P478" t="s">
        <v>187</v>
      </c>
      <c r="S478" t="s">
        <v>1138</v>
      </c>
      <c r="T478" t="str">
        <f>Table_TRM_Fixtures[[#This Row],[Fixture code  (TRM Data)]]</f>
        <v>LED426-FIXT</v>
      </c>
      <c r="U478" t="s">
        <v>2883</v>
      </c>
      <c r="V478" t="s">
        <v>185</v>
      </c>
      <c r="W478" t="s">
        <v>3120</v>
      </c>
      <c r="X478" t="s">
        <v>186</v>
      </c>
      <c r="AA478">
        <f>IF(Table_TRM_Fixtures[[#This Row],[Pre-EISA Baseline]]="Nominal", Table_TRM_Fixtures[[#This Row],[Fixture Watts  (TRM Data)]], Table_TRM_Fixtures[[#This Row],[Modified Baseline Fixture Watts]])</f>
        <v>426</v>
      </c>
    </row>
    <row r="479" spans="1:27" x14ac:dyDescent="0.2">
      <c r="A479" t="s">
        <v>1141</v>
      </c>
      <c r="B479" t="s">
        <v>4546</v>
      </c>
      <c r="C479" t="s">
        <v>4547</v>
      </c>
      <c r="D479" t="s">
        <v>4548</v>
      </c>
      <c r="E479" t="s">
        <v>187</v>
      </c>
      <c r="F479" t="s">
        <v>186</v>
      </c>
      <c r="G479" t="s">
        <v>186</v>
      </c>
      <c r="H479">
        <v>427</v>
      </c>
      <c r="I479">
        <v>15</v>
      </c>
      <c r="J479" s="110">
        <v>477</v>
      </c>
      <c r="K479" t="s">
        <v>185</v>
      </c>
      <c r="L479">
        <f>IF(Table_TRM_Fixtures[[#This Row],[Technology]]="LED", Table_TRM_Fixtures[[#This Row],[Fixture Watts  (TRM Data)]], Table_TRM_Fixtures[[#This Row],[Lamp Watts  (TRM Data)]])</f>
        <v>427</v>
      </c>
      <c r="M479" t="str">
        <f>Table_TRM_Fixtures[[#This Row],[No. of Lamps  (TRM Data)]]</f>
        <v>N/A</v>
      </c>
      <c r="N479" t="s">
        <v>186</v>
      </c>
      <c r="O479" t="s">
        <v>186</v>
      </c>
      <c r="P479" t="s">
        <v>187</v>
      </c>
      <c r="S479" t="s">
        <v>1140</v>
      </c>
      <c r="T479" t="str">
        <f>Table_TRM_Fixtures[[#This Row],[Fixture code  (TRM Data)]]</f>
        <v>LED427-FIXT</v>
      </c>
      <c r="U479" t="s">
        <v>2883</v>
      </c>
      <c r="V479" t="s">
        <v>185</v>
      </c>
      <c r="W479" t="s">
        <v>3120</v>
      </c>
      <c r="X479" t="s">
        <v>186</v>
      </c>
      <c r="AA479">
        <f>IF(Table_TRM_Fixtures[[#This Row],[Pre-EISA Baseline]]="Nominal", Table_TRM_Fixtures[[#This Row],[Fixture Watts  (TRM Data)]], Table_TRM_Fixtures[[#This Row],[Modified Baseline Fixture Watts]])</f>
        <v>427</v>
      </c>
    </row>
    <row r="480" spans="1:27" x14ac:dyDescent="0.2">
      <c r="A480" t="s">
        <v>1143</v>
      </c>
      <c r="B480" t="s">
        <v>4549</v>
      </c>
      <c r="C480" t="s">
        <v>4550</v>
      </c>
      <c r="D480" t="s">
        <v>4551</v>
      </c>
      <c r="E480" t="s">
        <v>187</v>
      </c>
      <c r="F480" t="s">
        <v>186</v>
      </c>
      <c r="G480" t="s">
        <v>186</v>
      </c>
      <c r="H480">
        <v>428</v>
      </c>
      <c r="I480">
        <v>15</v>
      </c>
      <c r="J480" s="110">
        <v>478</v>
      </c>
      <c r="K480" t="s">
        <v>185</v>
      </c>
      <c r="L480">
        <f>IF(Table_TRM_Fixtures[[#This Row],[Technology]]="LED", Table_TRM_Fixtures[[#This Row],[Fixture Watts  (TRM Data)]], Table_TRM_Fixtures[[#This Row],[Lamp Watts  (TRM Data)]])</f>
        <v>428</v>
      </c>
      <c r="M480" t="str">
        <f>Table_TRM_Fixtures[[#This Row],[No. of Lamps  (TRM Data)]]</f>
        <v>N/A</v>
      </c>
      <c r="N480" t="s">
        <v>186</v>
      </c>
      <c r="O480" t="s">
        <v>186</v>
      </c>
      <c r="P480" t="s">
        <v>187</v>
      </c>
      <c r="S480" t="s">
        <v>1142</v>
      </c>
      <c r="T480" t="str">
        <f>Table_TRM_Fixtures[[#This Row],[Fixture code  (TRM Data)]]</f>
        <v>LED428-FIXT</v>
      </c>
      <c r="U480" t="s">
        <v>2883</v>
      </c>
      <c r="V480" t="s">
        <v>185</v>
      </c>
      <c r="W480" t="s">
        <v>3120</v>
      </c>
      <c r="X480" t="s">
        <v>186</v>
      </c>
      <c r="AA480">
        <f>IF(Table_TRM_Fixtures[[#This Row],[Pre-EISA Baseline]]="Nominal", Table_TRM_Fixtures[[#This Row],[Fixture Watts  (TRM Data)]], Table_TRM_Fixtures[[#This Row],[Modified Baseline Fixture Watts]])</f>
        <v>428</v>
      </c>
    </row>
    <row r="481" spans="1:27" x14ac:dyDescent="0.2">
      <c r="A481" t="s">
        <v>1145</v>
      </c>
      <c r="B481" t="s">
        <v>4552</v>
      </c>
      <c r="C481" t="s">
        <v>4553</v>
      </c>
      <c r="D481" t="s">
        <v>4554</v>
      </c>
      <c r="E481" t="s">
        <v>187</v>
      </c>
      <c r="F481" t="s">
        <v>186</v>
      </c>
      <c r="G481" t="s">
        <v>186</v>
      </c>
      <c r="H481">
        <v>429</v>
      </c>
      <c r="I481">
        <v>15</v>
      </c>
      <c r="J481" s="110">
        <v>479</v>
      </c>
      <c r="K481" t="s">
        <v>185</v>
      </c>
      <c r="L481">
        <f>IF(Table_TRM_Fixtures[[#This Row],[Technology]]="LED", Table_TRM_Fixtures[[#This Row],[Fixture Watts  (TRM Data)]], Table_TRM_Fixtures[[#This Row],[Lamp Watts  (TRM Data)]])</f>
        <v>429</v>
      </c>
      <c r="M481" t="str">
        <f>Table_TRM_Fixtures[[#This Row],[No. of Lamps  (TRM Data)]]</f>
        <v>N/A</v>
      </c>
      <c r="N481" t="s">
        <v>186</v>
      </c>
      <c r="O481" t="s">
        <v>186</v>
      </c>
      <c r="P481" t="s">
        <v>187</v>
      </c>
      <c r="S481" t="s">
        <v>1144</v>
      </c>
      <c r="T481" t="str">
        <f>Table_TRM_Fixtures[[#This Row],[Fixture code  (TRM Data)]]</f>
        <v>LED429-FIXT</v>
      </c>
      <c r="U481" t="s">
        <v>2883</v>
      </c>
      <c r="V481" t="s">
        <v>185</v>
      </c>
      <c r="W481" t="s">
        <v>3120</v>
      </c>
      <c r="X481" t="s">
        <v>186</v>
      </c>
      <c r="AA481">
        <f>IF(Table_TRM_Fixtures[[#This Row],[Pre-EISA Baseline]]="Nominal", Table_TRM_Fixtures[[#This Row],[Fixture Watts  (TRM Data)]], Table_TRM_Fixtures[[#This Row],[Modified Baseline Fixture Watts]])</f>
        <v>429</v>
      </c>
    </row>
    <row r="482" spans="1:27" x14ac:dyDescent="0.2">
      <c r="A482" t="s">
        <v>1147</v>
      </c>
      <c r="B482" t="s">
        <v>4555</v>
      </c>
      <c r="C482" t="s">
        <v>4556</v>
      </c>
      <c r="D482" t="s">
        <v>4557</v>
      </c>
      <c r="E482" t="s">
        <v>187</v>
      </c>
      <c r="F482" t="s">
        <v>186</v>
      </c>
      <c r="G482" t="s">
        <v>186</v>
      </c>
      <c r="H482">
        <v>430</v>
      </c>
      <c r="I482">
        <v>15</v>
      </c>
      <c r="J482" s="110">
        <v>480</v>
      </c>
      <c r="K482" t="s">
        <v>185</v>
      </c>
      <c r="L482">
        <f>IF(Table_TRM_Fixtures[[#This Row],[Technology]]="LED", Table_TRM_Fixtures[[#This Row],[Fixture Watts  (TRM Data)]], Table_TRM_Fixtures[[#This Row],[Lamp Watts  (TRM Data)]])</f>
        <v>430</v>
      </c>
      <c r="M482" t="str">
        <f>Table_TRM_Fixtures[[#This Row],[No. of Lamps  (TRM Data)]]</f>
        <v>N/A</v>
      </c>
      <c r="N482" t="s">
        <v>186</v>
      </c>
      <c r="O482" t="s">
        <v>186</v>
      </c>
      <c r="P482" t="s">
        <v>187</v>
      </c>
      <c r="S482" t="s">
        <v>1146</v>
      </c>
      <c r="T482" t="str">
        <f>Table_TRM_Fixtures[[#This Row],[Fixture code  (TRM Data)]]</f>
        <v>LED430-FIXT</v>
      </c>
      <c r="U482" t="s">
        <v>2883</v>
      </c>
      <c r="V482" t="s">
        <v>185</v>
      </c>
      <c r="W482" t="s">
        <v>3120</v>
      </c>
      <c r="X482" t="s">
        <v>186</v>
      </c>
      <c r="AA482">
        <f>IF(Table_TRM_Fixtures[[#This Row],[Pre-EISA Baseline]]="Nominal", Table_TRM_Fixtures[[#This Row],[Fixture Watts  (TRM Data)]], Table_TRM_Fixtures[[#This Row],[Modified Baseline Fixture Watts]])</f>
        <v>430</v>
      </c>
    </row>
    <row r="483" spans="1:27" x14ac:dyDescent="0.2">
      <c r="A483" t="s">
        <v>1149</v>
      </c>
      <c r="B483" t="s">
        <v>4558</v>
      </c>
      <c r="C483" t="s">
        <v>4559</v>
      </c>
      <c r="D483" t="s">
        <v>4560</v>
      </c>
      <c r="E483" t="s">
        <v>187</v>
      </c>
      <c r="F483" t="s">
        <v>186</v>
      </c>
      <c r="G483" t="s">
        <v>186</v>
      </c>
      <c r="H483">
        <v>431</v>
      </c>
      <c r="I483">
        <v>15</v>
      </c>
      <c r="J483" s="110">
        <v>481</v>
      </c>
      <c r="K483" t="s">
        <v>185</v>
      </c>
      <c r="L483">
        <f>IF(Table_TRM_Fixtures[[#This Row],[Technology]]="LED", Table_TRM_Fixtures[[#This Row],[Fixture Watts  (TRM Data)]], Table_TRM_Fixtures[[#This Row],[Lamp Watts  (TRM Data)]])</f>
        <v>431</v>
      </c>
      <c r="M483" t="str">
        <f>Table_TRM_Fixtures[[#This Row],[No. of Lamps  (TRM Data)]]</f>
        <v>N/A</v>
      </c>
      <c r="N483" t="s">
        <v>186</v>
      </c>
      <c r="O483" t="s">
        <v>186</v>
      </c>
      <c r="P483" t="s">
        <v>187</v>
      </c>
      <c r="S483" t="s">
        <v>1148</v>
      </c>
      <c r="T483" t="str">
        <f>Table_TRM_Fixtures[[#This Row],[Fixture code  (TRM Data)]]</f>
        <v>LED431-FIXT</v>
      </c>
      <c r="U483" t="s">
        <v>2883</v>
      </c>
      <c r="V483" t="s">
        <v>185</v>
      </c>
      <c r="W483" t="s">
        <v>3120</v>
      </c>
      <c r="X483" t="s">
        <v>186</v>
      </c>
      <c r="AA483">
        <f>IF(Table_TRM_Fixtures[[#This Row],[Pre-EISA Baseline]]="Nominal", Table_TRM_Fixtures[[#This Row],[Fixture Watts  (TRM Data)]], Table_TRM_Fixtures[[#This Row],[Modified Baseline Fixture Watts]])</f>
        <v>431</v>
      </c>
    </row>
    <row r="484" spans="1:27" x14ac:dyDescent="0.2">
      <c r="A484" t="s">
        <v>1151</v>
      </c>
      <c r="B484" t="s">
        <v>4561</v>
      </c>
      <c r="C484" t="s">
        <v>4562</v>
      </c>
      <c r="D484" t="s">
        <v>4563</v>
      </c>
      <c r="E484" t="s">
        <v>187</v>
      </c>
      <c r="F484" t="s">
        <v>186</v>
      </c>
      <c r="G484" t="s">
        <v>186</v>
      </c>
      <c r="H484">
        <v>432</v>
      </c>
      <c r="I484">
        <v>15</v>
      </c>
      <c r="J484" s="110">
        <v>482</v>
      </c>
      <c r="K484" t="s">
        <v>185</v>
      </c>
      <c r="L484">
        <f>IF(Table_TRM_Fixtures[[#This Row],[Technology]]="LED", Table_TRM_Fixtures[[#This Row],[Fixture Watts  (TRM Data)]], Table_TRM_Fixtures[[#This Row],[Lamp Watts  (TRM Data)]])</f>
        <v>432</v>
      </c>
      <c r="M484" t="str">
        <f>Table_TRM_Fixtures[[#This Row],[No. of Lamps  (TRM Data)]]</f>
        <v>N/A</v>
      </c>
      <c r="N484" t="s">
        <v>186</v>
      </c>
      <c r="O484" t="s">
        <v>186</v>
      </c>
      <c r="P484" t="s">
        <v>187</v>
      </c>
      <c r="S484" t="s">
        <v>1150</v>
      </c>
      <c r="T484" t="str">
        <f>Table_TRM_Fixtures[[#This Row],[Fixture code  (TRM Data)]]</f>
        <v>LED432-FIXT</v>
      </c>
      <c r="U484" t="s">
        <v>2883</v>
      </c>
      <c r="V484" t="s">
        <v>185</v>
      </c>
      <c r="W484" t="s">
        <v>3120</v>
      </c>
      <c r="X484" t="s">
        <v>186</v>
      </c>
      <c r="AA484">
        <f>IF(Table_TRM_Fixtures[[#This Row],[Pre-EISA Baseline]]="Nominal", Table_TRM_Fixtures[[#This Row],[Fixture Watts  (TRM Data)]], Table_TRM_Fixtures[[#This Row],[Modified Baseline Fixture Watts]])</f>
        <v>432</v>
      </c>
    </row>
    <row r="485" spans="1:27" x14ac:dyDescent="0.2">
      <c r="A485" t="s">
        <v>1153</v>
      </c>
      <c r="B485" t="s">
        <v>4564</v>
      </c>
      <c r="C485" t="s">
        <v>4565</v>
      </c>
      <c r="D485" t="s">
        <v>4566</v>
      </c>
      <c r="E485" t="s">
        <v>187</v>
      </c>
      <c r="F485" t="s">
        <v>186</v>
      </c>
      <c r="G485" t="s">
        <v>186</v>
      </c>
      <c r="H485">
        <v>433</v>
      </c>
      <c r="I485">
        <v>15</v>
      </c>
      <c r="J485" s="110">
        <v>483</v>
      </c>
      <c r="K485" t="s">
        <v>185</v>
      </c>
      <c r="L485">
        <f>IF(Table_TRM_Fixtures[[#This Row],[Technology]]="LED", Table_TRM_Fixtures[[#This Row],[Fixture Watts  (TRM Data)]], Table_TRM_Fixtures[[#This Row],[Lamp Watts  (TRM Data)]])</f>
        <v>433</v>
      </c>
      <c r="M485" t="str">
        <f>Table_TRM_Fixtures[[#This Row],[No. of Lamps  (TRM Data)]]</f>
        <v>N/A</v>
      </c>
      <c r="N485" t="s">
        <v>186</v>
      </c>
      <c r="O485" t="s">
        <v>186</v>
      </c>
      <c r="P485" t="s">
        <v>187</v>
      </c>
      <c r="S485" t="s">
        <v>1152</v>
      </c>
      <c r="T485" t="str">
        <f>Table_TRM_Fixtures[[#This Row],[Fixture code  (TRM Data)]]</f>
        <v>LED433-FIXT</v>
      </c>
      <c r="U485" t="s">
        <v>2883</v>
      </c>
      <c r="V485" t="s">
        <v>185</v>
      </c>
      <c r="W485" t="s">
        <v>3120</v>
      </c>
      <c r="X485" t="s">
        <v>186</v>
      </c>
      <c r="AA485">
        <f>IF(Table_TRM_Fixtures[[#This Row],[Pre-EISA Baseline]]="Nominal", Table_TRM_Fixtures[[#This Row],[Fixture Watts  (TRM Data)]], Table_TRM_Fixtures[[#This Row],[Modified Baseline Fixture Watts]])</f>
        <v>433</v>
      </c>
    </row>
    <row r="486" spans="1:27" x14ac:dyDescent="0.2">
      <c r="A486" t="s">
        <v>1155</v>
      </c>
      <c r="B486" t="s">
        <v>4567</v>
      </c>
      <c r="C486" t="s">
        <v>4568</v>
      </c>
      <c r="D486" t="s">
        <v>4569</v>
      </c>
      <c r="E486" t="s">
        <v>187</v>
      </c>
      <c r="F486" t="s">
        <v>186</v>
      </c>
      <c r="G486" t="s">
        <v>186</v>
      </c>
      <c r="H486">
        <v>434</v>
      </c>
      <c r="I486">
        <v>15</v>
      </c>
      <c r="J486" s="110">
        <v>484</v>
      </c>
      <c r="K486" t="s">
        <v>185</v>
      </c>
      <c r="L486">
        <f>IF(Table_TRM_Fixtures[[#This Row],[Technology]]="LED", Table_TRM_Fixtures[[#This Row],[Fixture Watts  (TRM Data)]], Table_TRM_Fixtures[[#This Row],[Lamp Watts  (TRM Data)]])</f>
        <v>434</v>
      </c>
      <c r="M486" t="str">
        <f>Table_TRM_Fixtures[[#This Row],[No. of Lamps  (TRM Data)]]</f>
        <v>N/A</v>
      </c>
      <c r="N486" t="s">
        <v>186</v>
      </c>
      <c r="O486" t="s">
        <v>186</v>
      </c>
      <c r="P486" t="s">
        <v>187</v>
      </c>
      <c r="S486" t="s">
        <v>1154</v>
      </c>
      <c r="T486" t="str">
        <f>Table_TRM_Fixtures[[#This Row],[Fixture code  (TRM Data)]]</f>
        <v>LED434-FIXT</v>
      </c>
      <c r="U486" t="s">
        <v>2883</v>
      </c>
      <c r="V486" t="s">
        <v>185</v>
      </c>
      <c r="W486" t="s">
        <v>3120</v>
      </c>
      <c r="X486" t="s">
        <v>186</v>
      </c>
      <c r="AA486">
        <f>IF(Table_TRM_Fixtures[[#This Row],[Pre-EISA Baseline]]="Nominal", Table_TRM_Fixtures[[#This Row],[Fixture Watts  (TRM Data)]], Table_TRM_Fixtures[[#This Row],[Modified Baseline Fixture Watts]])</f>
        <v>434</v>
      </c>
    </row>
    <row r="487" spans="1:27" x14ac:dyDescent="0.2">
      <c r="A487" t="s">
        <v>1157</v>
      </c>
      <c r="B487" t="s">
        <v>4570</v>
      </c>
      <c r="C487" t="s">
        <v>4571</v>
      </c>
      <c r="D487" t="s">
        <v>4572</v>
      </c>
      <c r="E487" t="s">
        <v>187</v>
      </c>
      <c r="F487" t="s">
        <v>186</v>
      </c>
      <c r="G487" t="s">
        <v>186</v>
      </c>
      <c r="H487">
        <v>435</v>
      </c>
      <c r="I487">
        <v>15</v>
      </c>
      <c r="J487" s="110">
        <v>485</v>
      </c>
      <c r="K487" t="s">
        <v>185</v>
      </c>
      <c r="L487">
        <f>IF(Table_TRM_Fixtures[[#This Row],[Technology]]="LED", Table_TRM_Fixtures[[#This Row],[Fixture Watts  (TRM Data)]], Table_TRM_Fixtures[[#This Row],[Lamp Watts  (TRM Data)]])</f>
        <v>435</v>
      </c>
      <c r="M487" t="str">
        <f>Table_TRM_Fixtures[[#This Row],[No. of Lamps  (TRM Data)]]</f>
        <v>N/A</v>
      </c>
      <c r="N487" t="s">
        <v>186</v>
      </c>
      <c r="O487" t="s">
        <v>186</v>
      </c>
      <c r="P487" t="s">
        <v>187</v>
      </c>
      <c r="S487" t="s">
        <v>1156</v>
      </c>
      <c r="T487" t="str">
        <f>Table_TRM_Fixtures[[#This Row],[Fixture code  (TRM Data)]]</f>
        <v>LED435-FIXT</v>
      </c>
      <c r="U487" t="s">
        <v>2883</v>
      </c>
      <c r="V487" t="s">
        <v>185</v>
      </c>
      <c r="W487" t="s">
        <v>3120</v>
      </c>
      <c r="X487" t="s">
        <v>186</v>
      </c>
      <c r="AA487">
        <f>IF(Table_TRM_Fixtures[[#This Row],[Pre-EISA Baseline]]="Nominal", Table_TRM_Fixtures[[#This Row],[Fixture Watts  (TRM Data)]], Table_TRM_Fixtures[[#This Row],[Modified Baseline Fixture Watts]])</f>
        <v>435</v>
      </c>
    </row>
    <row r="488" spans="1:27" x14ac:dyDescent="0.2">
      <c r="A488" t="s">
        <v>1159</v>
      </c>
      <c r="B488" t="s">
        <v>4573</v>
      </c>
      <c r="C488" t="s">
        <v>4574</v>
      </c>
      <c r="D488" t="s">
        <v>4575</v>
      </c>
      <c r="E488" t="s">
        <v>187</v>
      </c>
      <c r="F488" t="s">
        <v>186</v>
      </c>
      <c r="G488" t="s">
        <v>186</v>
      </c>
      <c r="H488">
        <v>436</v>
      </c>
      <c r="I488">
        <v>15</v>
      </c>
      <c r="J488" s="110">
        <v>486</v>
      </c>
      <c r="K488" t="s">
        <v>185</v>
      </c>
      <c r="L488">
        <f>IF(Table_TRM_Fixtures[[#This Row],[Technology]]="LED", Table_TRM_Fixtures[[#This Row],[Fixture Watts  (TRM Data)]], Table_TRM_Fixtures[[#This Row],[Lamp Watts  (TRM Data)]])</f>
        <v>436</v>
      </c>
      <c r="M488" t="str">
        <f>Table_TRM_Fixtures[[#This Row],[No. of Lamps  (TRM Data)]]</f>
        <v>N/A</v>
      </c>
      <c r="N488" t="s">
        <v>186</v>
      </c>
      <c r="O488" t="s">
        <v>186</v>
      </c>
      <c r="P488" t="s">
        <v>187</v>
      </c>
      <c r="S488" t="s">
        <v>1158</v>
      </c>
      <c r="T488" t="str">
        <f>Table_TRM_Fixtures[[#This Row],[Fixture code  (TRM Data)]]</f>
        <v>LED436-FIXT</v>
      </c>
      <c r="U488" t="s">
        <v>2883</v>
      </c>
      <c r="V488" t="s">
        <v>185</v>
      </c>
      <c r="W488" t="s">
        <v>3120</v>
      </c>
      <c r="X488" t="s">
        <v>186</v>
      </c>
      <c r="AA488">
        <f>IF(Table_TRM_Fixtures[[#This Row],[Pre-EISA Baseline]]="Nominal", Table_TRM_Fixtures[[#This Row],[Fixture Watts  (TRM Data)]], Table_TRM_Fixtures[[#This Row],[Modified Baseline Fixture Watts]])</f>
        <v>436</v>
      </c>
    </row>
    <row r="489" spans="1:27" x14ac:dyDescent="0.2">
      <c r="A489" t="s">
        <v>1161</v>
      </c>
      <c r="B489" t="s">
        <v>4576</v>
      </c>
      <c r="C489" t="s">
        <v>4577</v>
      </c>
      <c r="D489" t="s">
        <v>4578</v>
      </c>
      <c r="E489" t="s">
        <v>187</v>
      </c>
      <c r="F489" t="s">
        <v>186</v>
      </c>
      <c r="G489" t="s">
        <v>186</v>
      </c>
      <c r="H489">
        <v>437</v>
      </c>
      <c r="I489">
        <v>15</v>
      </c>
      <c r="J489" s="110">
        <v>487</v>
      </c>
      <c r="K489" t="s">
        <v>185</v>
      </c>
      <c r="L489">
        <f>IF(Table_TRM_Fixtures[[#This Row],[Technology]]="LED", Table_TRM_Fixtures[[#This Row],[Fixture Watts  (TRM Data)]], Table_TRM_Fixtures[[#This Row],[Lamp Watts  (TRM Data)]])</f>
        <v>437</v>
      </c>
      <c r="M489" t="str">
        <f>Table_TRM_Fixtures[[#This Row],[No. of Lamps  (TRM Data)]]</f>
        <v>N/A</v>
      </c>
      <c r="N489" t="s">
        <v>186</v>
      </c>
      <c r="O489" t="s">
        <v>186</v>
      </c>
      <c r="P489" t="s">
        <v>187</v>
      </c>
      <c r="S489" t="s">
        <v>1160</v>
      </c>
      <c r="T489" t="str">
        <f>Table_TRM_Fixtures[[#This Row],[Fixture code  (TRM Data)]]</f>
        <v>LED437-FIXT</v>
      </c>
      <c r="U489" t="s">
        <v>2883</v>
      </c>
      <c r="V489" t="s">
        <v>185</v>
      </c>
      <c r="W489" t="s">
        <v>3120</v>
      </c>
      <c r="X489" t="s">
        <v>186</v>
      </c>
      <c r="AA489">
        <f>IF(Table_TRM_Fixtures[[#This Row],[Pre-EISA Baseline]]="Nominal", Table_TRM_Fixtures[[#This Row],[Fixture Watts  (TRM Data)]], Table_TRM_Fixtures[[#This Row],[Modified Baseline Fixture Watts]])</f>
        <v>437</v>
      </c>
    </row>
    <row r="490" spans="1:27" x14ac:dyDescent="0.2">
      <c r="A490" t="s">
        <v>1163</v>
      </c>
      <c r="B490" t="s">
        <v>4579</v>
      </c>
      <c r="C490" t="s">
        <v>4580</v>
      </c>
      <c r="D490" t="s">
        <v>4581</v>
      </c>
      <c r="E490" t="s">
        <v>187</v>
      </c>
      <c r="F490" t="s">
        <v>186</v>
      </c>
      <c r="G490" t="s">
        <v>186</v>
      </c>
      <c r="H490">
        <v>438</v>
      </c>
      <c r="I490">
        <v>15</v>
      </c>
      <c r="J490" s="110">
        <v>488</v>
      </c>
      <c r="K490" t="s">
        <v>185</v>
      </c>
      <c r="L490">
        <f>IF(Table_TRM_Fixtures[[#This Row],[Technology]]="LED", Table_TRM_Fixtures[[#This Row],[Fixture Watts  (TRM Data)]], Table_TRM_Fixtures[[#This Row],[Lamp Watts  (TRM Data)]])</f>
        <v>438</v>
      </c>
      <c r="M490" t="str">
        <f>Table_TRM_Fixtures[[#This Row],[No. of Lamps  (TRM Data)]]</f>
        <v>N/A</v>
      </c>
      <c r="N490" t="s">
        <v>186</v>
      </c>
      <c r="O490" t="s">
        <v>186</v>
      </c>
      <c r="P490" t="s">
        <v>187</v>
      </c>
      <c r="S490" t="s">
        <v>1162</v>
      </c>
      <c r="T490" t="str">
        <f>Table_TRM_Fixtures[[#This Row],[Fixture code  (TRM Data)]]</f>
        <v>LED438-FIXT</v>
      </c>
      <c r="U490" t="s">
        <v>2883</v>
      </c>
      <c r="V490" t="s">
        <v>185</v>
      </c>
      <c r="W490" t="s">
        <v>3120</v>
      </c>
      <c r="X490" t="s">
        <v>186</v>
      </c>
      <c r="AA490">
        <f>IF(Table_TRM_Fixtures[[#This Row],[Pre-EISA Baseline]]="Nominal", Table_TRM_Fixtures[[#This Row],[Fixture Watts  (TRM Data)]], Table_TRM_Fixtures[[#This Row],[Modified Baseline Fixture Watts]])</f>
        <v>438</v>
      </c>
    </row>
    <row r="491" spans="1:27" x14ac:dyDescent="0.2">
      <c r="A491" t="s">
        <v>1165</v>
      </c>
      <c r="B491" t="s">
        <v>4582</v>
      </c>
      <c r="C491" t="s">
        <v>4583</v>
      </c>
      <c r="D491" t="s">
        <v>4584</v>
      </c>
      <c r="E491" t="s">
        <v>187</v>
      </c>
      <c r="F491" t="s">
        <v>186</v>
      </c>
      <c r="G491" t="s">
        <v>186</v>
      </c>
      <c r="H491">
        <v>439</v>
      </c>
      <c r="I491">
        <v>15</v>
      </c>
      <c r="J491" s="110">
        <v>489</v>
      </c>
      <c r="K491" t="s">
        <v>185</v>
      </c>
      <c r="L491">
        <f>IF(Table_TRM_Fixtures[[#This Row],[Technology]]="LED", Table_TRM_Fixtures[[#This Row],[Fixture Watts  (TRM Data)]], Table_TRM_Fixtures[[#This Row],[Lamp Watts  (TRM Data)]])</f>
        <v>439</v>
      </c>
      <c r="M491" t="str">
        <f>Table_TRM_Fixtures[[#This Row],[No. of Lamps  (TRM Data)]]</f>
        <v>N/A</v>
      </c>
      <c r="N491" t="s">
        <v>186</v>
      </c>
      <c r="O491" t="s">
        <v>186</v>
      </c>
      <c r="P491" t="s">
        <v>187</v>
      </c>
      <c r="S491" t="s">
        <v>1164</v>
      </c>
      <c r="T491" t="str">
        <f>Table_TRM_Fixtures[[#This Row],[Fixture code  (TRM Data)]]</f>
        <v>LED439-FIXT</v>
      </c>
      <c r="U491" t="s">
        <v>2883</v>
      </c>
      <c r="V491" t="s">
        <v>185</v>
      </c>
      <c r="W491" t="s">
        <v>3120</v>
      </c>
      <c r="X491" t="s">
        <v>186</v>
      </c>
      <c r="AA491">
        <f>IF(Table_TRM_Fixtures[[#This Row],[Pre-EISA Baseline]]="Nominal", Table_TRM_Fixtures[[#This Row],[Fixture Watts  (TRM Data)]], Table_TRM_Fixtures[[#This Row],[Modified Baseline Fixture Watts]])</f>
        <v>439</v>
      </c>
    </row>
    <row r="492" spans="1:27" x14ac:dyDescent="0.2">
      <c r="A492" t="s">
        <v>1167</v>
      </c>
      <c r="B492" t="s">
        <v>4585</v>
      </c>
      <c r="C492" t="s">
        <v>4586</v>
      </c>
      <c r="D492" t="s">
        <v>4587</v>
      </c>
      <c r="E492" t="s">
        <v>187</v>
      </c>
      <c r="F492" t="s">
        <v>186</v>
      </c>
      <c r="G492" t="s">
        <v>186</v>
      </c>
      <c r="H492">
        <v>440</v>
      </c>
      <c r="I492">
        <v>15</v>
      </c>
      <c r="J492" s="110">
        <v>490</v>
      </c>
      <c r="K492" t="s">
        <v>185</v>
      </c>
      <c r="L492">
        <f>IF(Table_TRM_Fixtures[[#This Row],[Technology]]="LED", Table_TRM_Fixtures[[#This Row],[Fixture Watts  (TRM Data)]], Table_TRM_Fixtures[[#This Row],[Lamp Watts  (TRM Data)]])</f>
        <v>440</v>
      </c>
      <c r="M492" t="str">
        <f>Table_TRM_Fixtures[[#This Row],[No. of Lamps  (TRM Data)]]</f>
        <v>N/A</v>
      </c>
      <c r="N492" t="s">
        <v>186</v>
      </c>
      <c r="O492" t="s">
        <v>186</v>
      </c>
      <c r="P492" t="s">
        <v>187</v>
      </c>
      <c r="S492" t="s">
        <v>1166</v>
      </c>
      <c r="T492" t="str">
        <f>Table_TRM_Fixtures[[#This Row],[Fixture code  (TRM Data)]]</f>
        <v>LED440-FIXT</v>
      </c>
      <c r="U492" t="s">
        <v>2883</v>
      </c>
      <c r="V492" t="s">
        <v>185</v>
      </c>
      <c r="W492" t="s">
        <v>3120</v>
      </c>
      <c r="X492" t="s">
        <v>186</v>
      </c>
      <c r="AA492">
        <f>IF(Table_TRM_Fixtures[[#This Row],[Pre-EISA Baseline]]="Nominal", Table_TRM_Fixtures[[#This Row],[Fixture Watts  (TRM Data)]], Table_TRM_Fixtures[[#This Row],[Modified Baseline Fixture Watts]])</f>
        <v>440</v>
      </c>
    </row>
    <row r="493" spans="1:27" x14ac:dyDescent="0.2">
      <c r="A493" t="s">
        <v>1169</v>
      </c>
      <c r="B493" t="s">
        <v>4588</v>
      </c>
      <c r="C493" t="s">
        <v>4589</v>
      </c>
      <c r="D493" t="s">
        <v>4590</v>
      </c>
      <c r="E493" t="s">
        <v>187</v>
      </c>
      <c r="F493" t="s">
        <v>186</v>
      </c>
      <c r="G493" t="s">
        <v>186</v>
      </c>
      <c r="H493">
        <v>441</v>
      </c>
      <c r="I493">
        <v>15</v>
      </c>
      <c r="J493" s="110">
        <v>491</v>
      </c>
      <c r="K493" t="s">
        <v>185</v>
      </c>
      <c r="L493">
        <f>IF(Table_TRM_Fixtures[[#This Row],[Technology]]="LED", Table_TRM_Fixtures[[#This Row],[Fixture Watts  (TRM Data)]], Table_TRM_Fixtures[[#This Row],[Lamp Watts  (TRM Data)]])</f>
        <v>441</v>
      </c>
      <c r="M493" t="str">
        <f>Table_TRM_Fixtures[[#This Row],[No. of Lamps  (TRM Data)]]</f>
        <v>N/A</v>
      </c>
      <c r="N493" t="s">
        <v>186</v>
      </c>
      <c r="O493" t="s">
        <v>186</v>
      </c>
      <c r="P493" t="s">
        <v>187</v>
      </c>
      <c r="S493" t="s">
        <v>1168</v>
      </c>
      <c r="T493" t="str">
        <f>Table_TRM_Fixtures[[#This Row],[Fixture code  (TRM Data)]]</f>
        <v>LED441-FIXT</v>
      </c>
      <c r="U493" t="s">
        <v>2883</v>
      </c>
      <c r="V493" t="s">
        <v>185</v>
      </c>
      <c r="W493" t="s">
        <v>3120</v>
      </c>
      <c r="X493" t="s">
        <v>186</v>
      </c>
      <c r="AA493">
        <f>IF(Table_TRM_Fixtures[[#This Row],[Pre-EISA Baseline]]="Nominal", Table_TRM_Fixtures[[#This Row],[Fixture Watts  (TRM Data)]], Table_TRM_Fixtures[[#This Row],[Modified Baseline Fixture Watts]])</f>
        <v>441</v>
      </c>
    </row>
    <row r="494" spans="1:27" x14ac:dyDescent="0.2">
      <c r="A494" t="s">
        <v>1171</v>
      </c>
      <c r="B494" t="s">
        <v>4591</v>
      </c>
      <c r="C494" t="s">
        <v>4592</v>
      </c>
      <c r="D494" t="s">
        <v>4593</v>
      </c>
      <c r="E494" t="s">
        <v>187</v>
      </c>
      <c r="F494" t="s">
        <v>186</v>
      </c>
      <c r="G494" t="s">
        <v>186</v>
      </c>
      <c r="H494">
        <v>442</v>
      </c>
      <c r="I494">
        <v>15</v>
      </c>
      <c r="J494" s="110">
        <v>492</v>
      </c>
      <c r="K494" t="s">
        <v>185</v>
      </c>
      <c r="L494">
        <f>IF(Table_TRM_Fixtures[[#This Row],[Technology]]="LED", Table_TRM_Fixtures[[#This Row],[Fixture Watts  (TRM Data)]], Table_TRM_Fixtures[[#This Row],[Lamp Watts  (TRM Data)]])</f>
        <v>442</v>
      </c>
      <c r="M494" t="str">
        <f>Table_TRM_Fixtures[[#This Row],[No. of Lamps  (TRM Data)]]</f>
        <v>N/A</v>
      </c>
      <c r="N494" t="s">
        <v>186</v>
      </c>
      <c r="O494" t="s">
        <v>186</v>
      </c>
      <c r="P494" t="s">
        <v>187</v>
      </c>
      <c r="S494" t="s">
        <v>1170</v>
      </c>
      <c r="T494" t="str">
        <f>Table_TRM_Fixtures[[#This Row],[Fixture code  (TRM Data)]]</f>
        <v>LED442-FIXT</v>
      </c>
      <c r="U494" t="s">
        <v>2883</v>
      </c>
      <c r="V494" t="s">
        <v>185</v>
      </c>
      <c r="W494" t="s">
        <v>3120</v>
      </c>
      <c r="X494" t="s">
        <v>186</v>
      </c>
      <c r="AA494">
        <f>IF(Table_TRM_Fixtures[[#This Row],[Pre-EISA Baseline]]="Nominal", Table_TRM_Fixtures[[#This Row],[Fixture Watts  (TRM Data)]], Table_TRM_Fixtures[[#This Row],[Modified Baseline Fixture Watts]])</f>
        <v>442</v>
      </c>
    </row>
    <row r="495" spans="1:27" x14ac:dyDescent="0.2">
      <c r="A495" t="s">
        <v>1173</v>
      </c>
      <c r="B495" t="s">
        <v>4594</v>
      </c>
      <c r="C495" t="s">
        <v>4595</v>
      </c>
      <c r="D495" t="s">
        <v>4596</v>
      </c>
      <c r="E495" t="s">
        <v>187</v>
      </c>
      <c r="F495" t="s">
        <v>186</v>
      </c>
      <c r="G495" t="s">
        <v>186</v>
      </c>
      <c r="H495">
        <v>443</v>
      </c>
      <c r="I495">
        <v>15</v>
      </c>
      <c r="J495" s="110">
        <v>493</v>
      </c>
      <c r="K495" t="s">
        <v>185</v>
      </c>
      <c r="L495">
        <f>IF(Table_TRM_Fixtures[[#This Row],[Technology]]="LED", Table_TRM_Fixtures[[#This Row],[Fixture Watts  (TRM Data)]], Table_TRM_Fixtures[[#This Row],[Lamp Watts  (TRM Data)]])</f>
        <v>443</v>
      </c>
      <c r="M495" t="str">
        <f>Table_TRM_Fixtures[[#This Row],[No. of Lamps  (TRM Data)]]</f>
        <v>N/A</v>
      </c>
      <c r="N495" t="s">
        <v>186</v>
      </c>
      <c r="O495" t="s">
        <v>186</v>
      </c>
      <c r="P495" t="s">
        <v>187</v>
      </c>
      <c r="S495" t="s">
        <v>1172</v>
      </c>
      <c r="T495" t="str">
        <f>Table_TRM_Fixtures[[#This Row],[Fixture code  (TRM Data)]]</f>
        <v>LED443-FIXT</v>
      </c>
      <c r="U495" t="s">
        <v>2883</v>
      </c>
      <c r="V495" t="s">
        <v>185</v>
      </c>
      <c r="W495" t="s">
        <v>3120</v>
      </c>
      <c r="X495" t="s">
        <v>186</v>
      </c>
      <c r="AA495">
        <f>IF(Table_TRM_Fixtures[[#This Row],[Pre-EISA Baseline]]="Nominal", Table_TRM_Fixtures[[#This Row],[Fixture Watts  (TRM Data)]], Table_TRM_Fixtures[[#This Row],[Modified Baseline Fixture Watts]])</f>
        <v>443</v>
      </c>
    </row>
    <row r="496" spans="1:27" x14ac:dyDescent="0.2">
      <c r="A496" t="s">
        <v>1175</v>
      </c>
      <c r="B496" t="s">
        <v>4597</v>
      </c>
      <c r="C496" t="s">
        <v>4598</v>
      </c>
      <c r="D496" t="s">
        <v>4599</v>
      </c>
      <c r="E496" t="s">
        <v>187</v>
      </c>
      <c r="F496" t="s">
        <v>186</v>
      </c>
      <c r="G496" t="s">
        <v>186</v>
      </c>
      <c r="H496">
        <v>444</v>
      </c>
      <c r="I496">
        <v>15</v>
      </c>
      <c r="J496" s="110">
        <v>494</v>
      </c>
      <c r="K496" t="s">
        <v>185</v>
      </c>
      <c r="L496">
        <f>IF(Table_TRM_Fixtures[[#This Row],[Technology]]="LED", Table_TRM_Fixtures[[#This Row],[Fixture Watts  (TRM Data)]], Table_TRM_Fixtures[[#This Row],[Lamp Watts  (TRM Data)]])</f>
        <v>444</v>
      </c>
      <c r="M496" t="str">
        <f>Table_TRM_Fixtures[[#This Row],[No. of Lamps  (TRM Data)]]</f>
        <v>N/A</v>
      </c>
      <c r="N496" t="s">
        <v>186</v>
      </c>
      <c r="O496" t="s">
        <v>186</v>
      </c>
      <c r="P496" t="s">
        <v>187</v>
      </c>
      <c r="S496" t="s">
        <v>1174</v>
      </c>
      <c r="T496" t="str">
        <f>Table_TRM_Fixtures[[#This Row],[Fixture code  (TRM Data)]]</f>
        <v>LED444-FIXT</v>
      </c>
      <c r="U496" t="s">
        <v>2883</v>
      </c>
      <c r="V496" t="s">
        <v>185</v>
      </c>
      <c r="W496" t="s">
        <v>3120</v>
      </c>
      <c r="X496" t="s">
        <v>186</v>
      </c>
      <c r="AA496">
        <f>IF(Table_TRM_Fixtures[[#This Row],[Pre-EISA Baseline]]="Nominal", Table_TRM_Fixtures[[#This Row],[Fixture Watts  (TRM Data)]], Table_TRM_Fixtures[[#This Row],[Modified Baseline Fixture Watts]])</f>
        <v>444</v>
      </c>
    </row>
    <row r="497" spans="1:27" x14ac:dyDescent="0.2">
      <c r="A497" t="s">
        <v>1177</v>
      </c>
      <c r="B497" t="s">
        <v>4600</v>
      </c>
      <c r="C497" t="s">
        <v>4601</v>
      </c>
      <c r="D497" t="s">
        <v>4602</v>
      </c>
      <c r="E497" t="s">
        <v>187</v>
      </c>
      <c r="F497" t="s">
        <v>186</v>
      </c>
      <c r="G497" t="s">
        <v>186</v>
      </c>
      <c r="H497">
        <v>445</v>
      </c>
      <c r="I497">
        <v>15</v>
      </c>
      <c r="J497" s="110">
        <v>495</v>
      </c>
      <c r="K497" t="s">
        <v>185</v>
      </c>
      <c r="L497">
        <f>IF(Table_TRM_Fixtures[[#This Row],[Technology]]="LED", Table_TRM_Fixtures[[#This Row],[Fixture Watts  (TRM Data)]], Table_TRM_Fixtures[[#This Row],[Lamp Watts  (TRM Data)]])</f>
        <v>445</v>
      </c>
      <c r="M497" t="str">
        <f>Table_TRM_Fixtures[[#This Row],[No. of Lamps  (TRM Data)]]</f>
        <v>N/A</v>
      </c>
      <c r="N497" t="s">
        <v>186</v>
      </c>
      <c r="O497" t="s">
        <v>186</v>
      </c>
      <c r="P497" t="s">
        <v>187</v>
      </c>
      <c r="S497" t="s">
        <v>1176</v>
      </c>
      <c r="T497" t="str">
        <f>Table_TRM_Fixtures[[#This Row],[Fixture code  (TRM Data)]]</f>
        <v>LED445-FIXT</v>
      </c>
      <c r="U497" t="s">
        <v>2883</v>
      </c>
      <c r="V497" t="s">
        <v>185</v>
      </c>
      <c r="W497" t="s">
        <v>3120</v>
      </c>
      <c r="X497" t="s">
        <v>186</v>
      </c>
      <c r="AA497">
        <f>IF(Table_TRM_Fixtures[[#This Row],[Pre-EISA Baseline]]="Nominal", Table_TRM_Fixtures[[#This Row],[Fixture Watts  (TRM Data)]], Table_TRM_Fixtures[[#This Row],[Modified Baseline Fixture Watts]])</f>
        <v>445</v>
      </c>
    </row>
    <row r="498" spans="1:27" x14ac:dyDescent="0.2">
      <c r="A498" t="s">
        <v>1179</v>
      </c>
      <c r="B498" t="s">
        <v>4603</v>
      </c>
      <c r="C498" t="s">
        <v>4604</v>
      </c>
      <c r="D498" t="s">
        <v>4605</v>
      </c>
      <c r="E498" t="s">
        <v>187</v>
      </c>
      <c r="F498" t="s">
        <v>186</v>
      </c>
      <c r="G498" t="s">
        <v>186</v>
      </c>
      <c r="H498">
        <v>446</v>
      </c>
      <c r="I498">
        <v>15</v>
      </c>
      <c r="J498" s="110">
        <v>496</v>
      </c>
      <c r="K498" t="s">
        <v>185</v>
      </c>
      <c r="L498">
        <f>IF(Table_TRM_Fixtures[[#This Row],[Technology]]="LED", Table_TRM_Fixtures[[#This Row],[Fixture Watts  (TRM Data)]], Table_TRM_Fixtures[[#This Row],[Lamp Watts  (TRM Data)]])</f>
        <v>446</v>
      </c>
      <c r="M498" t="str">
        <f>Table_TRM_Fixtures[[#This Row],[No. of Lamps  (TRM Data)]]</f>
        <v>N/A</v>
      </c>
      <c r="N498" t="s">
        <v>186</v>
      </c>
      <c r="O498" t="s">
        <v>186</v>
      </c>
      <c r="P498" t="s">
        <v>187</v>
      </c>
      <c r="S498" t="s">
        <v>1178</v>
      </c>
      <c r="T498" t="str">
        <f>Table_TRM_Fixtures[[#This Row],[Fixture code  (TRM Data)]]</f>
        <v>LED446-FIXT</v>
      </c>
      <c r="U498" t="s">
        <v>2883</v>
      </c>
      <c r="V498" t="s">
        <v>185</v>
      </c>
      <c r="W498" t="s">
        <v>3120</v>
      </c>
      <c r="X498" t="s">
        <v>186</v>
      </c>
      <c r="AA498">
        <f>IF(Table_TRM_Fixtures[[#This Row],[Pre-EISA Baseline]]="Nominal", Table_TRM_Fixtures[[#This Row],[Fixture Watts  (TRM Data)]], Table_TRM_Fixtures[[#This Row],[Modified Baseline Fixture Watts]])</f>
        <v>446</v>
      </c>
    </row>
    <row r="499" spans="1:27" x14ac:dyDescent="0.2">
      <c r="A499" t="s">
        <v>1181</v>
      </c>
      <c r="B499" t="s">
        <v>4606</v>
      </c>
      <c r="C499" t="s">
        <v>4607</v>
      </c>
      <c r="D499" t="s">
        <v>4608</v>
      </c>
      <c r="E499" t="s">
        <v>187</v>
      </c>
      <c r="F499" t="s">
        <v>186</v>
      </c>
      <c r="G499" t="s">
        <v>186</v>
      </c>
      <c r="H499">
        <v>447</v>
      </c>
      <c r="I499">
        <v>15</v>
      </c>
      <c r="J499" s="110">
        <v>497</v>
      </c>
      <c r="K499" t="s">
        <v>185</v>
      </c>
      <c r="L499">
        <f>IF(Table_TRM_Fixtures[[#This Row],[Technology]]="LED", Table_TRM_Fixtures[[#This Row],[Fixture Watts  (TRM Data)]], Table_TRM_Fixtures[[#This Row],[Lamp Watts  (TRM Data)]])</f>
        <v>447</v>
      </c>
      <c r="M499" t="str">
        <f>Table_TRM_Fixtures[[#This Row],[No. of Lamps  (TRM Data)]]</f>
        <v>N/A</v>
      </c>
      <c r="N499" t="s">
        <v>186</v>
      </c>
      <c r="O499" t="s">
        <v>186</v>
      </c>
      <c r="P499" t="s">
        <v>187</v>
      </c>
      <c r="S499" t="s">
        <v>1180</v>
      </c>
      <c r="T499" t="str">
        <f>Table_TRM_Fixtures[[#This Row],[Fixture code  (TRM Data)]]</f>
        <v>LED447-FIXT</v>
      </c>
      <c r="U499" t="s">
        <v>2883</v>
      </c>
      <c r="V499" t="s">
        <v>185</v>
      </c>
      <c r="W499" t="s">
        <v>3120</v>
      </c>
      <c r="X499" t="s">
        <v>186</v>
      </c>
      <c r="AA499">
        <f>IF(Table_TRM_Fixtures[[#This Row],[Pre-EISA Baseline]]="Nominal", Table_TRM_Fixtures[[#This Row],[Fixture Watts  (TRM Data)]], Table_TRM_Fixtures[[#This Row],[Modified Baseline Fixture Watts]])</f>
        <v>447</v>
      </c>
    </row>
    <row r="500" spans="1:27" x14ac:dyDescent="0.2">
      <c r="A500" t="s">
        <v>1183</v>
      </c>
      <c r="B500" t="s">
        <v>4609</v>
      </c>
      <c r="C500" t="s">
        <v>4610</v>
      </c>
      <c r="D500" t="s">
        <v>4611</v>
      </c>
      <c r="E500" t="s">
        <v>187</v>
      </c>
      <c r="F500" t="s">
        <v>186</v>
      </c>
      <c r="G500" t="s">
        <v>186</v>
      </c>
      <c r="H500">
        <v>448</v>
      </c>
      <c r="I500">
        <v>15</v>
      </c>
      <c r="J500" s="110">
        <v>498</v>
      </c>
      <c r="K500" t="s">
        <v>185</v>
      </c>
      <c r="L500">
        <f>IF(Table_TRM_Fixtures[[#This Row],[Technology]]="LED", Table_TRM_Fixtures[[#This Row],[Fixture Watts  (TRM Data)]], Table_TRM_Fixtures[[#This Row],[Lamp Watts  (TRM Data)]])</f>
        <v>448</v>
      </c>
      <c r="M500" t="str">
        <f>Table_TRM_Fixtures[[#This Row],[No. of Lamps  (TRM Data)]]</f>
        <v>N/A</v>
      </c>
      <c r="N500" t="s">
        <v>186</v>
      </c>
      <c r="O500" t="s">
        <v>186</v>
      </c>
      <c r="P500" t="s">
        <v>187</v>
      </c>
      <c r="S500" t="s">
        <v>1182</v>
      </c>
      <c r="T500" t="str">
        <f>Table_TRM_Fixtures[[#This Row],[Fixture code  (TRM Data)]]</f>
        <v>LED448-FIXT</v>
      </c>
      <c r="U500" t="s">
        <v>2883</v>
      </c>
      <c r="V500" t="s">
        <v>185</v>
      </c>
      <c r="W500" t="s">
        <v>3120</v>
      </c>
      <c r="X500" t="s">
        <v>186</v>
      </c>
      <c r="AA500">
        <f>IF(Table_TRM_Fixtures[[#This Row],[Pre-EISA Baseline]]="Nominal", Table_TRM_Fixtures[[#This Row],[Fixture Watts  (TRM Data)]], Table_TRM_Fixtures[[#This Row],[Modified Baseline Fixture Watts]])</f>
        <v>448</v>
      </c>
    </row>
    <row r="501" spans="1:27" x14ac:dyDescent="0.2">
      <c r="A501" t="s">
        <v>1185</v>
      </c>
      <c r="B501" t="s">
        <v>4612</v>
      </c>
      <c r="C501" t="s">
        <v>4613</v>
      </c>
      <c r="D501" t="s">
        <v>4614</v>
      </c>
      <c r="E501" t="s">
        <v>187</v>
      </c>
      <c r="F501" t="s">
        <v>186</v>
      </c>
      <c r="G501" t="s">
        <v>186</v>
      </c>
      <c r="H501">
        <v>449</v>
      </c>
      <c r="I501">
        <v>15</v>
      </c>
      <c r="J501" s="110">
        <v>499</v>
      </c>
      <c r="K501" t="s">
        <v>185</v>
      </c>
      <c r="L501">
        <f>IF(Table_TRM_Fixtures[[#This Row],[Technology]]="LED", Table_TRM_Fixtures[[#This Row],[Fixture Watts  (TRM Data)]], Table_TRM_Fixtures[[#This Row],[Lamp Watts  (TRM Data)]])</f>
        <v>449</v>
      </c>
      <c r="M501" t="str">
        <f>Table_TRM_Fixtures[[#This Row],[No. of Lamps  (TRM Data)]]</f>
        <v>N/A</v>
      </c>
      <c r="N501" t="s">
        <v>186</v>
      </c>
      <c r="O501" t="s">
        <v>186</v>
      </c>
      <c r="P501" t="s">
        <v>187</v>
      </c>
      <c r="S501" t="s">
        <v>1184</v>
      </c>
      <c r="T501" t="str">
        <f>Table_TRM_Fixtures[[#This Row],[Fixture code  (TRM Data)]]</f>
        <v>LED449-FIXT</v>
      </c>
      <c r="U501" t="s">
        <v>2883</v>
      </c>
      <c r="V501" t="s">
        <v>185</v>
      </c>
      <c r="W501" t="s">
        <v>3120</v>
      </c>
      <c r="X501" t="s">
        <v>186</v>
      </c>
      <c r="AA501">
        <f>IF(Table_TRM_Fixtures[[#This Row],[Pre-EISA Baseline]]="Nominal", Table_TRM_Fixtures[[#This Row],[Fixture Watts  (TRM Data)]], Table_TRM_Fixtures[[#This Row],[Modified Baseline Fixture Watts]])</f>
        <v>449</v>
      </c>
    </row>
    <row r="502" spans="1:27" x14ac:dyDescent="0.2">
      <c r="A502" t="s">
        <v>1187</v>
      </c>
      <c r="B502" t="s">
        <v>4615</v>
      </c>
      <c r="C502" t="s">
        <v>4616</v>
      </c>
      <c r="D502" t="s">
        <v>4617</v>
      </c>
      <c r="E502" t="s">
        <v>187</v>
      </c>
      <c r="F502" t="s">
        <v>186</v>
      </c>
      <c r="G502" t="s">
        <v>186</v>
      </c>
      <c r="H502">
        <v>450</v>
      </c>
      <c r="I502">
        <v>15</v>
      </c>
      <c r="J502" s="110">
        <v>500</v>
      </c>
      <c r="K502" t="s">
        <v>185</v>
      </c>
      <c r="L502">
        <f>IF(Table_TRM_Fixtures[[#This Row],[Technology]]="LED", Table_TRM_Fixtures[[#This Row],[Fixture Watts  (TRM Data)]], Table_TRM_Fixtures[[#This Row],[Lamp Watts  (TRM Data)]])</f>
        <v>450</v>
      </c>
      <c r="M502" t="str">
        <f>Table_TRM_Fixtures[[#This Row],[No. of Lamps  (TRM Data)]]</f>
        <v>N/A</v>
      </c>
      <c r="N502" t="s">
        <v>186</v>
      </c>
      <c r="O502" t="s">
        <v>186</v>
      </c>
      <c r="P502" t="s">
        <v>187</v>
      </c>
      <c r="S502" t="s">
        <v>1186</v>
      </c>
      <c r="T502" t="str">
        <f>Table_TRM_Fixtures[[#This Row],[Fixture code  (TRM Data)]]</f>
        <v>LED450-FIXT</v>
      </c>
      <c r="U502" t="s">
        <v>2883</v>
      </c>
      <c r="V502" t="s">
        <v>185</v>
      </c>
      <c r="W502" t="s">
        <v>3120</v>
      </c>
      <c r="X502" t="s">
        <v>186</v>
      </c>
      <c r="AA502">
        <f>IF(Table_TRM_Fixtures[[#This Row],[Pre-EISA Baseline]]="Nominal", Table_TRM_Fixtures[[#This Row],[Fixture Watts  (TRM Data)]], Table_TRM_Fixtures[[#This Row],[Modified Baseline Fixture Watts]])</f>
        <v>450</v>
      </c>
    </row>
    <row r="503" spans="1:27" x14ac:dyDescent="0.2">
      <c r="A503" t="s">
        <v>1189</v>
      </c>
      <c r="B503" t="s">
        <v>4618</v>
      </c>
      <c r="C503" t="s">
        <v>4619</v>
      </c>
      <c r="D503" t="s">
        <v>4620</v>
      </c>
      <c r="E503" t="s">
        <v>187</v>
      </c>
      <c r="F503" t="s">
        <v>186</v>
      </c>
      <c r="G503" t="s">
        <v>186</v>
      </c>
      <c r="H503">
        <v>451</v>
      </c>
      <c r="I503">
        <v>15</v>
      </c>
      <c r="J503" s="110">
        <v>501</v>
      </c>
      <c r="K503" t="s">
        <v>185</v>
      </c>
      <c r="L503">
        <f>IF(Table_TRM_Fixtures[[#This Row],[Technology]]="LED", Table_TRM_Fixtures[[#This Row],[Fixture Watts  (TRM Data)]], Table_TRM_Fixtures[[#This Row],[Lamp Watts  (TRM Data)]])</f>
        <v>451</v>
      </c>
      <c r="M503" t="str">
        <f>Table_TRM_Fixtures[[#This Row],[No. of Lamps  (TRM Data)]]</f>
        <v>N/A</v>
      </c>
      <c r="N503" t="s">
        <v>186</v>
      </c>
      <c r="O503" t="s">
        <v>186</v>
      </c>
      <c r="P503" t="s">
        <v>187</v>
      </c>
      <c r="S503" t="s">
        <v>1188</v>
      </c>
      <c r="T503" t="str">
        <f>Table_TRM_Fixtures[[#This Row],[Fixture code  (TRM Data)]]</f>
        <v>LED451-FIXT</v>
      </c>
      <c r="U503" t="s">
        <v>2883</v>
      </c>
      <c r="V503" t="s">
        <v>185</v>
      </c>
      <c r="W503" t="s">
        <v>3120</v>
      </c>
      <c r="X503" t="s">
        <v>186</v>
      </c>
      <c r="AA503">
        <f>IF(Table_TRM_Fixtures[[#This Row],[Pre-EISA Baseline]]="Nominal", Table_TRM_Fixtures[[#This Row],[Fixture Watts  (TRM Data)]], Table_TRM_Fixtures[[#This Row],[Modified Baseline Fixture Watts]])</f>
        <v>451</v>
      </c>
    </row>
    <row r="504" spans="1:27" x14ac:dyDescent="0.2">
      <c r="A504" t="s">
        <v>1191</v>
      </c>
      <c r="B504" t="s">
        <v>4621</v>
      </c>
      <c r="C504" t="s">
        <v>4622</v>
      </c>
      <c r="D504" t="s">
        <v>4623</v>
      </c>
      <c r="E504" t="s">
        <v>187</v>
      </c>
      <c r="F504" t="s">
        <v>186</v>
      </c>
      <c r="G504" t="s">
        <v>186</v>
      </c>
      <c r="H504">
        <v>452</v>
      </c>
      <c r="I504">
        <v>15</v>
      </c>
      <c r="J504" s="110">
        <v>502</v>
      </c>
      <c r="K504" t="s">
        <v>185</v>
      </c>
      <c r="L504">
        <f>IF(Table_TRM_Fixtures[[#This Row],[Technology]]="LED", Table_TRM_Fixtures[[#This Row],[Fixture Watts  (TRM Data)]], Table_TRM_Fixtures[[#This Row],[Lamp Watts  (TRM Data)]])</f>
        <v>452</v>
      </c>
      <c r="M504" t="str">
        <f>Table_TRM_Fixtures[[#This Row],[No. of Lamps  (TRM Data)]]</f>
        <v>N/A</v>
      </c>
      <c r="N504" t="s">
        <v>186</v>
      </c>
      <c r="O504" t="s">
        <v>186</v>
      </c>
      <c r="P504" t="s">
        <v>187</v>
      </c>
      <c r="S504" t="s">
        <v>1190</v>
      </c>
      <c r="T504" t="str">
        <f>Table_TRM_Fixtures[[#This Row],[Fixture code  (TRM Data)]]</f>
        <v>LED452-FIXT</v>
      </c>
      <c r="U504" t="s">
        <v>2883</v>
      </c>
      <c r="V504" t="s">
        <v>185</v>
      </c>
      <c r="W504" t="s">
        <v>3120</v>
      </c>
      <c r="X504" t="s">
        <v>186</v>
      </c>
      <c r="AA504">
        <f>IF(Table_TRM_Fixtures[[#This Row],[Pre-EISA Baseline]]="Nominal", Table_TRM_Fixtures[[#This Row],[Fixture Watts  (TRM Data)]], Table_TRM_Fixtures[[#This Row],[Modified Baseline Fixture Watts]])</f>
        <v>452</v>
      </c>
    </row>
    <row r="505" spans="1:27" x14ac:dyDescent="0.2">
      <c r="A505" t="s">
        <v>1193</v>
      </c>
      <c r="B505" t="s">
        <v>4624</v>
      </c>
      <c r="C505" t="s">
        <v>4625</v>
      </c>
      <c r="D505" t="s">
        <v>4626</v>
      </c>
      <c r="E505" t="s">
        <v>187</v>
      </c>
      <c r="F505" t="s">
        <v>186</v>
      </c>
      <c r="G505" t="s">
        <v>186</v>
      </c>
      <c r="H505">
        <v>453</v>
      </c>
      <c r="I505">
        <v>15</v>
      </c>
      <c r="J505" s="110">
        <v>503</v>
      </c>
      <c r="K505" t="s">
        <v>185</v>
      </c>
      <c r="L505">
        <f>IF(Table_TRM_Fixtures[[#This Row],[Technology]]="LED", Table_TRM_Fixtures[[#This Row],[Fixture Watts  (TRM Data)]], Table_TRM_Fixtures[[#This Row],[Lamp Watts  (TRM Data)]])</f>
        <v>453</v>
      </c>
      <c r="M505" t="str">
        <f>Table_TRM_Fixtures[[#This Row],[No. of Lamps  (TRM Data)]]</f>
        <v>N/A</v>
      </c>
      <c r="N505" t="s">
        <v>186</v>
      </c>
      <c r="O505" t="s">
        <v>186</v>
      </c>
      <c r="P505" t="s">
        <v>187</v>
      </c>
      <c r="S505" t="s">
        <v>1192</v>
      </c>
      <c r="T505" t="str">
        <f>Table_TRM_Fixtures[[#This Row],[Fixture code  (TRM Data)]]</f>
        <v>LED453-FIXT</v>
      </c>
      <c r="U505" t="s">
        <v>2883</v>
      </c>
      <c r="V505" t="s">
        <v>185</v>
      </c>
      <c r="W505" t="s">
        <v>3120</v>
      </c>
      <c r="X505" t="s">
        <v>186</v>
      </c>
      <c r="AA505">
        <f>IF(Table_TRM_Fixtures[[#This Row],[Pre-EISA Baseline]]="Nominal", Table_TRM_Fixtures[[#This Row],[Fixture Watts  (TRM Data)]], Table_TRM_Fixtures[[#This Row],[Modified Baseline Fixture Watts]])</f>
        <v>453</v>
      </c>
    </row>
    <row r="506" spans="1:27" x14ac:dyDescent="0.2">
      <c r="A506" t="s">
        <v>1195</v>
      </c>
      <c r="B506" t="s">
        <v>4627</v>
      </c>
      <c r="C506" t="s">
        <v>4628</v>
      </c>
      <c r="D506" t="s">
        <v>4629</v>
      </c>
      <c r="E506" t="s">
        <v>187</v>
      </c>
      <c r="F506" t="s">
        <v>186</v>
      </c>
      <c r="G506" t="s">
        <v>186</v>
      </c>
      <c r="H506">
        <v>454</v>
      </c>
      <c r="I506">
        <v>15</v>
      </c>
      <c r="J506" s="110">
        <v>504</v>
      </c>
      <c r="K506" t="s">
        <v>185</v>
      </c>
      <c r="L506">
        <f>IF(Table_TRM_Fixtures[[#This Row],[Technology]]="LED", Table_TRM_Fixtures[[#This Row],[Fixture Watts  (TRM Data)]], Table_TRM_Fixtures[[#This Row],[Lamp Watts  (TRM Data)]])</f>
        <v>454</v>
      </c>
      <c r="M506" t="str">
        <f>Table_TRM_Fixtures[[#This Row],[No. of Lamps  (TRM Data)]]</f>
        <v>N/A</v>
      </c>
      <c r="N506" t="s">
        <v>186</v>
      </c>
      <c r="O506" t="s">
        <v>186</v>
      </c>
      <c r="P506" t="s">
        <v>187</v>
      </c>
      <c r="S506" t="s">
        <v>1194</v>
      </c>
      <c r="T506" t="str">
        <f>Table_TRM_Fixtures[[#This Row],[Fixture code  (TRM Data)]]</f>
        <v>LED454-FIXT</v>
      </c>
      <c r="U506" t="s">
        <v>2883</v>
      </c>
      <c r="V506" t="s">
        <v>185</v>
      </c>
      <c r="W506" t="s">
        <v>3120</v>
      </c>
      <c r="X506" t="s">
        <v>186</v>
      </c>
      <c r="AA506">
        <f>IF(Table_TRM_Fixtures[[#This Row],[Pre-EISA Baseline]]="Nominal", Table_TRM_Fixtures[[#This Row],[Fixture Watts  (TRM Data)]], Table_TRM_Fixtures[[#This Row],[Modified Baseline Fixture Watts]])</f>
        <v>454</v>
      </c>
    </row>
    <row r="507" spans="1:27" x14ac:dyDescent="0.2">
      <c r="A507" t="s">
        <v>1197</v>
      </c>
      <c r="B507" t="s">
        <v>4630</v>
      </c>
      <c r="C507" t="s">
        <v>4631</v>
      </c>
      <c r="D507" t="s">
        <v>4632</v>
      </c>
      <c r="E507" t="s">
        <v>187</v>
      </c>
      <c r="F507" t="s">
        <v>186</v>
      </c>
      <c r="G507" t="s">
        <v>186</v>
      </c>
      <c r="H507">
        <v>455</v>
      </c>
      <c r="I507">
        <v>15</v>
      </c>
      <c r="J507" s="110">
        <v>505</v>
      </c>
      <c r="K507" t="s">
        <v>185</v>
      </c>
      <c r="L507">
        <f>IF(Table_TRM_Fixtures[[#This Row],[Technology]]="LED", Table_TRM_Fixtures[[#This Row],[Fixture Watts  (TRM Data)]], Table_TRM_Fixtures[[#This Row],[Lamp Watts  (TRM Data)]])</f>
        <v>455</v>
      </c>
      <c r="M507" t="str">
        <f>Table_TRM_Fixtures[[#This Row],[No. of Lamps  (TRM Data)]]</f>
        <v>N/A</v>
      </c>
      <c r="N507" t="s">
        <v>186</v>
      </c>
      <c r="O507" t="s">
        <v>186</v>
      </c>
      <c r="P507" t="s">
        <v>187</v>
      </c>
      <c r="S507" t="s">
        <v>1196</v>
      </c>
      <c r="T507" t="str">
        <f>Table_TRM_Fixtures[[#This Row],[Fixture code  (TRM Data)]]</f>
        <v>LED455-FIXT</v>
      </c>
      <c r="U507" t="s">
        <v>2883</v>
      </c>
      <c r="V507" t="s">
        <v>185</v>
      </c>
      <c r="W507" t="s">
        <v>3120</v>
      </c>
      <c r="X507" t="s">
        <v>186</v>
      </c>
      <c r="AA507">
        <f>IF(Table_TRM_Fixtures[[#This Row],[Pre-EISA Baseline]]="Nominal", Table_TRM_Fixtures[[#This Row],[Fixture Watts  (TRM Data)]], Table_TRM_Fixtures[[#This Row],[Modified Baseline Fixture Watts]])</f>
        <v>455</v>
      </c>
    </row>
    <row r="508" spans="1:27" x14ac:dyDescent="0.2">
      <c r="A508" t="s">
        <v>1199</v>
      </c>
      <c r="B508" t="s">
        <v>4633</v>
      </c>
      <c r="C508" t="s">
        <v>4634</v>
      </c>
      <c r="D508" t="s">
        <v>4635</v>
      </c>
      <c r="E508" t="s">
        <v>187</v>
      </c>
      <c r="F508" t="s">
        <v>186</v>
      </c>
      <c r="G508" t="s">
        <v>186</v>
      </c>
      <c r="H508">
        <v>456</v>
      </c>
      <c r="I508">
        <v>15</v>
      </c>
      <c r="J508" s="110">
        <v>506</v>
      </c>
      <c r="K508" t="s">
        <v>185</v>
      </c>
      <c r="L508">
        <f>IF(Table_TRM_Fixtures[[#This Row],[Technology]]="LED", Table_TRM_Fixtures[[#This Row],[Fixture Watts  (TRM Data)]], Table_TRM_Fixtures[[#This Row],[Lamp Watts  (TRM Data)]])</f>
        <v>456</v>
      </c>
      <c r="M508" t="str">
        <f>Table_TRM_Fixtures[[#This Row],[No. of Lamps  (TRM Data)]]</f>
        <v>N/A</v>
      </c>
      <c r="N508" t="s">
        <v>186</v>
      </c>
      <c r="O508" t="s">
        <v>186</v>
      </c>
      <c r="P508" t="s">
        <v>187</v>
      </c>
      <c r="S508" t="s">
        <v>1198</v>
      </c>
      <c r="T508" t="str">
        <f>Table_TRM_Fixtures[[#This Row],[Fixture code  (TRM Data)]]</f>
        <v>LED456-FIXT</v>
      </c>
      <c r="U508" t="s">
        <v>2883</v>
      </c>
      <c r="V508" t="s">
        <v>185</v>
      </c>
      <c r="W508" t="s">
        <v>3120</v>
      </c>
      <c r="X508" t="s">
        <v>186</v>
      </c>
      <c r="AA508">
        <f>IF(Table_TRM_Fixtures[[#This Row],[Pre-EISA Baseline]]="Nominal", Table_TRM_Fixtures[[#This Row],[Fixture Watts  (TRM Data)]], Table_TRM_Fixtures[[#This Row],[Modified Baseline Fixture Watts]])</f>
        <v>456</v>
      </c>
    </row>
    <row r="509" spans="1:27" x14ac:dyDescent="0.2">
      <c r="A509" t="s">
        <v>1201</v>
      </c>
      <c r="B509" t="s">
        <v>4636</v>
      </c>
      <c r="C509" t="s">
        <v>4637</v>
      </c>
      <c r="D509" t="s">
        <v>4638</v>
      </c>
      <c r="E509" t="s">
        <v>187</v>
      </c>
      <c r="F509" t="s">
        <v>186</v>
      </c>
      <c r="G509" t="s">
        <v>186</v>
      </c>
      <c r="H509">
        <v>457</v>
      </c>
      <c r="I509">
        <v>15</v>
      </c>
      <c r="J509" s="110">
        <v>507</v>
      </c>
      <c r="K509" t="s">
        <v>185</v>
      </c>
      <c r="L509">
        <f>IF(Table_TRM_Fixtures[[#This Row],[Technology]]="LED", Table_TRM_Fixtures[[#This Row],[Fixture Watts  (TRM Data)]], Table_TRM_Fixtures[[#This Row],[Lamp Watts  (TRM Data)]])</f>
        <v>457</v>
      </c>
      <c r="M509" t="str">
        <f>Table_TRM_Fixtures[[#This Row],[No. of Lamps  (TRM Data)]]</f>
        <v>N/A</v>
      </c>
      <c r="N509" t="s">
        <v>186</v>
      </c>
      <c r="O509" t="s">
        <v>186</v>
      </c>
      <c r="P509" t="s">
        <v>187</v>
      </c>
      <c r="S509" t="s">
        <v>1200</v>
      </c>
      <c r="T509" t="str">
        <f>Table_TRM_Fixtures[[#This Row],[Fixture code  (TRM Data)]]</f>
        <v>LED457-FIXT</v>
      </c>
      <c r="U509" t="s">
        <v>2883</v>
      </c>
      <c r="V509" t="s">
        <v>185</v>
      </c>
      <c r="W509" t="s">
        <v>3120</v>
      </c>
      <c r="X509" t="s">
        <v>186</v>
      </c>
      <c r="AA509">
        <f>IF(Table_TRM_Fixtures[[#This Row],[Pre-EISA Baseline]]="Nominal", Table_TRM_Fixtures[[#This Row],[Fixture Watts  (TRM Data)]], Table_TRM_Fixtures[[#This Row],[Modified Baseline Fixture Watts]])</f>
        <v>457</v>
      </c>
    </row>
    <row r="510" spans="1:27" x14ac:dyDescent="0.2">
      <c r="A510" t="s">
        <v>1203</v>
      </c>
      <c r="B510" t="s">
        <v>4639</v>
      </c>
      <c r="C510" t="s">
        <v>4640</v>
      </c>
      <c r="D510" t="s">
        <v>4641</v>
      </c>
      <c r="E510" t="s">
        <v>187</v>
      </c>
      <c r="F510" t="s">
        <v>186</v>
      </c>
      <c r="G510" t="s">
        <v>186</v>
      </c>
      <c r="H510">
        <v>458</v>
      </c>
      <c r="I510">
        <v>15</v>
      </c>
      <c r="J510" s="110">
        <v>508</v>
      </c>
      <c r="K510" t="s">
        <v>185</v>
      </c>
      <c r="L510">
        <f>IF(Table_TRM_Fixtures[[#This Row],[Technology]]="LED", Table_TRM_Fixtures[[#This Row],[Fixture Watts  (TRM Data)]], Table_TRM_Fixtures[[#This Row],[Lamp Watts  (TRM Data)]])</f>
        <v>458</v>
      </c>
      <c r="M510" t="str">
        <f>Table_TRM_Fixtures[[#This Row],[No. of Lamps  (TRM Data)]]</f>
        <v>N/A</v>
      </c>
      <c r="N510" t="s">
        <v>186</v>
      </c>
      <c r="O510" t="s">
        <v>186</v>
      </c>
      <c r="P510" t="s">
        <v>187</v>
      </c>
      <c r="S510" t="s">
        <v>1202</v>
      </c>
      <c r="T510" t="str">
        <f>Table_TRM_Fixtures[[#This Row],[Fixture code  (TRM Data)]]</f>
        <v>LED458-FIXT</v>
      </c>
      <c r="U510" t="s">
        <v>2883</v>
      </c>
      <c r="V510" t="s">
        <v>185</v>
      </c>
      <c r="W510" t="s">
        <v>3120</v>
      </c>
      <c r="X510" t="s">
        <v>186</v>
      </c>
      <c r="AA510">
        <f>IF(Table_TRM_Fixtures[[#This Row],[Pre-EISA Baseline]]="Nominal", Table_TRM_Fixtures[[#This Row],[Fixture Watts  (TRM Data)]], Table_TRM_Fixtures[[#This Row],[Modified Baseline Fixture Watts]])</f>
        <v>458</v>
      </c>
    </row>
    <row r="511" spans="1:27" x14ac:dyDescent="0.2">
      <c r="A511" t="s">
        <v>1205</v>
      </c>
      <c r="B511" t="s">
        <v>4642</v>
      </c>
      <c r="C511" t="s">
        <v>4643</v>
      </c>
      <c r="D511" t="s">
        <v>4644</v>
      </c>
      <c r="E511" t="s">
        <v>187</v>
      </c>
      <c r="F511" t="s">
        <v>186</v>
      </c>
      <c r="G511" t="s">
        <v>186</v>
      </c>
      <c r="H511">
        <v>459</v>
      </c>
      <c r="I511">
        <v>15</v>
      </c>
      <c r="J511" s="110">
        <v>509</v>
      </c>
      <c r="K511" t="s">
        <v>185</v>
      </c>
      <c r="L511">
        <f>IF(Table_TRM_Fixtures[[#This Row],[Technology]]="LED", Table_TRM_Fixtures[[#This Row],[Fixture Watts  (TRM Data)]], Table_TRM_Fixtures[[#This Row],[Lamp Watts  (TRM Data)]])</f>
        <v>459</v>
      </c>
      <c r="M511" t="str">
        <f>Table_TRM_Fixtures[[#This Row],[No. of Lamps  (TRM Data)]]</f>
        <v>N/A</v>
      </c>
      <c r="N511" t="s">
        <v>186</v>
      </c>
      <c r="O511" t="s">
        <v>186</v>
      </c>
      <c r="P511" t="s">
        <v>187</v>
      </c>
      <c r="S511" t="s">
        <v>1204</v>
      </c>
      <c r="T511" t="str">
        <f>Table_TRM_Fixtures[[#This Row],[Fixture code  (TRM Data)]]</f>
        <v>LED459-FIXT</v>
      </c>
      <c r="U511" t="s">
        <v>2883</v>
      </c>
      <c r="V511" t="s">
        <v>185</v>
      </c>
      <c r="W511" t="s">
        <v>3120</v>
      </c>
      <c r="X511" t="s">
        <v>186</v>
      </c>
      <c r="AA511">
        <f>IF(Table_TRM_Fixtures[[#This Row],[Pre-EISA Baseline]]="Nominal", Table_TRM_Fixtures[[#This Row],[Fixture Watts  (TRM Data)]], Table_TRM_Fixtures[[#This Row],[Modified Baseline Fixture Watts]])</f>
        <v>459</v>
      </c>
    </row>
    <row r="512" spans="1:27" x14ac:dyDescent="0.2">
      <c r="A512" t="s">
        <v>1207</v>
      </c>
      <c r="B512" t="s">
        <v>4645</v>
      </c>
      <c r="C512" t="s">
        <v>4646</v>
      </c>
      <c r="D512" t="s">
        <v>4647</v>
      </c>
      <c r="E512" t="s">
        <v>187</v>
      </c>
      <c r="F512" t="s">
        <v>186</v>
      </c>
      <c r="G512" t="s">
        <v>186</v>
      </c>
      <c r="H512">
        <v>460</v>
      </c>
      <c r="I512">
        <v>15</v>
      </c>
      <c r="J512" s="110">
        <v>510</v>
      </c>
      <c r="K512" t="s">
        <v>185</v>
      </c>
      <c r="L512">
        <f>IF(Table_TRM_Fixtures[[#This Row],[Technology]]="LED", Table_TRM_Fixtures[[#This Row],[Fixture Watts  (TRM Data)]], Table_TRM_Fixtures[[#This Row],[Lamp Watts  (TRM Data)]])</f>
        <v>460</v>
      </c>
      <c r="M512" t="str">
        <f>Table_TRM_Fixtures[[#This Row],[No. of Lamps  (TRM Data)]]</f>
        <v>N/A</v>
      </c>
      <c r="N512" t="s">
        <v>186</v>
      </c>
      <c r="O512" t="s">
        <v>186</v>
      </c>
      <c r="P512" t="s">
        <v>187</v>
      </c>
      <c r="S512" t="s">
        <v>1206</v>
      </c>
      <c r="T512" t="str">
        <f>Table_TRM_Fixtures[[#This Row],[Fixture code  (TRM Data)]]</f>
        <v>LED460-FIXT</v>
      </c>
      <c r="U512" t="s">
        <v>2883</v>
      </c>
      <c r="V512" t="s">
        <v>185</v>
      </c>
      <c r="W512" t="s">
        <v>3120</v>
      </c>
      <c r="X512" t="s">
        <v>186</v>
      </c>
      <c r="AA512">
        <f>IF(Table_TRM_Fixtures[[#This Row],[Pre-EISA Baseline]]="Nominal", Table_TRM_Fixtures[[#This Row],[Fixture Watts  (TRM Data)]], Table_TRM_Fixtures[[#This Row],[Modified Baseline Fixture Watts]])</f>
        <v>460</v>
      </c>
    </row>
    <row r="513" spans="1:27" x14ac:dyDescent="0.2">
      <c r="A513" t="s">
        <v>1209</v>
      </c>
      <c r="B513" t="s">
        <v>4648</v>
      </c>
      <c r="C513" t="s">
        <v>4649</v>
      </c>
      <c r="D513" t="s">
        <v>4650</v>
      </c>
      <c r="E513" t="s">
        <v>187</v>
      </c>
      <c r="F513" t="s">
        <v>186</v>
      </c>
      <c r="G513" t="s">
        <v>186</v>
      </c>
      <c r="H513">
        <v>461</v>
      </c>
      <c r="I513">
        <v>15</v>
      </c>
      <c r="J513" s="110">
        <v>511</v>
      </c>
      <c r="K513" t="s">
        <v>185</v>
      </c>
      <c r="L513">
        <f>IF(Table_TRM_Fixtures[[#This Row],[Technology]]="LED", Table_TRM_Fixtures[[#This Row],[Fixture Watts  (TRM Data)]], Table_TRM_Fixtures[[#This Row],[Lamp Watts  (TRM Data)]])</f>
        <v>461</v>
      </c>
      <c r="M513" t="str">
        <f>Table_TRM_Fixtures[[#This Row],[No. of Lamps  (TRM Data)]]</f>
        <v>N/A</v>
      </c>
      <c r="N513" t="s">
        <v>186</v>
      </c>
      <c r="O513" t="s">
        <v>186</v>
      </c>
      <c r="P513" t="s">
        <v>187</v>
      </c>
      <c r="S513" t="s">
        <v>1208</v>
      </c>
      <c r="T513" t="str">
        <f>Table_TRM_Fixtures[[#This Row],[Fixture code  (TRM Data)]]</f>
        <v>LED461-FIXT</v>
      </c>
      <c r="U513" t="s">
        <v>2883</v>
      </c>
      <c r="V513" t="s">
        <v>185</v>
      </c>
      <c r="W513" t="s">
        <v>3120</v>
      </c>
      <c r="X513" t="s">
        <v>186</v>
      </c>
      <c r="AA513">
        <f>IF(Table_TRM_Fixtures[[#This Row],[Pre-EISA Baseline]]="Nominal", Table_TRM_Fixtures[[#This Row],[Fixture Watts  (TRM Data)]], Table_TRM_Fixtures[[#This Row],[Modified Baseline Fixture Watts]])</f>
        <v>461</v>
      </c>
    </row>
    <row r="514" spans="1:27" x14ac:dyDescent="0.2">
      <c r="A514" t="s">
        <v>1211</v>
      </c>
      <c r="B514" t="s">
        <v>4651</v>
      </c>
      <c r="C514" t="s">
        <v>4652</v>
      </c>
      <c r="D514" t="s">
        <v>4653</v>
      </c>
      <c r="E514" t="s">
        <v>187</v>
      </c>
      <c r="F514" t="s">
        <v>186</v>
      </c>
      <c r="G514" t="s">
        <v>186</v>
      </c>
      <c r="H514">
        <v>462</v>
      </c>
      <c r="I514">
        <v>15</v>
      </c>
      <c r="J514" s="110">
        <v>512</v>
      </c>
      <c r="K514" t="s">
        <v>185</v>
      </c>
      <c r="L514">
        <f>IF(Table_TRM_Fixtures[[#This Row],[Technology]]="LED", Table_TRM_Fixtures[[#This Row],[Fixture Watts  (TRM Data)]], Table_TRM_Fixtures[[#This Row],[Lamp Watts  (TRM Data)]])</f>
        <v>462</v>
      </c>
      <c r="M514" t="str">
        <f>Table_TRM_Fixtures[[#This Row],[No. of Lamps  (TRM Data)]]</f>
        <v>N/A</v>
      </c>
      <c r="N514" t="s">
        <v>186</v>
      </c>
      <c r="O514" t="s">
        <v>186</v>
      </c>
      <c r="P514" t="s">
        <v>187</v>
      </c>
      <c r="S514" t="s">
        <v>1210</v>
      </c>
      <c r="T514" t="str">
        <f>Table_TRM_Fixtures[[#This Row],[Fixture code  (TRM Data)]]</f>
        <v>LED462-FIXT</v>
      </c>
      <c r="U514" t="s">
        <v>2883</v>
      </c>
      <c r="V514" t="s">
        <v>185</v>
      </c>
      <c r="W514" t="s">
        <v>3120</v>
      </c>
      <c r="X514" t="s">
        <v>186</v>
      </c>
      <c r="AA514">
        <f>IF(Table_TRM_Fixtures[[#This Row],[Pre-EISA Baseline]]="Nominal", Table_TRM_Fixtures[[#This Row],[Fixture Watts  (TRM Data)]], Table_TRM_Fixtures[[#This Row],[Modified Baseline Fixture Watts]])</f>
        <v>462</v>
      </c>
    </row>
    <row r="515" spans="1:27" x14ac:dyDescent="0.2">
      <c r="A515" t="s">
        <v>1213</v>
      </c>
      <c r="B515" t="s">
        <v>4654</v>
      </c>
      <c r="C515" t="s">
        <v>4655</v>
      </c>
      <c r="D515" t="s">
        <v>4656</v>
      </c>
      <c r="E515" t="s">
        <v>187</v>
      </c>
      <c r="F515" t="s">
        <v>186</v>
      </c>
      <c r="G515" t="s">
        <v>186</v>
      </c>
      <c r="H515">
        <v>463</v>
      </c>
      <c r="I515">
        <v>15</v>
      </c>
      <c r="J515" s="110">
        <v>513</v>
      </c>
      <c r="K515" t="s">
        <v>185</v>
      </c>
      <c r="L515">
        <f>IF(Table_TRM_Fixtures[[#This Row],[Technology]]="LED", Table_TRM_Fixtures[[#This Row],[Fixture Watts  (TRM Data)]], Table_TRM_Fixtures[[#This Row],[Lamp Watts  (TRM Data)]])</f>
        <v>463</v>
      </c>
      <c r="M515" t="str">
        <f>Table_TRM_Fixtures[[#This Row],[No. of Lamps  (TRM Data)]]</f>
        <v>N/A</v>
      </c>
      <c r="N515" t="s">
        <v>186</v>
      </c>
      <c r="O515" t="s">
        <v>186</v>
      </c>
      <c r="P515" t="s">
        <v>187</v>
      </c>
      <c r="S515" t="s">
        <v>1212</v>
      </c>
      <c r="T515" t="str">
        <f>Table_TRM_Fixtures[[#This Row],[Fixture code  (TRM Data)]]</f>
        <v>LED463-FIXT</v>
      </c>
      <c r="U515" t="s">
        <v>2883</v>
      </c>
      <c r="V515" t="s">
        <v>185</v>
      </c>
      <c r="W515" t="s">
        <v>3120</v>
      </c>
      <c r="X515" t="s">
        <v>186</v>
      </c>
      <c r="AA515">
        <f>IF(Table_TRM_Fixtures[[#This Row],[Pre-EISA Baseline]]="Nominal", Table_TRM_Fixtures[[#This Row],[Fixture Watts  (TRM Data)]], Table_TRM_Fixtures[[#This Row],[Modified Baseline Fixture Watts]])</f>
        <v>463</v>
      </c>
    </row>
    <row r="516" spans="1:27" x14ac:dyDescent="0.2">
      <c r="A516" t="s">
        <v>1215</v>
      </c>
      <c r="B516" t="s">
        <v>4657</v>
      </c>
      <c r="C516" t="s">
        <v>4658</v>
      </c>
      <c r="D516" t="s">
        <v>4659</v>
      </c>
      <c r="E516" t="s">
        <v>187</v>
      </c>
      <c r="F516" t="s">
        <v>186</v>
      </c>
      <c r="G516" t="s">
        <v>186</v>
      </c>
      <c r="H516">
        <v>464</v>
      </c>
      <c r="I516">
        <v>15</v>
      </c>
      <c r="J516" s="110">
        <v>514</v>
      </c>
      <c r="K516" t="s">
        <v>185</v>
      </c>
      <c r="L516">
        <f>IF(Table_TRM_Fixtures[[#This Row],[Technology]]="LED", Table_TRM_Fixtures[[#This Row],[Fixture Watts  (TRM Data)]], Table_TRM_Fixtures[[#This Row],[Lamp Watts  (TRM Data)]])</f>
        <v>464</v>
      </c>
      <c r="M516" t="str">
        <f>Table_TRM_Fixtures[[#This Row],[No. of Lamps  (TRM Data)]]</f>
        <v>N/A</v>
      </c>
      <c r="N516" t="s">
        <v>186</v>
      </c>
      <c r="O516" t="s">
        <v>186</v>
      </c>
      <c r="P516" t="s">
        <v>187</v>
      </c>
      <c r="S516" t="s">
        <v>1214</v>
      </c>
      <c r="T516" t="str">
        <f>Table_TRM_Fixtures[[#This Row],[Fixture code  (TRM Data)]]</f>
        <v>LED464-FIXT</v>
      </c>
      <c r="U516" t="s">
        <v>2883</v>
      </c>
      <c r="V516" t="s">
        <v>185</v>
      </c>
      <c r="W516" t="s">
        <v>3120</v>
      </c>
      <c r="X516" t="s">
        <v>186</v>
      </c>
      <c r="AA516">
        <f>IF(Table_TRM_Fixtures[[#This Row],[Pre-EISA Baseline]]="Nominal", Table_TRM_Fixtures[[#This Row],[Fixture Watts  (TRM Data)]], Table_TRM_Fixtures[[#This Row],[Modified Baseline Fixture Watts]])</f>
        <v>464</v>
      </c>
    </row>
    <row r="517" spans="1:27" x14ac:dyDescent="0.2">
      <c r="A517" t="s">
        <v>1217</v>
      </c>
      <c r="B517" t="s">
        <v>4660</v>
      </c>
      <c r="C517" t="s">
        <v>4661</v>
      </c>
      <c r="D517" t="s">
        <v>4662</v>
      </c>
      <c r="E517" t="s">
        <v>187</v>
      </c>
      <c r="F517" t="s">
        <v>186</v>
      </c>
      <c r="G517" t="s">
        <v>186</v>
      </c>
      <c r="H517">
        <v>465</v>
      </c>
      <c r="I517">
        <v>15</v>
      </c>
      <c r="J517" s="110">
        <v>515</v>
      </c>
      <c r="K517" t="s">
        <v>185</v>
      </c>
      <c r="L517">
        <f>IF(Table_TRM_Fixtures[[#This Row],[Technology]]="LED", Table_TRM_Fixtures[[#This Row],[Fixture Watts  (TRM Data)]], Table_TRM_Fixtures[[#This Row],[Lamp Watts  (TRM Data)]])</f>
        <v>465</v>
      </c>
      <c r="M517" t="str">
        <f>Table_TRM_Fixtures[[#This Row],[No. of Lamps  (TRM Data)]]</f>
        <v>N/A</v>
      </c>
      <c r="N517" t="s">
        <v>186</v>
      </c>
      <c r="O517" t="s">
        <v>186</v>
      </c>
      <c r="P517" t="s">
        <v>187</v>
      </c>
      <c r="S517" t="s">
        <v>1216</v>
      </c>
      <c r="T517" t="str">
        <f>Table_TRM_Fixtures[[#This Row],[Fixture code  (TRM Data)]]</f>
        <v>LED465-FIXT</v>
      </c>
      <c r="U517" t="s">
        <v>2883</v>
      </c>
      <c r="V517" t="s">
        <v>185</v>
      </c>
      <c r="W517" t="s">
        <v>3120</v>
      </c>
      <c r="X517" t="s">
        <v>186</v>
      </c>
      <c r="AA517">
        <f>IF(Table_TRM_Fixtures[[#This Row],[Pre-EISA Baseline]]="Nominal", Table_TRM_Fixtures[[#This Row],[Fixture Watts  (TRM Data)]], Table_TRM_Fixtures[[#This Row],[Modified Baseline Fixture Watts]])</f>
        <v>465</v>
      </c>
    </row>
    <row r="518" spans="1:27" x14ac:dyDescent="0.2">
      <c r="A518" t="s">
        <v>1219</v>
      </c>
      <c r="B518" t="s">
        <v>4663</v>
      </c>
      <c r="C518" t="s">
        <v>4664</v>
      </c>
      <c r="D518" t="s">
        <v>4665</v>
      </c>
      <c r="E518" t="s">
        <v>187</v>
      </c>
      <c r="F518" t="s">
        <v>186</v>
      </c>
      <c r="G518" t="s">
        <v>186</v>
      </c>
      <c r="H518">
        <v>466</v>
      </c>
      <c r="I518">
        <v>15</v>
      </c>
      <c r="J518" s="110">
        <v>516</v>
      </c>
      <c r="K518" t="s">
        <v>185</v>
      </c>
      <c r="L518">
        <f>IF(Table_TRM_Fixtures[[#This Row],[Technology]]="LED", Table_TRM_Fixtures[[#This Row],[Fixture Watts  (TRM Data)]], Table_TRM_Fixtures[[#This Row],[Lamp Watts  (TRM Data)]])</f>
        <v>466</v>
      </c>
      <c r="M518" t="str">
        <f>Table_TRM_Fixtures[[#This Row],[No. of Lamps  (TRM Data)]]</f>
        <v>N/A</v>
      </c>
      <c r="N518" t="s">
        <v>186</v>
      </c>
      <c r="O518" t="s">
        <v>186</v>
      </c>
      <c r="P518" t="s">
        <v>187</v>
      </c>
      <c r="S518" t="s">
        <v>1218</v>
      </c>
      <c r="T518" t="str">
        <f>Table_TRM_Fixtures[[#This Row],[Fixture code  (TRM Data)]]</f>
        <v>LED466-FIXT</v>
      </c>
      <c r="U518" t="s">
        <v>2883</v>
      </c>
      <c r="V518" t="s">
        <v>185</v>
      </c>
      <c r="W518" t="s">
        <v>3120</v>
      </c>
      <c r="X518" t="s">
        <v>186</v>
      </c>
      <c r="AA518">
        <f>IF(Table_TRM_Fixtures[[#This Row],[Pre-EISA Baseline]]="Nominal", Table_TRM_Fixtures[[#This Row],[Fixture Watts  (TRM Data)]], Table_TRM_Fixtures[[#This Row],[Modified Baseline Fixture Watts]])</f>
        <v>466</v>
      </c>
    </row>
    <row r="519" spans="1:27" x14ac:dyDescent="0.2">
      <c r="A519" t="s">
        <v>1221</v>
      </c>
      <c r="B519" t="s">
        <v>4666</v>
      </c>
      <c r="C519" t="s">
        <v>4667</v>
      </c>
      <c r="D519" t="s">
        <v>4668</v>
      </c>
      <c r="E519" t="s">
        <v>187</v>
      </c>
      <c r="F519" t="s">
        <v>186</v>
      </c>
      <c r="G519" t="s">
        <v>186</v>
      </c>
      <c r="H519">
        <v>467</v>
      </c>
      <c r="I519">
        <v>15</v>
      </c>
      <c r="J519" s="110">
        <v>517</v>
      </c>
      <c r="K519" t="s">
        <v>185</v>
      </c>
      <c r="L519">
        <f>IF(Table_TRM_Fixtures[[#This Row],[Technology]]="LED", Table_TRM_Fixtures[[#This Row],[Fixture Watts  (TRM Data)]], Table_TRM_Fixtures[[#This Row],[Lamp Watts  (TRM Data)]])</f>
        <v>467</v>
      </c>
      <c r="M519" t="str">
        <f>Table_TRM_Fixtures[[#This Row],[No. of Lamps  (TRM Data)]]</f>
        <v>N/A</v>
      </c>
      <c r="N519" t="s">
        <v>186</v>
      </c>
      <c r="O519" t="s">
        <v>186</v>
      </c>
      <c r="P519" t="s">
        <v>187</v>
      </c>
      <c r="S519" t="s">
        <v>1220</v>
      </c>
      <c r="T519" t="str">
        <f>Table_TRM_Fixtures[[#This Row],[Fixture code  (TRM Data)]]</f>
        <v>LED467-FIXT</v>
      </c>
      <c r="U519" t="s">
        <v>2883</v>
      </c>
      <c r="V519" t="s">
        <v>185</v>
      </c>
      <c r="W519" t="s">
        <v>3120</v>
      </c>
      <c r="X519" t="s">
        <v>186</v>
      </c>
      <c r="AA519">
        <f>IF(Table_TRM_Fixtures[[#This Row],[Pre-EISA Baseline]]="Nominal", Table_TRM_Fixtures[[#This Row],[Fixture Watts  (TRM Data)]], Table_TRM_Fixtures[[#This Row],[Modified Baseline Fixture Watts]])</f>
        <v>467</v>
      </c>
    </row>
    <row r="520" spans="1:27" x14ac:dyDescent="0.2">
      <c r="A520" t="s">
        <v>1223</v>
      </c>
      <c r="B520" t="s">
        <v>4669</v>
      </c>
      <c r="C520" t="s">
        <v>4670</v>
      </c>
      <c r="D520" t="s">
        <v>4671</v>
      </c>
      <c r="E520" t="s">
        <v>187</v>
      </c>
      <c r="F520" t="s">
        <v>186</v>
      </c>
      <c r="G520" t="s">
        <v>186</v>
      </c>
      <c r="H520">
        <v>468</v>
      </c>
      <c r="I520">
        <v>15</v>
      </c>
      <c r="J520" s="110">
        <v>518</v>
      </c>
      <c r="K520" t="s">
        <v>185</v>
      </c>
      <c r="L520">
        <f>IF(Table_TRM_Fixtures[[#This Row],[Technology]]="LED", Table_TRM_Fixtures[[#This Row],[Fixture Watts  (TRM Data)]], Table_TRM_Fixtures[[#This Row],[Lamp Watts  (TRM Data)]])</f>
        <v>468</v>
      </c>
      <c r="M520" t="str">
        <f>Table_TRM_Fixtures[[#This Row],[No. of Lamps  (TRM Data)]]</f>
        <v>N/A</v>
      </c>
      <c r="N520" t="s">
        <v>186</v>
      </c>
      <c r="O520" t="s">
        <v>186</v>
      </c>
      <c r="P520" t="s">
        <v>187</v>
      </c>
      <c r="S520" t="s">
        <v>1222</v>
      </c>
      <c r="T520" t="str">
        <f>Table_TRM_Fixtures[[#This Row],[Fixture code  (TRM Data)]]</f>
        <v>LED468-FIXT</v>
      </c>
      <c r="U520" t="s">
        <v>2883</v>
      </c>
      <c r="V520" t="s">
        <v>185</v>
      </c>
      <c r="W520" t="s">
        <v>3120</v>
      </c>
      <c r="X520" t="s">
        <v>186</v>
      </c>
      <c r="AA520">
        <f>IF(Table_TRM_Fixtures[[#This Row],[Pre-EISA Baseline]]="Nominal", Table_TRM_Fixtures[[#This Row],[Fixture Watts  (TRM Data)]], Table_TRM_Fixtures[[#This Row],[Modified Baseline Fixture Watts]])</f>
        <v>468</v>
      </c>
    </row>
    <row r="521" spans="1:27" x14ac:dyDescent="0.2">
      <c r="A521" t="s">
        <v>1225</v>
      </c>
      <c r="B521" t="s">
        <v>4672</v>
      </c>
      <c r="C521" t="s">
        <v>4673</v>
      </c>
      <c r="D521" t="s">
        <v>4674</v>
      </c>
      <c r="E521" t="s">
        <v>187</v>
      </c>
      <c r="F521" t="s">
        <v>186</v>
      </c>
      <c r="G521" t="s">
        <v>186</v>
      </c>
      <c r="H521">
        <v>469</v>
      </c>
      <c r="I521">
        <v>15</v>
      </c>
      <c r="J521" s="110">
        <v>519</v>
      </c>
      <c r="K521" t="s">
        <v>185</v>
      </c>
      <c r="L521">
        <f>IF(Table_TRM_Fixtures[[#This Row],[Technology]]="LED", Table_TRM_Fixtures[[#This Row],[Fixture Watts  (TRM Data)]], Table_TRM_Fixtures[[#This Row],[Lamp Watts  (TRM Data)]])</f>
        <v>469</v>
      </c>
      <c r="M521" t="str">
        <f>Table_TRM_Fixtures[[#This Row],[No. of Lamps  (TRM Data)]]</f>
        <v>N/A</v>
      </c>
      <c r="N521" t="s">
        <v>186</v>
      </c>
      <c r="O521" t="s">
        <v>186</v>
      </c>
      <c r="P521" t="s">
        <v>187</v>
      </c>
      <c r="S521" t="s">
        <v>1224</v>
      </c>
      <c r="T521" t="str">
        <f>Table_TRM_Fixtures[[#This Row],[Fixture code  (TRM Data)]]</f>
        <v>LED469-FIXT</v>
      </c>
      <c r="U521" t="s">
        <v>2883</v>
      </c>
      <c r="V521" t="s">
        <v>185</v>
      </c>
      <c r="W521" t="s">
        <v>3120</v>
      </c>
      <c r="X521" t="s">
        <v>186</v>
      </c>
      <c r="AA521">
        <f>IF(Table_TRM_Fixtures[[#This Row],[Pre-EISA Baseline]]="Nominal", Table_TRM_Fixtures[[#This Row],[Fixture Watts  (TRM Data)]], Table_TRM_Fixtures[[#This Row],[Modified Baseline Fixture Watts]])</f>
        <v>469</v>
      </c>
    </row>
    <row r="522" spans="1:27" x14ac:dyDescent="0.2">
      <c r="A522" t="s">
        <v>1227</v>
      </c>
      <c r="B522" t="s">
        <v>4675</v>
      </c>
      <c r="C522" t="s">
        <v>4676</v>
      </c>
      <c r="D522" t="s">
        <v>4677</v>
      </c>
      <c r="E522" t="s">
        <v>187</v>
      </c>
      <c r="F522" t="s">
        <v>186</v>
      </c>
      <c r="G522" t="s">
        <v>186</v>
      </c>
      <c r="H522">
        <v>470</v>
      </c>
      <c r="I522">
        <v>15</v>
      </c>
      <c r="J522" s="110">
        <v>520</v>
      </c>
      <c r="K522" t="s">
        <v>185</v>
      </c>
      <c r="L522">
        <f>IF(Table_TRM_Fixtures[[#This Row],[Technology]]="LED", Table_TRM_Fixtures[[#This Row],[Fixture Watts  (TRM Data)]], Table_TRM_Fixtures[[#This Row],[Lamp Watts  (TRM Data)]])</f>
        <v>470</v>
      </c>
      <c r="M522" t="str">
        <f>Table_TRM_Fixtures[[#This Row],[No. of Lamps  (TRM Data)]]</f>
        <v>N/A</v>
      </c>
      <c r="N522" t="s">
        <v>186</v>
      </c>
      <c r="O522" t="s">
        <v>186</v>
      </c>
      <c r="P522" t="s">
        <v>187</v>
      </c>
      <c r="S522" t="s">
        <v>1226</v>
      </c>
      <c r="T522" t="str">
        <f>Table_TRM_Fixtures[[#This Row],[Fixture code  (TRM Data)]]</f>
        <v>LED470-FIXT</v>
      </c>
      <c r="U522" t="s">
        <v>2883</v>
      </c>
      <c r="V522" t="s">
        <v>185</v>
      </c>
      <c r="W522" t="s">
        <v>3120</v>
      </c>
      <c r="X522" t="s">
        <v>186</v>
      </c>
      <c r="AA522">
        <f>IF(Table_TRM_Fixtures[[#This Row],[Pre-EISA Baseline]]="Nominal", Table_TRM_Fixtures[[#This Row],[Fixture Watts  (TRM Data)]], Table_TRM_Fixtures[[#This Row],[Modified Baseline Fixture Watts]])</f>
        <v>470</v>
      </c>
    </row>
    <row r="523" spans="1:27" x14ac:dyDescent="0.2">
      <c r="A523" t="s">
        <v>1229</v>
      </c>
      <c r="B523" t="s">
        <v>4678</v>
      </c>
      <c r="C523" t="s">
        <v>4679</v>
      </c>
      <c r="D523" t="s">
        <v>4680</v>
      </c>
      <c r="E523" t="s">
        <v>187</v>
      </c>
      <c r="F523" t="s">
        <v>186</v>
      </c>
      <c r="G523" t="s">
        <v>186</v>
      </c>
      <c r="H523">
        <v>471</v>
      </c>
      <c r="I523">
        <v>15</v>
      </c>
      <c r="J523" s="110">
        <v>521</v>
      </c>
      <c r="K523" t="s">
        <v>185</v>
      </c>
      <c r="L523">
        <f>IF(Table_TRM_Fixtures[[#This Row],[Technology]]="LED", Table_TRM_Fixtures[[#This Row],[Fixture Watts  (TRM Data)]], Table_TRM_Fixtures[[#This Row],[Lamp Watts  (TRM Data)]])</f>
        <v>471</v>
      </c>
      <c r="M523" t="str">
        <f>Table_TRM_Fixtures[[#This Row],[No. of Lamps  (TRM Data)]]</f>
        <v>N/A</v>
      </c>
      <c r="N523" t="s">
        <v>186</v>
      </c>
      <c r="O523" t="s">
        <v>186</v>
      </c>
      <c r="P523" t="s">
        <v>187</v>
      </c>
      <c r="S523" t="s">
        <v>1228</v>
      </c>
      <c r="T523" t="str">
        <f>Table_TRM_Fixtures[[#This Row],[Fixture code  (TRM Data)]]</f>
        <v>LED471-FIXT</v>
      </c>
      <c r="U523" t="s">
        <v>2883</v>
      </c>
      <c r="V523" t="s">
        <v>185</v>
      </c>
      <c r="W523" t="s">
        <v>3120</v>
      </c>
      <c r="X523" t="s">
        <v>186</v>
      </c>
      <c r="AA523">
        <f>IF(Table_TRM_Fixtures[[#This Row],[Pre-EISA Baseline]]="Nominal", Table_TRM_Fixtures[[#This Row],[Fixture Watts  (TRM Data)]], Table_TRM_Fixtures[[#This Row],[Modified Baseline Fixture Watts]])</f>
        <v>471</v>
      </c>
    </row>
    <row r="524" spans="1:27" x14ac:dyDescent="0.2">
      <c r="A524" t="s">
        <v>1231</v>
      </c>
      <c r="B524" t="s">
        <v>4681</v>
      </c>
      <c r="C524" t="s">
        <v>4682</v>
      </c>
      <c r="D524" t="s">
        <v>4683</v>
      </c>
      <c r="E524" t="s">
        <v>187</v>
      </c>
      <c r="F524" t="s">
        <v>186</v>
      </c>
      <c r="G524" t="s">
        <v>186</v>
      </c>
      <c r="H524">
        <v>472</v>
      </c>
      <c r="I524">
        <v>15</v>
      </c>
      <c r="J524" s="110">
        <v>522</v>
      </c>
      <c r="K524" t="s">
        <v>185</v>
      </c>
      <c r="L524">
        <f>IF(Table_TRM_Fixtures[[#This Row],[Technology]]="LED", Table_TRM_Fixtures[[#This Row],[Fixture Watts  (TRM Data)]], Table_TRM_Fixtures[[#This Row],[Lamp Watts  (TRM Data)]])</f>
        <v>472</v>
      </c>
      <c r="M524" t="str">
        <f>Table_TRM_Fixtures[[#This Row],[No. of Lamps  (TRM Data)]]</f>
        <v>N/A</v>
      </c>
      <c r="N524" t="s">
        <v>186</v>
      </c>
      <c r="O524" t="s">
        <v>186</v>
      </c>
      <c r="P524" t="s">
        <v>187</v>
      </c>
      <c r="S524" t="s">
        <v>1230</v>
      </c>
      <c r="T524" t="str">
        <f>Table_TRM_Fixtures[[#This Row],[Fixture code  (TRM Data)]]</f>
        <v>LED472-FIXT</v>
      </c>
      <c r="U524" t="s">
        <v>2883</v>
      </c>
      <c r="V524" t="s">
        <v>185</v>
      </c>
      <c r="W524" t="s">
        <v>3120</v>
      </c>
      <c r="X524" t="s">
        <v>186</v>
      </c>
      <c r="AA524">
        <f>IF(Table_TRM_Fixtures[[#This Row],[Pre-EISA Baseline]]="Nominal", Table_TRM_Fixtures[[#This Row],[Fixture Watts  (TRM Data)]], Table_TRM_Fixtures[[#This Row],[Modified Baseline Fixture Watts]])</f>
        <v>472</v>
      </c>
    </row>
    <row r="525" spans="1:27" x14ac:dyDescent="0.2">
      <c r="A525" t="s">
        <v>1233</v>
      </c>
      <c r="B525" t="s">
        <v>4684</v>
      </c>
      <c r="C525" t="s">
        <v>4685</v>
      </c>
      <c r="D525" t="s">
        <v>4686</v>
      </c>
      <c r="E525" t="s">
        <v>187</v>
      </c>
      <c r="F525" t="s">
        <v>186</v>
      </c>
      <c r="G525" t="s">
        <v>186</v>
      </c>
      <c r="H525">
        <v>473</v>
      </c>
      <c r="I525">
        <v>15</v>
      </c>
      <c r="J525" s="110">
        <v>523</v>
      </c>
      <c r="K525" t="s">
        <v>185</v>
      </c>
      <c r="L525">
        <f>IF(Table_TRM_Fixtures[[#This Row],[Technology]]="LED", Table_TRM_Fixtures[[#This Row],[Fixture Watts  (TRM Data)]], Table_TRM_Fixtures[[#This Row],[Lamp Watts  (TRM Data)]])</f>
        <v>473</v>
      </c>
      <c r="M525" t="str">
        <f>Table_TRM_Fixtures[[#This Row],[No. of Lamps  (TRM Data)]]</f>
        <v>N/A</v>
      </c>
      <c r="N525" t="s">
        <v>186</v>
      </c>
      <c r="O525" t="s">
        <v>186</v>
      </c>
      <c r="P525" t="s">
        <v>187</v>
      </c>
      <c r="S525" t="s">
        <v>1232</v>
      </c>
      <c r="T525" t="str">
        <f>Table_TRM_Fixtures[[#This Row],[Fixture code  (TRM Data)]]</f>
        <v>LED473-FIXT</v>
      </c>
      <c r="U525" t="s">
        <v>2883</v>
      </c>
      <c r="V525" t="s">
        <v>185</v>
      </c>
      <c r="W525" t="s">
        <v>3120</v>
      </c>
      <c r="X525" t="s">
        <v>186</v>
      </c>
      <c r="AA525">
        <f>IF(Table_TRM_Fixtures[[#This Row],[Pre-EISA Baseline]]="Nominal", Table_TRM_Fixtures[[#This Row],[Fixture Watts  (TRM Data)]], Table_TRM_Fixtures[[#This Row],[Modified Baseline Fixture Watts]])</f>
        <v>473</v>
      </c>
    </row>
    <row r="526" spans="1:27" x14ac:dyDescent="0.2">
      <c r="A526" t="s">
        <v>1235</v>
      </c>
      <c r="B526" t="s">
        <v>4687</v>
      </c>
      <c r="C526" t="s">
        <v>4688</v>
      </c>
      <c r="D526" t="s">
        <v>4689</v>
      </c>
      <c r="E526" t="s">
        <v>187</v>
      </c>
      <c r="F526" t="s">
        <v>186</v>
      </c>
      <c r="G526" t="s">
        <v>186</v>
      </c>
      <c r="H526">
        <v>474</v>
      </c>
      <c r="I526">
        <v>15</v>
      </c>
      <c r="J526" s="110">
        <v>524</v>
      </c>
      <c r="K526" t="s">
        <v>185</v>
      </c>
      <c r="L526">
        <f>IF(Table_TRM_Fixtures[[#This Row],[Technology]]="LED", Table_TRM_Fixtures[[#This Row],[Fixture Watts  (TRM Data)]], Table_TRM_Fixtures[[#This Row],[Lamp Watts  (TRM Data)]])</f>
        <v>474</v>
      </c>
      <c r="M526" t="str">
        <f>Table_TRM_Fixtures[[#This Row],[No. of Lamps  (TRM Data)]]</f>
        <v>N/A</v>
      </c>
      <c r="N526" t="s">
        <v>186</v>
      </c>
      <c r="O526" t="s">
        <v>186</v>
      </c>
      <c r="P526" t="s">
        <v>187</v>
      </c>
      <c r="S526" t="s">
        <v>1234</v>
      </c>
      <c r="T526" t="str">
        <f>Table_TRM_Fixtures[[#This Row],[Fixture code  (TRM Data)]]</f>
        <v>LED474-FIXT</v>
      </c>
      <c r="U526" t="s">
        <v>2883</v>
      </c>
      <c r="V526" t="s">
        <v>185</v>
      </c>
      <c r="W526" t="s">
        <v>3120</v>
      </c>
      <c r="X526" t="s">
        <v>186</v>
      </c>
      <c r="AA526">
        <f>IF(Table_TRM_Fixtures[[#This Row],[Pre-EISA Baseline]]="Nominal", Table_TRM_Fixtures[[#This Row],[Fixture Watts  (TRM Data)]], Table_TRM_Fixtures[[#This Row],[Modified Baseline Fixture Watts]])</f>
        <v>474</v>
      </c>
    </row>
    <row r="527" spans="1:27" x14ac:dyDescent="0.2">
      <c r="A527" t="s">
        <v>1237</v>
      </c>
      <c r="B527" t="s">
        <v>4690</v>
      </c>
      <c r="C527" t="s">
        <v>4691</v>
      </c>
      <c r="D527" t="s">
        <v>4692</v>
      </c>
      <c r="E527" t="s">
        <v>187</v>
      </c>
      <c r="F527" t="s">
        <v>186</v>
      </c>
      <c r="G527" t="s">
        <v>186</v>
      </c>
      <c r="H527">
        <v>475</v>
      </c>
      <c r="I527">
        <v>15</v>
      </c>
      <c r="J527" s="110">
        <v>525</v>
      </c>
      <c r="K527" t="s">
        <v>185</v>
      </c>
      <c r="L527">
        <f>IF(Table_TRM_Fixtures[[#This Row],[Technology]]="LED", Table_TRM_Fixtures[[#This Row],[Fixture Watts  (TRM Data)]], Table_TRM_Fixtures[[#This Row],[Lamp Watts  (TRM Data)]])</f>
        <v>475</v>
      </c>
      <c r="M527" t="str">
        <f>Table_TRM_Fixtures[[#This Row],[No. of Lamps  (TRM Data)]]</f>
        <v>N/A</v>
      </c>
      <c r="N527" t="s">
        <v>186</v>
      </c>
      <c r="O527" t="s">
        <v>186</v>
      </c>
      <c r="P527" t="s">
        <v>187</v>
      </c>
      <c r="S527" t="s">
        <v>1236</v>
      </c>
      <c r="T527" t="str">
        <f>Table_TRM_Fixtures[[#This Row],[Fixture code  (TRM Data)]]</f>
        <v>LED475-FIXT</v>
      </c>
      <c r="U527" t="s">
        <v>2883</v>
      </c>
      <c r="V527" t="s">
        <v>185</v>
      </c>
      <c r="W527" t="s">
        <v>3120</v>
      </c>
      <c r="X527" t="s">
        <v>186</v>
      </c>
      <c r="AA527">
        <f>IF(Table_TRM_Fixtures[[#This Row],[Pre-EISA Baseline]]="Nominal", Table_TRM_Fixtures[[#This Row],[Fixture Watts  (TRM Data)]], Table_TRM_Fixtures[[#This Row],[Modified Baseline Fixture Watts]])</f>
        <v>475</v>
      </c>
    </row>
    <row r="528" spans="1:27" x14ac:dyDescent="0.2">
      <c r="A528" t="s">
        <v>1239</v>
      </c>
      <c r="B528" t="s">
        <v>4693</v>
      </c>
      <c r="C528" t="s">
        <v>4694</v>
      </c>
      <c r="D528" t="s">
        <v>4695</v>
      </c>
      <c r="E528" t="s">
        <v>187</v>
      </c>
      <c r="F528" t="s">
        <v>186</v>
      </c>
      <c r="G528" t="s">
        <v>186</v>
      </c>
      <c r="H528">
        <v>476</v>
      </c>
      <c r="I528">
        <v>15</v>
      </c>
      <c r="J528" s="110">
        <v>526</v>
      </c>
      <c r="K528" t="s">
        <v>185</v>
      </c>
      <c r="L528">
        <f>IF(Table_TRM_Fixtures[[#This Row],[Technology]]="LED", Table_TRM_Fixtures[[#This Row],[Fixture Watts  (TRM Data)]], Table_TRM_Fixtures[[#This Row],[Lamp Watts  (TRM Data)]])</f>
        <v>476</v>
      </c>
      <c r="M528" t="str">
        <f>Table_TRM_Fixtures[[#This Row],[No. of Lamps  (TRM Data)]]</f>
        <v>N/A</v>
      </c>
      <c r="N528" t="s">
        <v>186</v>
      </c>
      <c r="O528" t="s">
        <v>186</v>
      </c>
      <c r="P528" t="s">
        <v>187</v>
      </c>
      <c r="S528" t="s">
        <v>1238</v>
      </c>
      <c r="T528" t="str">
        <f>Table_TRM_Fixtures[[#This Row],[Fixture code  (TRM Data)]]</f>
        <v>LED476-FIXT</v>
      </c>
      <c r="U528" t="s">
        <v>2883</v>
      </c>
      <c r="V528" t="s">
        <v>185</v>
      </c>
      <c r="W528" t="s">
        <v>3120</v>
      </c>
      <c r="X528" t="s">
        <v>186</v>
      </c>
      <c r="AA528">
        <f>IF(Table_TRM_Fixtures[[#This Row],[Pre-EISA Baseline]]="Nominal", Table_TRM_Fixtures[[#This Row],[Fixture Watts  (TRM Data)]], Table_TRM_Fixtures[[#This Row],[Modified Baseline Fixture Watts]])</f>
        <v>476</v>
      </c>
    </row>
    <row r="529" spans="1:27" x14ac:dyDescent="0.2">
      <c r="A529" t="s">
        <v>1241</v>
      </c>
      <c r="B529" t="s">
        <v>4696</v>
      </c>
      <c r="C529" t="s">
        <v>4697</v>
      </c>
      <c r="D529" t="s">
        <v>4698</v>
      </c>
      <c r="E529" t="s">
        <v>187</v>
      </c>
      <c r="F529" t="s">
        <v>186</v>
      </c>
      <c r="G529" t="s">
        <v>186</v>
      </c>
      <c r="H529">
        <v>477</v>
      </c>
      <c r="I529">
        <v>15</v>
      </c>
      <c r="J529" s="110">
        <v>527</v>
      </c>
      <c r="K529" t="s">
        <v>185</v>
      </c>
      <c r="L529">
        <f>IF(Table_TRM_Fixtures[[#This Row],[Technology]]="LED", Table_TRM_Fixtures[[#This Row],[Fixture Watts  (TRM Data)]], Table_TRM_Fixtures[[#This Row],[Lamp Watts  (TRM Data)]])</f>
        <v>477</v>
      </c>
      <c r="M529" t="str">
        <f>Table_TRM_Fixtures[[#This Row],[No. of Lamps  (TRM Data)]]</f>
        <v>N/A</v>
      </c>
      <c r="N529" t="s">
        <v>186</v>
      </c>
      <c r="O529" t="s">
        <v>186</v>
      </c>
      <c r="P529" t="s">
        <v>187</v>
      </c>
      <c r="S529" t="s">
        <v>1240</v>
      </c>
      <c r="T529" t="str">
        <f>Table_TRM_Fixtures[[#This Row],[Fixture code  (TRM Data)]]</f>
        <v>LED477-FIXT</v>
      </c>
      <c r="U529" t="s">
        <v>2883</v>
      </c>
      <c r="V529" t="s">
        <v>185</v>
      </c>
      <c r="W529" t="s">
        <v>3120</v>
      </c>
      <c r="X529" t="s">
        <v>186</v>
      </c>
      <c r="AA529">
        <f>IF(Table_TRM_Fixtures[[#This Row],[Pre-EISA Baseline]]="Nominal", Table_TRM_Fixtures[[#This Row],[Fixture Watts  (TRM Data)]], Table_TRM_Fixtures[[#This Row],[Modified Baseline Fixture Watts]])</f>
        <v>477</v>
      </c>
    </row>
    <row r="530" spans="1:27" x14ac:dyDescent="0.2">
      <c r="A530" t="s">
        <v>1243</v>
      </c>
      <c r="B530" t="s">
        <v>4699</v>
      </c>
      <c r="C530" t="s">
        <v>4700</v>
      </c>
      <c r="D530" t="s">
        <v>4701</v>
      </c>
      <c r="E530" t="s">
        <v>187</v>
      </c>
      <c r="F530" t="s">
        <v>186</v>
      </c>
      <c r="G530" t="s">
        <v>186</v>
      </c>
      <c r="H530">
        <v>478</v>
      </c>
      <c r="I530">
        <v>15</v>
      </c>
      <c r="J530" s="110">
        <v>528</v>
      </c>
      <c r="K530" t="s">
        <v>185</v>
      </c>
      <c r="L530">
        <f>IF(Table_TRM_Fixtures[[#This Row],[Technology]]="LED", Table_TRM_Fixtures[[#This Row],[Fixture Watts  (TRM Data)]], Table_TRM_Fixtures[[#This Row],[Lamp Watts  (TRM Data)]])</f>
        <v>478</v>
      </c>
      <c r="M530" t="str">
        <f>Table_TRM_Fixtures[[#This Row],[No. of Lamps  (TRM Data)]]</f>
        <v>N/A</v>
      </c>
      <c r="N530" t="s">
        <v>186</v>
      </c>
      <c r="O530" t="s">
        <v>186</v>
      </c>
      <c r="P530" t="s">
        <v>187</v>
      </c>
      <c r="S530" t="s">
        <v>1242</v>
      </c>
      <c r="T530" t="str">
        <f>Table_TRM_Fixtures[[#This Row],[Fixture code  (TRM Data)]]</f>
        <v>LED478-FIXT</v>
      </c>
      <c r="U530" t="s">
        <v>2883</v>
      </c>
      <c r="V530" t="s">
        <v>185</v>
      </c>
      <c r="W530" t="s">
        <v>3120</v>
      </c>
      <c r="X530" t="s">
        <v>186</v>
      </c>
      <c r="AA530">
        <f>IF(Table_TRM_Fixtures[[#This Row],[Pre-EISA Baseline]]="Nominal", Table_TRM_Fixtures[[#This Row],[Fixture Watts  (TRM Data)]], Table_TRM_Fixtures[[#This Row],[Modified Baseline Fixture Watts]])</f>
        <v>478</v>
      </c>
    </row>
    <row r="531" spans="1:27" x14ac:dyDescent="0.2">
      <c r="A531" t="s">
        <v>1245</v>
      </c>
      <c r="B531" t="s">
        <v>4702</v>
      </c>
      <c r="C531" t="s">
        <v>4703</v>
      </c>
      <c r="D531" t="s">
        <v>4704</v>
      </c>
      <c r="E531" t="s">
        <v>187</v>
      </c>
      <c r="F531" t="s">
        <v>186</v>
      </c>
      <c r="G531" t="s">
        <v>186</v>
      </c>
      <c r="H531">
        <v>479</v>
      </c>
      <c r="I531">
        <v>15</v>
      </c>
      <c r="J531" s="110">
        <v>529</v>
      </c>
      <c r="K531" t="s">
        <v>185</v>
      </c>
      <c r="L531">
        <f>IF(Table_TRM_Fixtures[[#This Row],[Technology]]="LED", Table_TRM_Fixtures[[#This Row],[Fixture Watts  (TRM Data)]], Table_TRM_Fixtures[[#This Row],[Lamp Watts  (TRM Data)]])</f>
        <v>479</v>
      </c>
      <c r="M531" t="str">
        <f>Table_TRM_Fixtures[[#This Row],[No. of Lamps  (TRM Data)]]</f>
        <v>N/A</v>
      </c>
      <c r="N531" t="s">
        <v>186</v>
      </c>
      <c r="O531" t="s">
        <v>186</v>
      </c>
      <c r="P531" t="s">
        <v>187</v>
      </c>
      <c r="S531" t="s">
        <v>1244</v>
      </c>
      <c r="T531" t="str">
        <f>Table_TRM_Fixtures[[#This Row],[Fixture code  (TRM Data)]]</f>
        <v>LED479-FIXT</v>
      </c>
      <c r="U531" t="s">
        <v>2883</v>
      </c>
      <c r="V531" t="s">
        <v>185</v>
      </c>
      <c r="W531" t="s">
        <v>3120</v>
      </c>
      <c r="X531" t="s">
        <v>186</v>
      </c>
      <c r="AA531">
        <f>IF(Table_TRM_Fixtures[[#This Row],[Pre-EISA Baseline]]="Nominal", Table_TRM_Fixtures[[#This Row],[Fixture Watts  (TRM Data)]], Table_TRM_Fixtures[[#This Row],[Modified Baseline Fixture Watts]])</f>
        <v>479</v>
      </c>
    </row>
    <row r="532" spans="1:27" x14ac:dyDescent="0.2">
      <c r="A532" t="s">
        <v>1247</v>
      </c>
      <c r="B532" t="s">
        <v>4705</v>
      </c>
      <c r="C532" t="s">
        <v>4706</v>
      </c>
      <c r="D532" t="s">
        <v>4707</v>
      </c>
      <c r="E532" t="s">
        <v>187</v>
      </c>
      <c r="F532" t="s">
        <v>186</v>
      </c>
      <c r="G532" t="s">
        <v>186</v>
      </c>
      <c r="H532">
        <v>480</v>
      </c>
      <c r="I532">
        <v>15</v>
      </c>
      <c r="J532" s="110">
        <v>530</v>
      </c>
      <c r="K532" t="s">
        <v>185</v>
      </c>
      <c r="L532">
        <f>IF(Table_TRM_Fixtures[[#This Row],[Technology]]="LED", Table_TRM_Fixtures[[#This Row],[Fixture Watts  (TRM Data)]], Table_TRM_Fixtures[[#This Row],[Lamp Watts  (TRM Data)]])</f>
        <v>480</v>
      </c>
      <c r="M532" t="str">
        <f>Table_TRM_Fixtures[[#This Row],[No. of Lamps  (TRM Data)]]</f>
        <v>N/A</v>
      </c>
      <c r="N532" t="s">
        <v>186</v>
      </c>
      <c r="O532" t="s">
        <v>186</v>
      </c>
      <c r="P532" t="s">
        <v>187</v>
      </c>
      <c r="S532" t="s">
        <v>1246</v>
      </c>
      <c r="T532" t="str">
        <f>Table_TRM_Fixtures[[#This Row],[Fixture code  (TRM Data)]]</f>
        <v>LED480-FIXT</v>
      </c>
      <c r="U532" t="s">
        <v>2883</v>
      </c>
      <c r="V532" t="s">
        <v>185</v>
      </c>
      <c r="W532" t="s">
        <v>3120</v>
      </c>
      <c r="X532" t="s">
        <v>186</v>
      </c>
      <c r="AA532">
        <f>IF(Table_TRM_Fixtures[[#This Row],[Pre-EISA Baseline]]="Nominal", Table_TRM_Fixtures[[#This Row],[Fixture Watts  (TRM Data)]], Table_TRM_Fixtures[[#This Row],[Modified Baseline Fixture Watts]])</f>
        <v>480</v>
      </c>
    </row>
    <row r="533" spans="1:27" x14ac:dyDescent="0.2">
      <c r="A533" t="s">
        <v>1249</v>
      </c>
      <c r="B533" t="s">
        <v>4708</v>
      </c>
      <c r="C533" t="s">
        <v>4709</v>
      </c>
      <c r="D533" t="s">
        <v>4710</v>
      </c>
      <c r="E533" t="s">
        <v>187</v>
      </c>
      <c r="F533" t="s">
        <v>186</v>
      </c>
      <c r="G533" t="s">
        <v>186</v>
      </c>
      <c r="H533">
        <v>481</v>
      </c>
      <c r="I533">
        <v>15</v>
      </c>
      <c r="J533" s="110">
        <v>531</v>
      </c>
      <c r="K533" t="s">
        <v>185</v>
      </c>
      <c r="L533">
        <f>IF(Table_TRM_Fixtures[[#This Row],[Technology]]="LED", Table_TRM_Fixtures[[#This Row],[Fixture Watts  (TRM Data)]], Table_TRM_Fixtures[[#This Row],[Lamp Watts  (TRM Data)]])</f>
        <v>481</v>
      </c>
      <c r="M533" t="str">
        <f>Table_TRM_Fixtures[[#This Row],[No. of Lamps  (TRM Data)]]</f>
        <v>N/A</v>
      </c>
      <c r="N533" t="s">
        <v>186</v>
      </c>
      <c r="O533" t="s">
        <v>186</v>
      </c>
      <c r="P533" t="s">
        <v>187</v>
      </c>
      <c r="S533" t="s">
        <v>1248</v>
      </c>
      <c r="T533" t="str">
        <f>Table_TRM_Fixtures[[#This Row],[Fixture code  (TRM Data)]]</f>
        <v>LED481-FIXT</v>
      </c>
      <c r="U533" t="s">
        <v>2883</v>
      </c>
      <c r="V533" t="s">
        <v>185</v>
      </c>
      <c r="W533" t="s">
        <v>3120</v>
      </c>
      <c r="X533" t="s">
        <v>186</v>
      </c>
      <c r="AA533">
        <f>IF(Table_TRM_Fixtures[[#This Row],[Pre-EISA Baseline]]="Nominal", Table_TRM_Fixtures[[#This Row],[Fixture Watts  (TRM Data)]], Table_TRM_Fixtures[[#This Row],[Modified Baseline Fixture Watts]])</f>
        <v>481</v>
      </c>
    </row>
    <row r="534" spans="1:27" x14ac:dyDescent="0.2">
      <c r="A534" t="s">
        <v>1251</v>
      </c>
      <c r="B534" t="s">
        <v>4711</v>
      </c>
      <c r="C534" t="s">
        <v>4712</v>
      </c>
      <c r="D534" t="s">
        <v>4713</v>
      </c>
      <c r="E534" t="s">
        <v>187</v>
      </c>
      <c r="F534" t="s">
        <v>186</v>
      </c>
      <c r="G534" t="s">
        <v>186</v>
      </c>
      <c r="H534">
        <v>482</v>
      </c>
      <c r="I534">
        <v>15</v>
      </c>
      <c r="J534" s="110">
        <v>532</v>
      </c>
      <c r="K534" t="s">
        <v>185</v>
      </c>
      <c r="L534">
        <f>IF(Table_TRM_Fixtures[[#This Row],[Technology]]="LED", Table_TRM_Fixtures[[#This Row],[Fixture Watts  (TRM Data)]], Table_TRM_Fixtures[[#This Row],[Lamp Watts  (TRM Data)]])</f>
        <v>482</v>
      </c>
      <c r="M534" t="str">
        <f>Table_TRM_Fixtures[[#This Row],[No. of Lamps  (TRM Data)]]</f>
        <v>N/A</v>
      </c>
      <c r="N534" t="s">
        <v>186</v>
      </c>
      <c r="O534" t="s">
        <v>186</v>
      </c>
      <c r="P534" t="s">
        <v>187</v>
      </c>
      <c r="S534" t="s">
        <v>1250</v>
      </c>
      <c r="T534" t="str">
        <f>Table_TRM_Fixtures[[#This Row],[Fixture code  (TRM Data)]]</f>
        <v>LED482-FIXT</v>
      </c>
      <c r="U534" t="s">
        <v>2883</v>
      </c>
      <c r="V534" t="s">
        <v>185</v>
      </c>
      <c r="W534" t="s">
        <v>3120</v>
      </c>
      <c r="X534" t="s">
        <v>186</v>
      </c>
      <c r="AA534">
        <f>IF(Table_TRM_Fixtures[[#This Row],[Pre-EISA Baseline]]="Nominal", Table_TRM_Fixtures[[#This Row],[Fixture Watts  (TRM Data)]], Table_TRM_Fixtures[[#This Row],[Modified Baseline Fixture Watts]])</f>
        <v>482</v>
      </c>
    </row>
    <row r="535" spans="1:27" x14ac:dyDescent="0.2">
      <c r="A535" t="s">
        <v>1253</v>
      </c>
      <c r="B535" t="s">
        <v>4714</v>
      </c>
      <c r="C535" t="s">
        <v>4715</v>
      </c>
      <c r="D535" t="s">
        <v>4716</v>
      </c>
      <c r="E535" t="s">
        <v>187</v>
      </c>
      <c r="F535" t="s">
        <v>186</v>
      </c>
      <c r="G535" t="s">
        <v>186</v>
      </c>
      <c r="H535">
        <v>483</v>
      </c>
      <c r="I535">
        <v>15</v>
      </c>
      <c r="J535" s="110">
        <v>533</v>
      </c>
      <c r="K535" t="s">
        <v>185</v>
      </c>
      <c r="L535">
        <f>IF(Table_TRM_Fixtures[[#This Row],[Technology]]="LED", Table_TRM_Fixtures[[#This Row],[Fixture Watts  (TRM Data)]], Table_TRM_Fixtures[[#This Row],[Lamp Watts  (TRM Data)]])</f>
        <v>483</v>
      </c>
      <c r="M535" t="str">
        <f>Table_TRM_Fixtures[[#This Row],[No. of Lamps  (TRM Data)]]</f>
        <v>N/A</v>
      </c>
      <c r="N535" t="s">
        <v>186</v>
      </c>
      <c r="O535" t="s">
        <v>186</v>
      </c>
      <c r="P535" t="s">
        <v>187</v>
      </c>
      <c r="S535" t="s">
        <v>1252</v>
      </c>
      <c r="T535" t="str">
        <f>Table_TRM_Fixtures[[#This Row],[Fixture code  (TRM Data)]]</f>
        <v>LED483-FIXT</v>
      </c>
      <c r="U535" t="s">
        <v>2883</v>
      </c>
      <c r="V535" t="s">
        <v>185</v>
      </c>
      <c r="W535" t="s">
        <v>3120</v>
      </c>
      <c r="X535" t="s">
        <v>186</v>
      </c>
      <c r="AA535">
        <f>IF(Table_TRM_Fixtures[[#This Row],[Pre-EISA Baseline]]="Nominal", Table_TRM_Fixtures[[#This Row],[Fixture Watts  (TRM Data)]], Table_TRM_Fixtures[[#This Row],[Modified Baseline Fixture Watts]])</f>
        <v>483</v>
      </c>
    </row>
    <row r="536" spans="1:27" x14ac:dyDescent="0.2">
      <c r="A536" t="s">
        <v>1255</v>
      </c>
      <c r="B536" t="s">
        <v>4717</v>
      </c>
      <c r="C536" t="s">
        <v>4718</v>
      </c>
      <c r="D536" t="s">
        <v>4719</v>
      </c>
      <c r="E536" t="s">
        <v>187</v>
      </c>
      <c r="F536" t="s">
        <v>186</v>
      </c>
      <c r="G536" t="s">
        <v>186</v>
      </c>
      <c r="H536">
        <v>484</v>
      </c>
      <c r="I536">
        <v>15</v>
      </c>
      <c r="J536" s="110">
        <v>534</v>
      </c>
      <c r="K536" t="s">
        <v>185</v>
      </c>
      <c r="L536">
        <f>IF(Table_TRM_Fixtures[[#This Row],[Technology]]="LED", Table_TRM_Fixtures[[#This Row],[Fixture Watts  (TRM Data)]], Table_TRM_Fixtures[[#This Row],[Lamp Watts  (TRM Data)]])</f>
        <v>484</v>
      </c>
      <c r="M536" t="str">
        <f>Table_TRM_Fixtures[[#This Row],[No. of Lamps  (TRM Data)]]</f>
        <v>N/A</v>
      </c>
      <c r="N536" t="s">
        <v>186</v>
      </c>
      <c r="O536" t="s">
        <v>186</v>
      </c>
      <c r="P536" t="s">
        <v>187</v>
      </c>
      <c r="S536" t="s">
        <v>1254</v>
      </c>
      <c r="T536" t="str">
        <f>Table_TRM_Fixtures[[#This Row],[Fixture code  (TRM Data)]]</f>
        <v>LED484-FIXT</v>
      </c>
      <c r="U536" t="s">
        <v>2883</v>
      </c>
      <c r="V536" t="s">
        <v>185</v>
      </c>
      <c r="W536" t="s">
        <v>3120</v>
      </c>
      <c r="X536" t="s">
        <v>186</v>
      </c>
      <c r="AA536">
        <f>IF(Table_TRM_Fixtures[[#This Row],[Pre-EISA Baseline]]="Nominal", Table_TRM_Fixtures[[#This Row],[Fixture Watts  (TRM Data)]], Table_TRM_Fixtures[[#This Row],[Modified Baseline Fixture Watts]])</f>
        <v>484</v>
      </c>
    </row>
    <row r="537" spans="1:27" x14ac:dyDescent="0.2">
      <c r="A537" t="s">
        <v>1257</v>
      </c>
      <c r="B537" t="s">
        <v>4720</v>
      </c>
      <c r="C537" t="s">
        <v>4721</v>
      </c>
      <c r="D537" t="s">
        <v>4722</v>
      </c>
      <c r="E537" t="s">
        <v>187</v>
      </c>
      <c r="F537" t="s">
        <v>186</v>
      </c>
      <c r="G537" t="s">
        <v>186</v>
      </c>
      <c r="H537">
        <v>485</v>
      </c>
      <c r="I537">
        <v>15</v>
      </c>
      <c r="J537" s="110">
        <v>535</v>
      </c>
      <c r="K537" t="s">
        <v>185</v>
      </c>
      <c r="L537">
        <f>IF(Table_TRM_Fixtures[[#This Row],[Technology]]="LED", Table_TRM_Fixtures[[#This Row],[Fixture Watts  (TRM Data)]], Table_TRM_Fixtures[[#This Row],[Lamp Watts  (TRM Data)]])</f>
        <v>485</v>
      </c>
      <c r="M537" t="str">
        <f>Table_TRM_Fixtures[[#This Row],[No. of Lamps  (TRM Data)]]</f>
        <v>N/A</v>
      </c>
      <c r="N537" t="s">
        <v>186</v>
      </c>
      <c r="O537" t="s">
        <v>186</v>
      </c>
      <c r="P537" t="s">
        <v>187</v>
      </c>
      <c r="S537" t="s">
        <v>1256</v>
      </c>
      <c r="T537" t="str">
        <f>Table_TRM_Fixtures[[#This Row],[Fixture code  (TRM Data)]]</f>
        <v>LED485-FIXT</v>
      </c>
      <c r="U537" t="s">
        <v>2883</v>
      </c>
      <c r="V537" t="s">
        <v>185</v>
      </c>
      <c r="W537" t="s">
        <v>3120</v>
      </c>
      <c r="X537" t="s">
        <v>186</v>
      </c>
      <c r="AA537">
        <f>IF(Table_TRM_Fixtures[[#This Row],[Pre-EISA Baseline]]="Nominal", Table_TRM_Fixtures[[#This Row],[Fixture Watts  (TRM Data)]], Table_TRM_Fixtures[[#This Row],[Modified Baseline Fixture Watts]])</f>
        <v>485</v>
      </c>
    </row>
    <row r="538" spans="1:27" x14ac:dyDescent="0.2">
      <c r="A538" t="s">
        <v>1259</v>
      </c>
      <c r="B538" t="s">
        <v>4723</v>
      </c>
      <c r="C538" t="s">
        <v>4724</v>
      </c>
      <c r="D538" t="s">
        <v>4725</v>
      </c>
      <c r="E538" t="s">
        <v>187</v>
      </c>
      <c r="F538" t="s">
        <v>186</v>
      </c>
      <c r="G538" t="s">
        <v>186</v>
      </c>
      <c r="H538">
        <v>486</v>
      </c>
      <c r="I538">
        <v>15</v>
      </c>
      <c r="J538" s="110">
        <v>536</v>
      </c>
      <c r="K538" t="s">
        <v>185</v>
      </c>
      <c r="L538">
        <f>IF(Table_TRM_Fixtures[[#This Row],[Technology]]="LED", Table_TRM_Fixtures[[#This Row],[Fixture Watts  (TRM Data)]], Table_TRM_Fixtures[[#This Row],[Lamp Watts  (TRM Data)]])</f>
        <v>486</v>
      </c>
      <c r="M538" t="str">
        <f>Table_TRM_Fixtures[[#This Row],[No. of Lamps  (TRM Data)]]</f>
        <v>N/A</v>
      </c>
      <c r="N538" t="s">
        <v>186</v>
      </c>
      <c r="O538" t="s">
        <v>186</v>
      </c>
      <c r="P538" t="s">
        <v>187</v>
      </c>
      <c r="S538" t="s">
        <v>1258</v>
      </c>
      <c r="T538" t="str">
        <f>Table_TRM_Fixtures[[#This Row],[Fixture code  (TRM Data)]]</f>
        <v>LED486-FIXT</v>
      </c>
      <c r="U538" t="s">
        <v>2883</v>
      </c>
      <c r="V538" t="s">
        <v>185</v>
      </c>
      <c r="W538" t="s">
        <v>3120</v>
      </c>
      <c r="X538" t="s">
        <v>186</v>
      </c>
      <c r="AA538">
        <f>IF(Table_TRM_Fixtures[[#This Row],[Pre-EISA Baseline]]="Nominal", Table_TRM_Fixtures[[#This Row],[Fixture Watts  (TRM Data)]], Table_TRM_Fixtures[[#This Row],[Modified Baseline Fixture Watts]])</f>
        <v>486</v>
      </c>
    </row>
    <row r="539" spans="1:27" x14ac:dyDescent="0.2">
      <c r="A539" t="s">
        <v>1261</v>
      </c>
      <c r="B539" t="s">
        <v>4726</v>
      </c>
      <c r="C539" t="s">
        <v>4727</v>
      </c>
      <c r="D539" t="s">
        <v>4728</v>
      </c>
      <c r="E539" t="s">
        <v>187</v>
      </c>
      <c r="F539" t="s">
        <v>186</v>
      </c>
      <c r="G539" t="s">
        <v>186</v>
      </c>
      <c r="H539">
        <v>487</v>
      </c>
      <c r="I539">
        <v>15</v>
      </c>
      <c r="J539" s="110">
        <v>537</v>
      </c>
      <c r="K539" t="s">
        <v>185</v>
      </c>
      <c r="L539">
        <f>IF(Table_TRM_Fixtures[[#This Row],[Technology]]="LED", Table_TRM_Fixtures[[#This Row],[Fixture Watts  (TRM Data)]], Table_TRM_Fixtures[[#This Row],[Lamp Watts  (TRM Data)]])</f>
        <v>487</v>
      </c>
      <c r="M539" t="str">
        <f>Table_TRM_Fixtures[[#This Row],[No. of Lamps  (TRM Data)]]</f>
        <v>N/A</v>
      </c>
      <c r="N539" t="s">
        <v>186</v>
      </c>
      <c r="O539" t="s">
        <v>186</v>
      </c>
      <c r="P539" t="s">
        <v>187</v>
      </c>
      <c r="S539" t="s">
        <v>1260</v>
      </c>
      <c r="T539" t="str">
        <f>Table_TRM_Fixtures[[#This Row],[Fixture code  (TRM Data)]]</f>
        <v>LED487-FIXT</v>
      </c>
      <c r="U539" t="s">
        <v>2883</v>
      </c>
      <c r="V539" t="s">
        <v>185</v>
      </c>
      <c r="W539" t="s">
        <v>3120</v>
      </c>
      <c r="X539" t="s">
        <v>186</v>
      </c>
      <c r="AA539">
        <f>IF(Table_TRM_Fixtures[[#This Row],[Pre-EISA Baseline]]="Nominal", Table_TRM_Fixtures[[#This Row],[Fixture Watts  (TRM Data)]], Table_TRM_Fixtures[[#This Row],[Modified Baseline Fixture Watts]])</f>
        <v>487</v>
      </c>
    </row>
    <row r="540" spans="1:27" x14ac:dyDescent="0.2">
      <c r="A540" t="s">
        <v>1263</v>
      </c>
      <c r="B540" t="s">
        <v>4729</v>
      </c>
      <c r="C540" t="s">
        <v>4730</v>
      </c>
      <c r="D540" t="s">
        <v>4731</v>
      </c>
      <c r="E540" t="s">
        <v>187</v>
      </c>
      <c r="F540" t="s">
        <v>186</v>
      </c>
      <c r="G540" t="s">
        <v>186</v>
      </c>
      <c r="H540">
        <v>488</v>
      </c>
      <c r="I540">
        <v>15</v>
      </c>
      <c r="J540" s="110">
        <v>538</v>
      </c>
      <c r="K540" t="s">
        <v>185</v>
      </c>
      <c r="L540">
        <f>IF(Table_TRM_Fixtures[[#This Row],[Technology]]="LED", Table_TRM_Fixtures[[#This Row],[Fixture Watts  (TRM Data)]], Table_TRM_Fixtures[[#This Row],[Lamp Watts  (TRM Data)]])</f>
        <v>488</v>
      </c>
      <c r="M540" t="str">
        <f>Table_TRM_Fixtures[[#This Row],[No. of Lamps  (TRM Data)]]</f>
        <v>N/A</v>
      </c>
      <c r="N540" t="s">
        <v>186</v>
      </c>
      <c r="O540" t="s">
        <v>186</v>
      </c>
      <c r="P540" t="s">
        <v>187</v>
      </c>
      <c r="S540" t="s">
        <v>1262</v>
      </c>
      <c r="T540" t="str">
        <f>Table_TRM_Fixtures[[#This Row],[Fixture code  (TRM Data)]]</f>
        <v>LED488-FIXT</v>
      </c>
      <c r="U540" t="s">
        <v>2883</v>
      </c>
      <c r="V540" t="s">
        <v>185</v>
      </c>
      <c r="W540" t="s">
        <v>3120</v>
      </c>
      <c r="X540" t="s">
        <v>186</v>
      </c>
      <c r="AA540">
        <f>IF(Table_TRM_Fixtures[[#This Row],[Pre-EISA Baseline]]="Nominal", Table_TRM_Fixtures[[#This Row],[Fixture Watts  (TRM Data)]], Table_TRM_Fixtures[[#This Row],[Modified Baseline Fixture Watts]])</f>
        <v>488</v>
      </c>
    </row>
    <row r="541" spans="1:27" x14ac:dyDescent="0.2">
      <c r="A541" t="s">
        <v>1265</v>
      </c>
      <c r="B541" t="s">
        <v>4732</v>
      </c>
      <c r="C541" t="s">
        <v>4733</v>
      </c>
      <c r="D541" t="s">
        <v>4734</v>
      </c>
      <c r="E541" t="s">
        <v>187</v>
      </c>
      <c r="F541" t="s">
        <v>186</v>
      </c>
      <c r="G541" t="s">
        <v>186</v>
      </c>
      <c r="H541">
        <v>489</v>
      </c>
      <c r="I541">
        <v>15</v>
      </c>
      <c r="J541" s="110">
        <v>539</v>
      </c>
      <c r="K541" t="s">
        <v>185</v>
      </c>
      <c r="L541">
        <f>IF(Table_TRM_Fixtures[[#This Row],[Technology]]="LED", Table_TRM_Fixtures[[#This Row],[Fixture Watts  (TRM Data)]], Table_TRM_Fixtures[[#This Row],[Lamp Watts  (TRM Data)]])</f>
        <v>489</v>
      </c>
      <c r="M541" t="str">
        <f>Table_TRM_Fixtures[[#This Row],[No. of Lamps  (TRM Data)]]</f>
        <v>N/A</v>
      </c>
      <c r="N541" t="s">
        <v>186</v>
      </c>
      <c r="O541" t="s">
        <v>186</v>
      </c>
      <c r="P541" t="s">
        <v>187</v>
      </c>
      <c r="S541" t="s">
        <v>1264</v>
      </c>
      <c r="T541" t="str">
        <f>Table_TRM_Fixtures[[#This Row],[Fixture code  (TRM Data)]]</f>
        <v>LED489-FIXT</v>
      </c>
      <c r="U541" t="s">
        <v>2883</v>
      </c>
      <c r="V541" t="s">
        <v>185</v>
      </c>
      <c r="W541" t="s">
        <v>3120</v>
      </c>
      <c r="X541" t="s">
        <v>186</v>
      </c>
      <c r="AA541">
        <f>IF(Table_TRM_Fixtures[[#This Row],[Pre-EISA Baseline]]="Nominal", Table_TRM_Fixtures[[#This Row],[Fixture Watts  (TRM Data)]], Table_TRM_Fixtures[[#This Row],[Modified Baseline Fixture Watts]])</f>
        <v>489</v>
      </c>
    </row>
    <row r="542" spans="1:27" x14ac:dyDescent="0.2">
      <c r="A542" t="s">
        <v>1267</v>
      </c>
      <c r="B542" t="s">
        <v>4735</v>
      </c>
      <c r="C542" t="s">
        <v>4736</v>
      </c>
      <c r="D542" t="s">
        <v>4737</v>
      </c>
      <c r="E542" t="s">
        <v>187</v>
      </c>
      <c r="F542" t="s">
        <v>186</v>
      </c>
      <c r="G542" t="s">
        <v>186</v>
      </c>
      <c r="H542">
        <v>490</v>
      </c>
      <c r="I542">
        <v>15</v>
      </c>
      <c r="J542" s="110">
        <v>540</v>
      </c>
      <c r="K542" t="s">
        <v>185</v>
      </c>
      <c r="L542">
        <f>IF(Table_TRM_Fixtures[[#This Row],[Technology]]="LED", Table_TRM_Fixtures[[#This Row],[Fixture Watts  (TRM Data)]], Table_TRM_Fixtures[[#This Row],[Lamp Watts  (TRM Data)]])</f>
        <v>490</v>
      </c>
      <c r="M542" t="str">
        <f>Table_TRM_Fixtures[[#This Row],[No. of Lamps  (TRM Data)]]</f>
        <v>N/A</v>
      </c>
      <c r="N542" t="s">
        <v>186</v>
      </c>
      <c r="O542" t="s">
        <v>186</v>
      </c>
      <c r="P542" t="s">
        <v>187</v>
      </c>
      <c r="S542" t="s">
        <v>1266</v>
      </c>
      <c r="T542" t="str">
        <f>Table_TRM_Fixtures[[#This Row],[Fixture code  (TRM Data)]]</f>
        <v>LED490-FIXT</v>
      </c>
      <c r="U542" t="s">
        <v>2883</v>
      </c>
      <c r="V542" t="s">
        <v>185</v>
      </c>
      <c r="W542" t="s">
        <v>3120</v>
      </c>
      <c r="X542" t="s">
        <v>186</v>
      </c>
      <c r="AA542">
        <f>IF(Table_TRM_Fixtures[[#This Row],[Pre-EISA Baseline]]="Nominal", Table_TRM_Fixtures[[#This Row],[Fixture Watts  (TRM Data)]], Table_TRM_Fixtures[[#This Row],[Modified Baseline Fixture Watts]])</f>
        <v>490</v>
      </c>
    </row>
    <row r="543" spans="1:27" x14ac:dyDescent="0.2">
      <c r="A543" t="s">
        <v>1269</v>
      </c>
      <c r="B543" t="s">
        <v>4738</v>
      </c>
      <c r="C543" t="s">
        <v>4739</v>
      </c>
      <c r="D543" t="s">
        <v>4740</v>
      </c>
      <c r="E543" t="s">
        <v>187</v>
      </c>
      <c r="F543" t="s">
        <v>186</v>
      </c>
      <c r="G543" t="s">
        <v>186</v>
      </c>
      <c r="H543">
        <v>491</v>
      </c>
      <c r="I543">
        <v>15</v>
      </c>
      <c r="J543" s="110">
        <v>541</v>
      </c>
      <c r="K543" t="s">
        <v>185</v>
      </c>
      <c r="L543">
        <f>IF(Table_TRM_Fixtures[[#This Row],[Technology]]="LED", Table_TRM_Fixtures[[#This Row],[Fixture Watts  (TRM Data)]], Table_TRM_Fixtures[[#This Row],[Lamp Watts  (TRM Data)]])</f>
        <v>491</v>
      </c>
      <c r="M543" t="str">
        <f>Table_TRM_Fixtures[[#This Row],[No. of Lamps  (TRM Data)]]</f>
        <v>N/A</v>
      </c>
      <c r="N543" t="s">
        <v>186</v>
      </c>
      <c r="O543" t="s">
        <v>186</v>
      </c>
      <c r="P543" t="s">
        <v>187</v>
      </c>
      <c r="S543" t="s">
        <v>1268</v>
      </c>
      <c r="T543" t="str">
        <f>Table_TRM_Fixtures[[#This Row],[Fixture code  (TRM Data)]]</f>
        <v>LED491-FIXT</v>
      </c>
      <c r="U543" t="s">
        <v>2883</v>
      </c>
      <c r="V543" t="s">
        <v>185</v>
      </c>
      <c r="W543" t="s">
        <v>3120</v>
      </c>
      <c r="X543" t="s">
        <v>186</v>
      </c>
      <c r="AA543">
        <f>IF(Table_TRM_Fixtures[[#This Row],[Pre-EISA Baseline]]="Nominal", Table_TRM_Fixtures[[#This Row],[Fixture Watts  (TRM Data)]], Table_TRM_Fixtures[[#This Row],[Modified Baseline Fixture Watts]])</f>
        <v>491</v>
      </c>
    </row>
    <row r="544" spans="1:27" x14ac:dyDescent="0.2">
      <c r="A544" t="s">
        <v>1271</v>
      </c>
      <c r="B544" t="s">
        <v>4741</v>
      </c>
      <c r="C544" t="s">
        <v>4742</v>
      </c>
      <c r="D544" t="s">
        <v>4743</v>
      </c>
      <c r="E544" t="s">
        <v>187</v>
      </c>
      <c r="F544" t="s">
        <v>186</v>
      </c>
      <c r="G544" t="s">
        <v>186</v>
      </c>
      <c r="H544">
        <v>492</v>
      </c>
      <c r="I544">
        <v>15</v>
      </c>
      <c r="J544" s="110">
        <v>542</v>
      </c>
      <c r="K544" t="s">
        <v>185</v>
      </c>
      <c r="L544">
        <f>IF(Table_TRM_Fixtures[[#This Row],[Technology]]="LED", Table_TRM_Fixtures[[#This Row],[Fixture Watts  (TRM Data)]], Table_TRM_Fixtures[[#This Row],[Lamp Watts  (TRM Data)]])</f>
        <v>492</v>
      </c>
      <c r="M544" t="str">
        <f>Table_TRM_Fixtures[[#This Row],[No. of Lamps  (TRM Data)]]</f>
        <v>N/A</v>
      </c>
      <c r="N544" t="s">
        <v>186</v>
      </c>
      <c r="O544" t="s">
        <v>186</v>
      </c>
      <c r="P544" t="s">
        <v>187</v>
      </c>
      <c r="S544" t="s">
        <v>1270</v>
      </c>
      <c r="T544" t="str">
        <f>Table_TRM_Fixtures[[#This Row],[Fixture code  (TRM Data)]]</f>
        <v>LED492-FIXT</v>
      </c>
      <c r="U544" t="s">
        <v>2883</v>
      </c>
      <c r="V544" t="s">
        <v>185</v>
      </c>
      <c r="W544" t="s">
        <v>3120</v>
      </c>
      <c r="X544" t="s">
        <v>186</v>
      </c>
      <c r="AA544">
        <f>IF(Table_TRM_Fixtures[[#This Row],[Pre-EISA Baseline]]="Nominal", Table_TRM_Fixtures[[#This Row],[Fixture Watts  (TRM Data)]], Table_TRM_Fixtures[[#This Row],[Modified Baseline Fixture Watts]])</f>
        <v>492</v>
      </c>
    </row>
    <row r="545" spans="1:27" x14ac:dyDescent="0.2">
      <c r="A545" t="s">
        <v>1273</v>
      </c>
      <c r="B545" t="s">
        <v>4744</v>
      </c>
      <c r="C545" t="s">
        <v>4745</v>
      </c>
      <c r="D545" t="s">
        <v>4746</v>
      </c>
      <c r="E545" t="s">
        <v>187</v>
      </c>
      <c r="F545" t="s">
        <v>186</v>
      </c>
      <c r="G545" t="s">
        <v>186</v>
      </c>
      <c r="H545">
        <v>493</v>
      </c>
      <c r="I545">
        <v>15</v>
      </c>
      <c r="J545" s="110">
        <v>543</v>
      </c>
      <c r="K545" t="s">
        <v>185</v>
      </c>
      <c r="L545">
        <f>IF(Table_TRM_Fixtures[[#This Row],[Technology]]="LED", Table_TRM_Fixtures[[#This Row],[Fixture Watts  (TRM Data)]], Table_TRM_Fixtures[[#This Row],[Lamp Watts  (TRM Data)]])</f>
        <v>493</v>
      </c>
      <c r="M545" t="str">
        <f>Table_TRM_Fixtures[[#This Row],[No. of Lamps  (TRM Data)]]</f>
        <v>N/A</v>
      </c>
      <c r="N545" t="s">
        <v>186</v>
      </c>
      <c r="O545" t="s">
        <v>186</v>
      </c>
      <c r="P545" t="s">
        <v>187</v>
      </c>
      <c r="S545" t="s">
        <v>1272</v>
      </c>
      <c r="T545" t="str">
        <f>Table_TRM_Fixtures[[#This Row],[Fixture code  (TRM Data)]]</f>
        <v>LED493-FIXT</v>
      </c>
      <c r="U545" t="s">
        <v>2883</v>
      </c>
      <c r="V545" t="s">
        <v>185</v>
      </c>
      <c r="W545" t="s">
        <v>3120</v>
      </c>
      <c r="X545" t="s">
        <v>186</v>
      </c>
      <c r="AA545">
        <f>IF(Table_TRM_Fixtures[[#This Row],[Pre-EISA Baseline]]="Nominal", Table_TRM_Fixtures[[#This Row],[Fixture Watts  (TRM Data)]], Table_TRM_Fixtures[[#This Row],[Modified Baseline Fixture Watts]])</f>
        <v>493</v>
      </c>
    </row>
    <row r="546" spans="1:27" x14ac:dyDescent="0.2">
      <c r="A546" t="s">
        <v>1275</v>
      </c>
      <c r="B546" t="s">
        <v>4747</v>
      </c>
      <c r="C546" t="s">
        <v>4748</v>
      </c>
      <c r="D546" t="s">
        <v>4749</v>
      </c>
      <c r="E546" t="s">
        <v>187</v>
      </c>
      <c r="F546" t="s">
        <v>186</v>
      </c>
      <c r="G546" t="s">
        <v>186</v>
      </c>
      <c r="H546">
        <v>494</v>
      </c>
      <c r="I546">
        <v>15</v>
      </c>
      <c r="J546" s="110">
        <v>544</v>
      </c>
      <c r="K546" t="s">
        <v>185</v>
      </c>
      <c r="L546">
        <f>IF(Table_TRM_Fixtures[[#This Row],[Technology]]="LED", Table_TRM_Fixtures[[#This Row],[Fixture Watts  (TRM Data)]], Table_TRM_Fixtures[[#This Row],[Lamp Watts  (TRM Data)]])</f>
        <v>494</v>
      </c>
      <c r="M546" t="str">
        <f>Table_TRM_Fixtures[[#This Row],[No. of Lamps  (TRM Data)]]</f>
        <v>N/A</v>
      </c>
      <c r="N546" t="s">
        <v>186</v>
      </c>
      <c r="O546" t="s">
        <v>186</v>
      </c>
      <c r="P546" t="s">
        <v>187</v>
      </c>
      <c r="S546" t="s">
        <v>1274</v>
      </c>
      <c r="T546" t="str">
        <f>Table_TRM_Fixtures[[#This Row],[Fixture code  (TRM Data)]]</f>
        <v>LED494-FIXT</v>
      </c>
      <c r="U546" t="s">
        <v>2883</v>
      </c>
      <c r="V546" t="s">
        <v>185</v>
      </c>
      <c r="W546" t="s">
        <v>3120</v>
      </c>
      <c r="X546" t="s">
        <v>186</v>
      </c>
      <c r="AA546">
        <f>IF(Table_TRM_Fixtures[[#This Row],[Pre-EISA Baseline]]="Nominal", Table_TRM_Fixtures[[#This Row],[Fixture Watts  (TRM Data)]], Table_TRM_Fixtures[[#This Row],[Modified Baseline Fixture Watts]])</f>
        <v>494</v>
      </c>
    </row>
    <row r="547" spans="1:27" x14ac:dyDescent="0.2">
      <c r="A547" t="s">
        <v>1277</v>
      </c>
      <c r="B547" t="s">
        <v>4750</v>
      </c>
      <c r="C547" t="s">
        <v>4751</v>
      </c>
      <c r="D547" t="s">
        <v>4752</v>
      </c>
      <c r="E547" t="s">
        <v>187</v>
      </c>
      <c r="F547" t="s">
        <v>186</v>
      </c>
      <c r="G547" t="s">
        <v>186</v>
      </c>
      <c r="H547">
        <v>495</v>
      </c>
      <c r="I547">
        <v>15</v>
      </c>
      <c r="J547" s="110">
        <v>545</v>
      </c>
      <c r="K547" t="s">
        <v>185</v>
      </c>
      <c r="L547">
        <f>IF(Table_TRM_Fixtures[[#This Row],[Technology]]="LED", Table_TRM_Fixtures[[#This Row],[Fixture Watts  (TRM Data)]], Table_TRM_Fixtures[[#This Row],[Lamp Watts  (TRM Data)]])</f>
        <v>495</v>
      </c>
      <c r="M547" t="str">
        <f>Table_TRM_Fixtures[[#This Row],[No. of Lamps  (TRM Data)]]</f>
        <v>N/A</v>
      </c>
      <c r="N547" t="s">
        <v>186</v>
      </c>
      <c r="O547" t="s">
        <v>186</v>
      </c>
      <c r="P547" t="s">
        <v>187</v>
      </c>
      <c r="S547" t="s">
        <v>1276</v>
      </c>
      <c r="T547" t="str">
        <f>Table_TRM_Fixtures[[#This Row],[Fixture code  (TRM Data)]]</f>
        <v>LED495-FIXT</v>
      </c>
      <c r="U547" t="s">
        <v>2883</v>
      </c>
      <c r="V547" t="s">
        <v>185</v>
      </c>
      <c r="W547" t="s">
        <v>3120</v>
      </c>
      <c r="X547" t="s">
        <v>186</v>
      </c>
      <c r="AA547">
        <f>IF(Table_TRM_Fixtures[[#This Row],[Pre-EISA Baseline]]="Nominal", Table_TRM_Fixtures[[#This Row],[Fixture Watts  (TRM Data)]], Table_TRM_Fixtures[[#This Row],[Modified Baseline Fixture Watts]])</f>
        <v>495</v>
      </c>
    </row>
    <row r="548" spans="1:27" x14ac:dyDescent="0.2">
      <c r="A548" t="s">
        <v>1279</v>
      </c>
      <c r="B548" t="s">
        <v>4753</v>
      </c>
      <c r="C548" t="s">
        <v>4754</v>
      </c>
      <c r="D548" t="s">
        <v>4755</v>
      </c>
      <c r="E548" t="s">
        <v>187</v>
      </c>
      <c r="F548" t="s">
        <v>186</v>
      </c>
      <c r="G548" t="s">
        <v>186</v>
      </c>
      <c r="H548">
        <v>496</v>
      </c>
      <c r="I548">
        <v>15</v>
      </c>
      <c r="J548" s="110">
        <v>546</v>
      </c>
      <c r="K548" t="s">
        <v>185</v>
      </c>
      <c r="L548">
        <f>IF(Table_TRM_Fixtures[[#This Row],[Technology]]="LED", Table_TRM_Fixtures[[#This Row],[Fixture Watts  (TRM Data)]], Table_TRM_Fixtures[[#This Row],[Lamp Watts  (TRM Data)]])</f>
        <v>496</v>
      </c>
      <c r="M548" t="str">
        <f>Table_TRM_Fixtures[[#This Row],[No. of Lamps  (TRM Data)]]</f>
        <v>N/A</v>
      </c>
      <c r="N548" t="s">
        <v>186</v>
      </c>
      <c r="O548" t="s">
        <v>186</v>
      </c>
      <c r="P548" t="s">
        <v>187</v>
      </c>
      <c r="S548" t="s">
        <v>1278</v>
      </c>
      <c r="T548" t="str">
        <f>Table_TRM_Fixtures[[#This Row],[Fixture code  (TRM Data)]]</f>
        <v>LED496-FIXT</v>
      </c>
      <c r="U548" t="s">
        <v>2883</v>
      </c>
      <c r="V548" t="s">
        <v>185</v>
      </c>
      <c r="W548" t="s">
        <v>3120</v>
      </c>
      <c r="X548" t="s">
        <v>186</v>
      </c>
      <c r="AA548">
        <f>IF(Table_TRM_Fixtures[[#This Row],[Pre-EISA Baseline]]="Nominal", Table_TRM_Fixtures[[#This Row],[Fixture Watts  (TRM Data)]], Table_TRM_Fixtures[[#This Row],[Modified Baseline Fixture Watts]])</f>
        <v>496</v>
      </c>
    </row>
    <row r="549" spans="1:27" x14ac:dyDescent="0.2">
      <c r="A549" t="s">
        <v>1281</v>
      </c>
      <c r="B549" t="s">
        <v>4756</v>
      </c>
      <c r="C549" t="s">
        <v>4757</v>
      </c>
      <c r="D549" t="s">
        <v>4758</v>
      </c>
      <c r="E549" t="s">
        <v>187</v>
      </c>
      <c r="F549" t="s">
        <v>186</v>
      </c>
      <c r="G549" t="s">
        <v>186</v>
      </c>
      <c r="H549">
        <v>497</v>
      </c>
      <c r="I549">
        <v>15</v>
      </c>
      <c r="J549" s="110">
        <v>547</v>
      </c>
      <c r="K549" t="s">
        <v>185</v>
      </c>
      <c r="L549">
        <f>IF(Table_TRM_Fixtures[[#This Row],[Technology]]="LED", Table_TRM_Fixtures[[#This Row],[Fixture Watts  (TRM Data)]], Table_TRM_Fixtures[[#This Row],[Lamp Watts  (TRM Data)]])</f>
        <v>497</v>
      </c>
      <c r="M549" t="str">
        <f>Table_TRM_Fixtures[[#This Row],[No. of Lamps  (TRM Data)]]</f>
        <v>N/A</v>
      </c>
      <c r="N549" t="s">
        <v>186</v>
      </c>
      <c r="O549" t="s">
        <v>186</v>
      </c>
      <c r="P549" t="s">
        <v>187</v>
      </c>
      <c r="S549" t="s">
        <v>1280</v>
      </c>
      <c r="T549" t="str">
        <f>Table_TRM_Fixtures[[#This Row],[Fixture code  (TRM Data)]]</f>
        <v>LED497-FIXT</v>
      </c>
      <c r="U549" t="s">
        <v>2883</v>
      </c>
      <c r="V549" t="s">
        <v>185</v>
      </c>
      <c r="W549" t="s">
        <v>3120</v>
      </c>
      <c r="X549" t="s">
        <v>186</v>
      </c>
      <c r="AA549">
        <f>IF(Table_TRM_Fixtures[[#This Row],[Pre-EISA Baseline]]="Nominal", Table_TRM_Fixtures[[#This Row],[Fixture Watts  (TRM Data)]], Table_TRM_Fixtures[[#This Row],[Modified Baseline Fixture Watts]])</f>
        <v>497</v>
      </c>
    </row>
    <row r="550" spans="1:27" x14ac:dyDescent="0.2">
      <c r="A550" t="s">
        <v>1283</v>
      </c>
      <c r="B550" t="s">
        <v>4759</v>
      </c>
      <c r="C550" t="s">
        <v>4760</v>
      </c>
      <c r="D550" t="s">
        <v>4761</v>
      </c>
      <c r="E550" t="s">
        <v>187</v>
      </c>
      <c r="F550" t="s">
        <v>186</v>
      </c>
      <c r="G550" t="s">
        <v>186</v>
      </c>
      <c r="H550">
        <v>498</v>
      </c>
      <c r="I550">
        <v>15</v>
      </c>
      <c r="J550" s="110">
        <v>548</v>
      </c>
      <c r="K550" t="s">
        <v>185</v>
      </c>
      <c r="L550">
        <f>IF(Table_TRM_Fixtures[[#This Row],[Technology]]="LED", Table_TRM_Fixtures[[#This Row],[Fixture Watts  (TRM Data)]], Table_TRM_Fixtures[[#This Row],[Lamp Watts  (TRM Data)]])</f>
        <v>498</v>
      </c>
      <c r="M550" t="str">
        <f>Table_TRM_Fixtures[[#This Row],[No. of Lamps  (TRM Data)]]</f>
        <v>N/A</v>
      </c>
      <c r="N550" t="s">
        <v>186</v>
      </c>
      <c r="O550" t="s">
        <v>186</v>
      </c>
      <c r="P550" t="s">
        <v>187</v>
      </c>
      <c r="S550" t="s">
        <v>1282</v>
      </c>
      <c r="T550" t="str">
        <f>Table_TRM_Fixtures[[#This Row],[Fixture code  (TRM Data)]]</f>
        <v>LED498-FIXT</v>
      </c>
      <c r="U550" t="s">
        <v>2883</v>
      </c>
      <c r="V550" t="s">
        <v>185</v>
      </c>
      <c r="W550" t="s">
        <v>3120</v>
      </c>
      <c r="X550" t="s">
        <v>186</v>
      </c>
      <c r="AA550">
        <f>IF(Table_TRM_Fixtures[[#This Row],[Pre-EISA Baseline]]="Nominal", Table_TRM_Fixtures[[#This Row],[Fixture Watts  (TRM Data)]], Table_TRM_Fixtures[[#This Row],[Modified Baseline Fixture Watts]])</f>
        <v>498</v>
      </c>
    </row>
    <row r="551" spans="1:27" x14ac:dyDescent="0.2">
      <c r="A551" t="s">
        <v>1285</v>
      </c>
      <c r="B551" t="s">
        <v>4762</v>
      </c>
      <c r="C551" t="s">
        <v>4763</v>
      </c>
      <c r="D551" t="s">
        <v>4764</v>
      </c>
      <c r="E551" t="s">
        <v>187</v>
      </c>
      <c r="F551" t="s">
        <v>186</v>
      </c>
      <c r="G551" t="s">
        <v>186</v>
      </c>
      <c r="H551">
        <v>499</v>
      </c>
      <c r="I551">
        <v>15</v>
      </c>
      <c r="J551" s="110">
        <v>549</v>
      </c>
      <c r="K551" t="s">
        <v>185</v>
      </c>
      <c r="L551">
        <f>IF(Table_TRM_Fixtures[[#This Row],[Technology]]="LED", Table_TRM_Fixtures[[#This Row],[Fixture Watts  (TRM Data)]], Table_TRM_Fixtures[[#This Row],[Lamp Watts  (TRM Data)]])</f>
        <v>499</v>
      </c>
      <c r="M551" t="str">
        <f>Table_TRM_Fixtures[[#This Row],[No. of Lamps  (TRM Data)]]</f>
        <v>N/A</v>
      </c>
      <c r="N551" t="s">
        <v>186</v>
      </c>
      <c r="O551" t="s">
        <v>186</v>
      </c>
      <c r="P551" t="s">
        <v>187</v>
      </c>
      <c r="S551" t="s">
        <v>1284</v>
      </c>
      <c r="T551" t="str">
        <f>Table_TRM_Fixtures[[#This Row],[Fixture code  (TRM Data)]]</f>
        <v>LED499-FIXT</v>
      </c>
      <c r="U551" t="s">
        <v>2883</v>
      </c>
      <c r="V551" t="s">
        <v>185</v>
      </c>
      <c r="W551" t="s">
        <v>3120</v>
      </c>
      <c r="X551" t="s">
        <v>186</v>
      </c>
      <c r="AA551">
        <f>IF(Table_TRM_Fixtures[[#This Row],[Pre-EISA Baseline]]="Nominal", Table_TRM_Fixtures[[#This Row],[Fixture Watts  (TRM Data)]], Table_TRM_Fixtures[[#This Row],[Modified Baseline Fixture Watts]])</f>
        <v>499</v>
      </c>
    </row>
    <row r="552" spans="1:27" x14ac:dyDescent="0.2">
      <c r="A552" t="s">
        <v>1287</v>
      </c>
      <c r="B552" t="s">
        <v>4765</v>
      </c>
      <c r="C552" t="s">
        <v>4766</v>
      </c>
      <c r="D552" t="s">
        <v>4767</v>
      </c>
      <c r="E552" t="s">
        <v>187</v>
      </c>
      <c r="F552" t="s">
        <v>186</v>
      </c>
      <c r="G552" t="s">
        <v>186</v>
      </c>
      <c r="H552">
        <v>500</v>
      </c>
      <c r="I552">
        <v>15</v>
      </c>
      <c r="J552" s="110">
        <v>550</v>
      </c>
      <c r="K552" t="s">
        <v>185</v>
      </c>
      <c r="L552">
        <f>IF(Table_TRM_Fixtures[[#This Row],[Technology]]="LED", Table_TRM_Fixtures[[#This Row],[Fixture Watts  (TRM Data)]], Table_TRM_Fixtures[[#This Row],[Lamp Watts  (TRM Data)]])</f>
        <v>500</v>
      </c>
      <c r="M552" t="str">
        <f>Table_TRM_Fixtures[[#This Row],[No. of Lamps  (TRM Data)]]</f>
        <v>N/A</v>
      </c>
      <c r="N552" t="s">
        <v>186</v>
      </c>
      <c r="O552" t="s">
        <v>186</v>
      </c>
      <c r="P552" t="s">
        <v>187</v>
      </c>
      <c r="S552" t="s">
        <v>1286</v>
      </c>
      <c r="T552" t="str">
        <f>Table_TRM_Fixtures[[#This Row],[Fixture code  (TRM Data)]]</f>
        <v>LED500-FIXT</v>
      </c>
      <c r="U552" t="s">
        <v>2883</v>
      </c>
      <c r="V552" t="s">
        <v>185</v>
      </c>
      <c r="W552" t="s">
        <v>3120</v>
      </c>
      <c r="X552" t="s">
        <v>186</v>
      </c>
      <c r="AA552">
        <f>IF(Table_TRM_Fixtures[[#This Row],[Pre-EISA Baseline]]="Nominal", Table_TRM_Fixtures[[#This Row],[Fixture Watts  (TRM Data)]], Table_TRM_Fixtures[[#This Row],[Modified Baseline Fixture Watts]])</f>
        <v>500</v>
      </c>
    </row>
    <row r="553" spans="1:27" x14ac:dyDescent="0.2">
      <c r="A553" t="s">
        <v>1289</v>
      </c>
      <c r="B553" t="s">
        <v>4768</v>
      </c>
      <c r="C553" t="s">
        <v>4769</v>
      </c>
      <c r="D553" t="s">
        <v>4770</v>
      </c>
      <c r="E553" t="s">
        <v>187</v>
      </c>
      <c r="F553" t="s">
        <v>186</v>
      </c>
      <c r="G553" t="s">
        <v>186</v>
      </c>
      <c r="H553">
        <v>505</v>
      </c>
      <c r="I553">
        <v>15</v>
      </c>
      <c r="J553" s="110">
        <v>551</v>
      </c>
      <c r="K553" t="s">
        <v>185</v>
      </c>
      <c r="L553">
        <f>IF(Table_TRM_Fixtures[[#This Row],[Technology]]="LED", Table_TRM_Fixtures[[#This Row],[Fixture Watts  (TRM Data)]], Table_TRM_Fixtures[[#This Row],[Lamp Watts  (TRM Data)]])</f>
        <v>505</v>
      </c>
      <c r="M553" t="str">
        <f>Table_TRM_Fixtures[[#This Row],[No. of Lamps  (TRM Data)]]</f>
        <v>N/A</v>
      </c>
      <c r="N553" t="s">
        <v>186</v>
      </c>
      <c r="O553" t="s">
        <v>186</v>
      </c>
      <c r="P553" t="s">
        <v>187</v>
      </c>
      <c r="S553" t="s">
        <v>1288</v>
      </c>
      <c r="T553" t="str">
        <f>Table_TRM_Fixtures[[#This Row],[Fixture code  (TRM Data)]]</f>
        <v>LED505-FIXT</v>
      </c>
      <c r="U553" t="s">
        <v>2883</v>
      </c>
      <c r="V553" t="s">
        <v>185</v>
      </c>
      <c r="W553" t="s">
        <v>3120</v>
      </c>
      <c r="X553" t="s">
        <v>186</v>
      </c>
      <c r="AA553">
        <f>IF(Table_TRM_Fixtures[[#This Row],[Pre-EISA Baseline]]="Nominal", Table_TRM_Fixtures[[#This Row],[Fixture Watts  (TRM Data)]], Table_TRM_Fixtures[[#This Row],[Modified Baseline Fixture Watts]])</f>
        <v>505</v>
      </c>
    </row>
    <row r="554" spans="1:27" x14ac:dyDescent="0.2">
      <c r="A554" t="s">
        <v>1291</v>
      </c>
      <c r="B554" t="s">
        <v>4771</v>
      </c>
      <c r="C554" t="s">
        <v>4772</v>
      </c>
      <c r="D554" t="s">
        <v>4773</v>
      </c>
      <c r="E554" t="s">
        <v>187</v>
      </c>
      <c r="F554" t="s">
        <v>186</v>
      </c>
      <c r="G554" t="s">
        <v>186</v>
      </c>
      <c r="H554">
        <v>510</v>
      </c>
      <c r="I554">
        <v>15</v>
      </c>
      <c r="J554" s="110">
        <v>552</v>
      </c>
      <c r="K554" t="s">
        <v>185</v>
      </c>
      <c r="L554">
        <f>IF(Table_TRM_Fixtures[[#This Row],[Technology]]="LED", Table_TRM_Fixtures[[#This Row],[Fixture Watts  (TRM Data)]], Table_TRM_Fixtures[[#This Row],[Lamp Watts  (TRM Data)]])</f>
        <v>510</v>
      </c>
      <c r="M554" t="str">
        <f>Table_TRM_Fixtures[[#This Row],[No. of Lamps  (TRM Data)]]</f>
        <v>N/A</v>
      </c>
      <c r="N554" t="s">
        <v>186</v>
      </c>
      <c r="O554" t="s">
        <v>186</v>
      </c>
      <c r="P554" t="s">
        <v>187</v>
      </c>
      <c r="S554" t="s">
        <v>1290</v>
      </c>
      <c r="T554" t="str">
        <f>Table_TRM_Fixtures[[#This Row],[Fixture code  (TRM Data)]]</f>
        <v>LED510-FIXT</v>
      </c>
      <c r="U554" t="s">
        <v>2883</v>
      </c>
      <c r="V554" t="s">
        <v>185</v>
      </c>
      <c r="W554" t="s">
        <v>3120</v>
      </c>
      <c r="X554" t="s">
        <v>186</v>
      </c>
      <c r="AA554">
        <f>IF(Table_TRM_Fixtures[[#This Row],[Pre-EISA Baseline]]="Nominal", Table_TRM_Fixtures[[#This Row],[Fixture Watts  (TRM Data)]], Table_TRM_Fixtures[[#This Row],[Modified Baseline Fixture Watts]])</f>
        <v>510</v>
      </c>
    </row>
    <row r="555" spans="1:27" x14ac:dyDescent="0.2">
      <c r="A555" t="s">
        <v>1293</v>
      </c>
      <c r="B555" t="s">
        <v>4774</v>
      </c>
      <c r="C555" t="s">
        <v>4775</v>
      </c>
      <c r="D555" t="s">
        <v>4776</v>
      </c>
      <c r="E555" t="s">
        <v>187</v>
      </c>
      <c r="F555" t="s">
        <v>186</v>
      </c>
      <c r="G555" t="s">
        <v>186</v>
      </c>
      <c r="H555">
        <v>515</v>
      </c>
      <c r="I555">
        <v>15</v>
      </c>
      <c r="J555" s="110">
        <v>553</v>
      </c>
      <c r="K555" t="s">
        <v>185</v>
      </c>
      <c r="L555">
        <f>IF(Table_TRM_Fixtures[[#This Row],[Technology]]="LED", Table_TRM_Fixtures[[#This Row],[Fixture Watts  (TRM Data)]], Table_TRM_Fixtures[[#This Row],[Lamp Watts  (TRM Data)]])</f>
        <v>515</v>
      </c>
      <c r="M555" t="str">
        <f>Table_TRM_Fixtures[[#This Row],[No. of Lamps  (TRM Data)]]</f>
        <v>N/A</v>
      </c>
      <c r="N555" t="s">
        <v>186</v>
      </c>
      <c r="O555" t="s">
        <v>186</v>
      </c>
      <c r="P555" t="s">
        <v>187</v>
      </c>
      <c r="S555" t="s">
        <v>1292</v>
      </c>
      <c r="T555" t="str">
        <f>Table_TRM_Fixtures[[#This Row],[Fixture code  (TRM Data)]]</f>
        <v>LED515-FIXT</v>
      </c>
      <c r="U555" t="s">
        <v>2883</v>
      </c>
      <c r="V555" t="s">
        <v>185</v>
      </c>
      <c r="W555" t="s">
        <v>3120</v>
      </c>
      <c r="X555" t="s">
        <v>186</v>
      </c>
      <c r="AA555">
        <f>IF(Table_TRM_Fixtures[[#This Row],[Pre-EISA Baseline]]="Nominal", Table_TRM_Fixtures[[#This Row],[Fixture Watts  (TRM Data)]], Table_TRM_Fixtures[[#This Row],[Modified Baseline Fixture Watts]])</f>
        <v>515</v>
      </c>
    </row>
    <row r="556" spans="1:27" x14ac:dyDescent="0.2">
      <c r="A556" t="s">
        <v>1295</v>
      </c>
      <c r="B556" t="s">
        <v>4777</v>
      </c>
      <c r="C556" t="s">
        <v>4778</v>
      </c>
      <c r="D556" t="s">
        <v>4779</v>
      </c>
      <c r="E556" t="s">
        <v>187</v>
      </c>
      <c r="F556" t="s">
        <v>186</v>
      </c>
      <c r="G556" t="s">
        <v>186</v>
      </c>
      <c r="H556">
        <v>520</v>
      </c>
      <c r="I556">
        <v>15</v>
      </c>
      <c r="J556" s="110">
        <v>554</v>
      </c>
      <c r="K556" t="s">
        <v>185</v>
      </c>
      <c r="L556">
        <f>IF(Table_TRM_Fixtures[[#This Row],[Technology]]="LED", Table_TRM_Fixtures[[#This Row],[Fixture Watts  (TRM Data)]], Table_TRM_Fixtures[[#This Row],[Lamp Watts  (TRM Data)]])</f>
        <v>520</v>
      </c>
      <c r="M556" t="str">
        <f>Table_TRM_Fixtures[[#This Row],[No. of Lamps  (TRM Data)]]</f>
        <v>N/A</v>
      </c>
      <c r="N556" t="s">
        <v>186</v>
      </c>
      <c r="O556" t="s">
        <v>186</v>
      </c>
      <c r="P556" t="s">
        <v>187</v>
      </c>
      <c r="S556" t="s">
        <v>1294</v>
      </c>
      <c r="T556" t="str">
        <f>Table_TRM_Fixtures[[#This Row],[Fixture code  (TRM Data)]]</f>
        <v>LED520-FIXT</v>
      </c>
      <c r="U556" t="s">
        <v>2883</v>
      </c>
      <c r="V556" t="s">
        <v>185</v>
      </c>
      <c r="W556" t="s">
        <v>3120</v>
      </c>
      <c r="X556" t="s">
        <v>186</v>
      </c>
      <c r="AA556">
        <f>IF(Table_TRM_Fixtures[[#This Row],[Pre-EISA Baseline]]="Nominal", Table_TRM_Fixtures[[#This Row],[Fixture Watts  (TRM Data)]], Table_TRM_Fixtures[[#This Row],[Modified Baseline Fixture Watts]])</f>
        <v>520</v>
      </c>
    </row>
    <row r="557" spans="1:27" x14ac:dyDescent="0.2">
      <c r="A557" t="s">
        <v>1297</v>
      </c>
      <c r="B557" t="s">
        <v>4780</v>
      </c>
      <c r="C557" t="s">
        <v>4781</v>
      </c>
      <c r="D557" t="s">
        <v>4782</v>
      </c>
      <c r="E557" t="s">
        <v>187</v>
      </c>
      <c r="F557" t="s">
        <v>186</v>
      </c>
      <c r="G557" t="s">
        <v>186</v>
      </c>
      <c r="H557">
        <v>525</v>
      </c>
      <c r="I557">
        <v>15</v>
      </c>
      <c r="J557" s="110">
        <v>555</v>
      </c>
      <c r="K557" t="s">
        <v>185</v>
      </c>
      <c r="L557">
        <f>IF(Table_TRM_Fixtures[[#This Row],[Technology]]="LED", Table_TRM_Fixtures[[#This Row],[Fixture Watts  (TRM Data)]], Table_TRM_Fixtures[[#This Row],[Lamp Watts  (TRM Data)]])</f>
        <v>525</v>
      </c>
      <c r="M557" t="str">
        <f>Table_TRM_Fixtures[[#This Row],[No. of Lamps  (TRM Data)]]</f>
        <v>N/A</v>
      </c>
      <c r="N557" t="s">
        <v>186</v>
      </c>
      <c r="O557" t="s">
        <v>186</v>
      </c>
      <c r="P557" t="s">
        <v>187</v>
      </c>
      <c r="S557" t="s">
        <v>1296</v>
      </c>
      <c r="T557" t="str">
        <f>Table_TRM_Fixtures[[#This Row],[Fixture code  (TRM Data)]]</f>
        <v>LED525-FIXT</v>
      </c>
      <c r="U557" t="s">
        <v>2883</v>
      </c>
      <c r="V557" t="s">
        <v>185</v>
      </c>
      <c r="W557" t="s">
        <v>3120</v>
      </c>
      <c r="X557" t="s">
        <v>186</v>
      </c>
      <c r="AA557">
        <f>IF(Table_TRM_Fixtures[[#This Row],[Pre-EISA Baseline]]="Nominal", Table_TRM_Fixtures[[#This Row],[Fixture Watts  (TRM Data)]], Table_TRM_Fixtures[[#This Row],[Modified Baseline Fixture Watts]])</f>
        <v>525</v>
      </c>
    </row>
    <row r="558" spans="1:27" x14ac:dyDescent="0.2">
      <c r="A558" t="s">
        <v>1299</v>
      </c>
      <c r="B558" t="s">
        <v>4783</v>
      </c>
      <c r="C558" t="s">
        <v>4784</v>
      </c>
      <c r="D558" t="s">
        <v>4785</v>
      </c>
      <c r="E558" t="s">
        <v>187</v>
      </c>
      <c r="F558" t="s">
        <v>186</v>
      </c>
      <c r="G558" t="s">
        <v>186</v>
      </c>
      <c r="H558">
        <v>530</v>
      </c>
      <c r="I558">
        <v>15</v>
      </c>
      <c r="J558" s="110">
        <v>556</v>
      </c>
      <c r="K558" t="s">
        <v>185</v>
      </c>
      <c r="L558">
        <f>IF(Table_TRM_Fixtures[[#This Row],[Technology]]="LED", Table_TRM_Fixtures[[#This Row],[Fixture Watts  (TRM Data)]], Table_TRM_Fixtures[[#This Row],[Lamp Watts  (TRM Data)]])</f>
        <v>530</v>
      </c>
      <c r="M558" t="str">
        <f>Table_TRM_Fixtures[[#This Row],[No. of Lamps  (TRM Data)]]</f>
        <v>N/A</v>
      </c>
      <c r="N558" t="s">
        <v>186</v>
      </c>
      <c r="O558" t="s">
        <v>186</v>
      </c>
      <c r="P558" t="s">
        <v>187</v>
      </c>
      <c r="S558" t="s">
        <v>1298</v>
      </c>
      <c r="T558" t="str">
        <f>Table_TRM_Fixtures[[#This Row],[Fixture code  (TRM Data)]]</f>
        <v>LED530-FIXT</v>
      </c>
      <c r="U558" t="s">
        <v>2883</v>
      </c>
      <c r="V558" t="s">
        <v>185</v>
      </c>
      <c r="W558" t="s">
        <v>3120</v>
      </c>
      <c r="X558" t="s">
        <v>186</v>
      </c>
      <c r="AA558">
        <f>IF(Table_TRM_Fixtures[[#This Row],[Pre-EISA Baseline]]="Nominal", Table_TRM_Fixtures[[#This Row],[Fixture Watts  (TRM Data)]], Table_TRM_Fixtures[[#This Row],[Modified Baseline Fixture Watts]])</f>
        <v>530</v>
      </c>
    </row>
    <row r="559" spans="1:27" x14ac:dyDescent="0.2">
      <c r="A559" t="s">
        <v>1301</v>
      </c>
      <c r="B559" t="s">
        <v>4786</v>
      </c>
      <c r="C559" t="s">
        <v>4787</v>
      </c>
      <c r="D559" t="s">
        <v>4788</v>
      </c>
      <c r="E559" t="s">
        <v>187</v>
      </c>
      <c r="F559" t="s">
        <v>186</v>
      </c>
      <c r="G559" t="s">
        <v>186</v>
      </c>
      <c r="H559">
        <v>535</v>
      </c>
      <c r="I559">
        <v>15</v>
      </c>
      <c r="J559" s="110">
        <v>557</v>
      </c>
      <c r="K559" t="s">
        <v>185</v>
      </c>
      <c r="L559">
        <f>IF(Table_TRM_Fixtures[[#This Row],[Technology]]="LED", Table_TRM_Fixtures[[#This Row],[Fixture Watts  (TRM Data)]], Table_TRM_Fixtures[[#This Row],[Lamp Watts  (TRM Data)]])</f>
        <v>535</v>
      </c>
      <c r="M559" t="str">
        <f>Table_TRM_Fixtures[[#This Row],[No. of Lamps  (TRM Data)]]</f>
        <v>N/A</v>
      </c>
      <c r="N559" t="s">
        <v>186</v>
      </c>
      <c r="O559" t="s">
        <v>186</v>
      </c>
      <c r="P559" t="s">
        <v>187</v>
      </c>
      <c r="S559" t="s">
        <v>1300</v>
      </c>
      <c r="T559" t="str">
        <f>Table_TRM_Fixtures[[#This Row],[Fixture code  (TRM Data)]]</f>
        <v>LED535-FIXT</v>
      </c>
      <c r="U559" t="s">
        <v>2883</v>
      </c>
      <c r="V559" t="s">
        <v>185</v>
      </c>
      <c r="W559" t="s">
        <v>3120</v>
      </c>
      <c r="X559" t="s">
        <v>186</v>
      </c>
      <c r="AA559">
        <f>IF(Table_TRM_Fixtures[[#This Row],[Pre-EISA Baseline]]="Nominal", Table_TRM_Fixtures[[#This Row],[Fixture Watts  (TRM Data)]], Table_TRM_Fixtures[[#This Row],[Modified Baseline Fixture Watts]])</f>
        <v>535</v>
      </c>
    </row>
    <row r="560" spans="1:27" x14ac:dyDescent="0.2">
      <c r="A560" t="s">
        <v>1303</v>
      </c>
      <c r="B560" t="s">
        <v>4789</v>
      </c>
      <c r="C560" t="s">
        <v>4790</v>
      </c>
      <c r="D560" t="s">
        <v>4791</v>
      </c>
      <c r="E560" t="s">
        <v>187</v>
      </c>
      <c r="F560" t="s">
        <v>186</v>
      </c>
      <c r="G560" t="s">
        <v>186</v>
      </c>
      <c r="H560">
        <v>540</v>
      </c>
      <c r="I560">
        <v>15</v>
      </c>
      <c r="J560" s="110">
        <v>558</v>
      </c>
      <c r="K560" t="s">
        <v>185</v>
      </c>
      <c r="L560">
        <f>IF(Table_TRM_Fixtures[[#This Row],[Technology]]="LED", Table_TRM_Fixtures[[#This Row],[Fixture Watts  (TRM Data)]], Table_TRM_Fixtures[[#This Row],[Lamp Watts  (TRM Data)]])</f>
        <v>540</v>
      </c>
      <c r="M560" t="str">
        <f>Table_TRM_Fixtures[[#This Row],[No. of Lamps  (TRM Data)]]</f>
        <v>N/A</v>
      </c>
      <c r="N560" t="s">
        <v>186</v>
      </c>
      <c r="O560" t="s">
        <v>186</v>
      </c>
      <c r="P560" t="s">
        <v>187</v>
      </c>
      <c r="S560" t="s">
        <v>1302</v>
      </c>
      <c r="T560" t="str">
        <f>Table_TRM_Fixtures[[#This Row],[Fixture code  (TRM Data)]]</f>
        <v>LED540-FIXT</v>
      </c>
      <c r="U560" t="s">
        <v>2883</v>
      </c>
      <c r="V560" t="s">
        <v>185</v>
      </c>
      <c r="W560" t="s">
        <v>3120</v>
      </c>
      <c r="X560" t="s">
        <v>186</v>
      </c>
      <c r="AA560">
        <f>IF(Table_TRM_Fixtures[[#This Row],[Pre-EISA Baseline]]="Nominal", Table_TRM_Fixtures[[#This Row],[Fixture Watts  (TRM Data)]], Table_TRM_Fixtures[[#This Row],[Modified Baseline Fixture Watts]])</f>
        <v>540</v>
      </c>
    </row>
    <row r="561" spans="1:27" x14ac:dyDescent="0.2">
      <c r="A561" t="s">
        <v>1305</v>
      </c>
      <c r="B561" t="s">
        <v>4792</v>
      </c>
      <c r="C561" t="s">
        <v>4793</v>
      </c>
      <c r="D561" t="s">
        <v>4794</v>
      </c>
      <c r="E561" t="s">
        <v>187</v>
      </c>
      <c r="F561" t="s">
        <v>186</v>
      </c>
      <c r="G561" t="s">
        <v>186</v>
      </c>
      <c r="H561">
        <v>545</v>
      </c>
      <c r="I561">
        <v>15</v>
      </c>
      <c r="J561" s="110">
        <v>559</v>
      </c>
      <c r="K561" t="s">
        <v>185</v>
      </c>
      <c r="L561">
        <f>IF(Table_TRM_Fixtures[[#This Row],[Technology]]="LED", Table_TRM_Fixtures[[#This Row],[Fixture Watts  (TRM Data)]], Table_TRM_Fixtures[[#This Row],[Lamp Watts  (TRM Data)]])</f>
        <v>545</v>
      </c>
      <c r="M561" t="str">
        <f>Table_TRM_Fixtures[[#This Row],[No. of Lamps  (TRM Data)]]</f>
        <v>N/A</v>
      </c>
      <c r="N561" t="s">
        <v>186</v>
      </c>
      <c r="O561" t="s">
        <v>186</v>
      </c>
      <c r="P561" t="s">
        <v>187</v>
      </c>
      <c r="S561" t="s">
        <v>1304</v>
      </c>
      <c r="T561" t="str">
        <f>Table_TRM_Fixtures[[#This Row],[Fixture code  (TRM Data)]]</f>
        <v>LED545-FIXT</v>
      </c>
      <c r="U561" t="s">
        <v>2883</v>
      </c>
      <c r="V561" t="s">
        <v>185</v>
      </c>
      <c r="W561" t="s">
        <v>3120</v>
      </c>
      <c r="X561" t="s">
        <v>186</v>
      </c>
      <c r="AA561">
        <f>IF(Table_TRM_Fixtures[[#This Row],[Pre-EISA Baseline]]="Nominal", Table_TRM_Fixtures[[#This Row],[Fixture Watts  (TRM Data)]], Table_TRM_Fixtures[[#This Row],[Modified Baseline Fixture Watts]])</f>
        <v>545</v>
      </c>
    </row>
    <row r="562" spans="1:27" x14ac:dyDescent="0.2">
      <c r="A562" t="s">
        <v>1307</v>
      </c>
      <c r="B562" t="s">
        <v>4795</v>
      </c>
      <c r="C562" t="s">
        <v>4796</v>
      </c>
      <c r="D562" t="s">
        <v>4797</v>
      </c>
      <c r="E562" t="s">
        <v>187</v>
      </c>
      <c r="F562" t="s">
        <v>186</v>
      </c>
      <c r="G562" t="s">
        <v>186</v>
      </c>
      <c r="H562">
        <v>550</v>
      </c>
      <c r="I562">
        <v>15</v>
      </c>
      <c r="J562" s="110">
        <v>560</v>
      </c>
      <c r="K562" t="s">
        <v>185</v>
      </c>
      <c r="L562">
        <f>IF(Table_TRM_Fixtures[[#This Row],[Technology]]="LED", Table_TRM_Fixtures[[#This Row],[Fixture Watts  (TRM Data)]], Table_TRM_Fixtures[[#This Row],[Lamp Watts  (TRM Data)]])</f>
        <v>550</v>
      </c>
      <c r="M562" t="str">
        <f>Table_TRM_Fixtures[[#This Row],[No. of Lamps  (TRM Data)]]</f>
        <v>N/A</v>
      </c>
      <c r="N562" t="s">
        <v>186</v>
      </c>
      <c r="O562" t="s">
        <v>186</v>
      </c>
      <c r="P562" t="s">
        <v>187</v>
      </c>
      <c r="S562" t="s">
        <v>1306</v>
      </c>
      <c r="T562" t="str">
        <f>Table_TRM_Fixtures[[#This Row],[Fixture code  (TRM Data)]]</f>
        <v>LED550-FIXT</v>
      </c>
      <c r="U562" t="s">
        <v>2883</v>
      </c>
      <c r="V562" t="s">
        <v>185</v>
      </c>
      <c r="W562" t="s">
        <v>3120</v>
      </c>
      <c r="X562" t="s">
        <v>186</v>
      </c>
      <c r="AA562">
        <f>IF(Table_TRM_Fixtures[[#This Row],[Pre-EISA Baseline]]="Nominal", Table_TRM_Fixtures[[#This Row],[Fixture Watts  (TRM Data)]], Table_TRM_Fixtures[[#This Row],[Modified Baseline Fixture Watts]])</f>
        <v>550</v>
      </c>
    </row>
    <row r="563" spans="1:27" x14ac:dyDescent="0.2">
      <c r="A563" t="s">
        <v>4798</v>
      </c>
      <c r="B563" t="s">
        <v>4799</v>
      </c>
      <c r="C563" t="s">
        <v>4800</v>
      </c>
      <c r="D563" t="s">
        <v>4801</v>
      </c>
      <c r="E563" t="s">
        <v>4802</v>
      </c>
      <c r="F563">
        <v>1</v>
      </c>
      <c r="G563">
        <v>2</v>
      </c>
      <c r="H563">
        <v>2</v>
      </c>
      <c r="I563" t="s">
        <v>186</v>
      </c>
      <c r="J563" s="110">
        <v>561</v>
      </c>
      <c r="K563" t="s">
        <v>2893</v>
      </c>
      <c r="L563">
        <f>IF(Table_TRM_Fixtures[[#This Row],[Technology]]="LED", Table_TRM_Fixtures[[#This Row],[Fixture Watts  (TRM Data)]], Table_TRM_Fixtures[[#This Row],[Lamp Watts  (TRM Data)]])</f>
        <v>2</v>
      </c>
      <c r="M563">
        <f>Table_TRM_Fixtures[[#This Row],[No. of Lamps  (TRM Data)]]</f>
        <v>1</v>
      </c>
      <c r="N563" t="s">
        <v>186</v>
      </c>
      <c r="O563" t="s">
        <v>186</v>
      </c>
      <c r="R563" t="s">
        <v>2893</v>
      </c>
      <c r="S563"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2W screw-in lamp/base w/ permanent disk installed, any bulb shape</v>
      </c>
      <c r="T563" t="str">
        <f>Table_TRM_Fixtures[[#This Row],[Fixture code  (TRM Data)]]</f>
        <v>CF2/1-SCRW</v>
      </c>
      <c r="U563" t="s">
        <v>2882</v>
      </c>
      <c r="V563" t="s">
        <v>186</v>
      </c>
      <c r="W563" t="s">
        <v>3120</v>
      </c>
      <c r="X563" t="s">
        <v>186</v>
      </c>
      <c r="Y563" t="str">
        <f>_xlfn.CONCAT(Table_TRM_Fixtures[[#This Row],[Combined Lighting/Ballast Types]],":",Table_TRM_Fixtures[[#This Row],[No. of Lamps]], ":", Table_TRM_Fixtures[[#This Row],[Lamp Watts  (TRM Data)]])</f>
        <v>CFL:1:2</v>
      </c>
      <c r="Z563"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CFL:1:2</v>
      </c>
      <c r="AA563">
        <f>IF(Table_TRM_Fixtures[[#This Row],[Pre-EISA Baseline]]="Nominal", Table_TRM_Fixtures[[#This Row],[Fixture Watts  (TRM Data)]], Table_TRM_Fixtures[[#This Row],[Modified Baseline Fixture Watts]])</f>
        <v>2</v>
      </c>
    </row>
    <row r="564" spans="1:27" x14ac:dyDescent="0.2">
      <c r="A564" t="s">
        <v>4803</v>
      </c>
      <c r="B564" t="s">
        <v>4804</v>
      </c>
      <c r="C564" t="s">
        <v>4805</v>
      </c>
      <c r="D564" t="s">
        <v>4806</v>
      </c>
      <c r="E564" t="s">
        <v>4802</v>
      </c>
      <c r="F564">
        <v>1</v>
      </c>
      <c r="G564">
        <v>3</v>
      </c>
      <c r="H564">
        <v>3</v>
      </c>
      <c r="I564" t="s">
        <v>186</v>
      </c>
      <c r="J564" s="110">
        <v>562</v>
      </c>
      <c r="K564" t="s">
        <v>2893</v>
      </c>
      <c r="L564">
        <f>IF(Table_TRM_Fixtures[[#This Row],[Technology]]="LED", Table_TRM_Fixtures[[#This Row],[Fixture Watts  (TRM Data)]], Table_TRM_Fixtures[[#This Row],[Lamp Watts  (TRM Data)]])</f>
        <v>3</v>
      </c>
      <c r="M564">
        <f>Table_TRM_Fixtures[[#This Row],[No. of Lamps  (TRM Data)]]</f>
        <v>1</v>
      </c>
      <c r="N564" t="s">
        <v>186</v>
      </c>
      <c r="O564" t="s">
        <v>186</v>
      </c>
      <c r="R564" t="s">
        <v>2893</v>
      </c>
      <c r="S564"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3W screw-in lamp/base w/ permanent disk installed, any bulb shape</v>
      </c>
      <c r="T564" t="str">
        <f>Table_TRM_Fixtures[[#This Row],[Fixture code  (TRM Data)]]</f>
        <v>CF3/1-SCRW</v>
      </c>
      <c r="U564" t="s">
        <v>2882</v>
      </c>
      <c r="V564" t="s">
        <v>186</v>
      </c>
      <c r="W564" t="s">
        <v>3120</v>
      </c>
      <c r="X564" t="s">
        <v>186</v>
      </c>
      <c r="Y564" t="str">
        <f>_xlfn.CONCAT(Table_TRM_Fixtures[[#This Row],[Combined Lighting/Ballast Types]],":",Table_TRM_Fixtures[[#This Row],[No. of Lamps]], ":", Table_TRM_Fixtures[[#This Row],[Lamp Watts  (TRM Data)]])</f>
        <v>CFL:1:3</v>
      </c>
      <c r="Z564"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CFL:1:3</v>
      </c>
      <c r="AA564">
        <f>IF(Table_TRM_Fixtures[[#This Row],[Pre-EISA Baseline]]="Nominal", Table_TRM_Fixtures[[#This Row],[Fixture Watts  (TRM Data)]], Table_TRM_Fixtures[[#This Row],[Modified Baseline Fixture Watts]])</f>
        <v>3</v>
      </c>
    </row>
    <row r="565" spans="1:27" x14ac:dyDescent="0.2">
      <c r="A565" t="s">
        <v>4807</v>
      </c>
      <c r="B565" t="s">
        <v>4808</v>
      </c>
      <c r="C565" t="s">
        <v>4809</v>
      </c>
      <c r="D565" t="s">
        <v>4810</v>
      </c>
      <c r="E565" t="s">
        <v>4802</v>
      </c>
      <c r="F565">
        <v>1</v>
      </c>
      <c r="G565">
        <v>4</v>
      </c>
      <c r="H565">
        <v>4</v>
      </c>
      <c r="I565" t="s">
        <v>186</v>
      </c>
      <c r="J565" s="110">
        <v>563</v>
      </c>
      <c r="K565" t="s">
        <v>2893</v>
      </c>
      <c r="L565">
        <f>IF(Table_TRM_Fixtures[[#This Row],[Technology]]="LED", Table_TRM_Fixtures[[#This Row],[Fixture Watts  (TRM Data)]], Table_TRM_Fixtures[[#This Row],[Lamp Watts  (TRM Data)]])</f>
        <v>4</v>
      </c>
      <c r="M565">
        <f>Table_TRM_Fixtures[[#This Row],[No. of Lamps  (TRM Data)]]</f>
        <v>1</v>
      </c>
      <c r="N565" t="s">
        <v>186</v>
      </c>
      <c r="O565" t="s">
        <v>186</v>
      </c>
      <c r="R565" t="s">
        <v>2893</v>
      </c>
      <c r="S565"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4W screw-in lamp/base w/ permanent disk installed, any bulb shape</v>
      </c>
      <c r="T565" t="str">
        <f>Table_TRM_Fixtures[[#This Row],[Fixture code  (TRM Data)]]</f>
        <v>CF4/1-SCRW</v>
      </c>
      <c r="U565" t="s">
        <v>2882</v>
      </c>
      <c r="V565" t="s">
        <v>186</v>
      </c>
      <c r="W565" t="s">
        <v>3120</v>
      </c>
      <c r="X565" t="s">
        <v>186</v>
      </c>
      <c r="Y565" t="str">
        <f>_xlfn.CONCAT(Table_TRM_Fixtures[[#This Row],[Combined Lighting/Ballast Types]],":",Table_TRM_Fixtures[[#This Row],[No. of Lamps]], ":", Table_TRM_Fixtures[[#This Row],[Lamp Watts  (TRM Data)]])</f>
        <v>CFL:1:4</v>
      </c>
      <c r="Z565"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CFL:1:4</v>
      </c>
      <c r="AA565">
        <f>IF(Table_TRM_Fixtures[[#This Row],[Pre-EISA Baseline]]="Nominal", Table_TRM_Fixtures[[#This Row],[Fixture Watts  (TRM Data)]], Table_TRM_Fixtures[[#This Row],[Modified Baseline Fixture Watts]])</f>
        <v>4</v>
      </c>
    </row>
    <row r="566" spans="1:27" x14ac:dyDescent="0.2">
      <c r="A566" t="s">
        <v>4811</v>
      </c>
      <c r="B566" t="s">
        <v>4812</v>
      </c>
      <c r="C566" t="s">
        <v>4813</v>
      </c>
      <c r="D566" t="s">
        <v>4814</v>
      </c>
      <c r="E566" t="s">
        <v>4802</v>
      </c>
      <c r="F566">
        <v>1</v>
      </c>
      <c r="G566">
        <v>5</v>
      </c>
      <c r="H566">
        <v>5</v>
      </c>
      <c r="I566" t="s">
        <v>186</v>
      </c>
      <c r="J566" s="110">
        <v>564</v>
      </c>
      <c r="K566" t="s">
        <v>2893</v>
      </c>
      <c r="L566">
        <f>IF(Table_TRM_Fixtures[[#This Row],[Technology]]="LED", Table_TRM_Fixtures[[#This Row],[Fixture Watts  (TRM Data)]], Table_TRM_Fixtures[[#This Row],[Lamp Watts  (TRM Data)]])</f>
        <v>5</v>
      </c>
      <c r="M566">
        <f>Table_TRM_Fixtures[[#This Row],[No. of Lamps  (TRM Data)]]</f>
        <v>1</v>
      </c>
      <c r="N566" t="s">
        <v>186</v>
      </c>
      <c r="O566" t="s">
        <v>186</v>
      </c>
      <c r="R566" t="s">
        <v>2893</v>
      </c>
      <c r="S566"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5W screw-in lamp/base w/ permanent disk installed, any bulb shape</v>
      </c>
      <c r="T566" t="str">
        <f>Table_TRM_Fixtures[[#This Row],[Fixture code  (TRM Data)]]</f>
        <v>CF5/1-SCRW</v>
      </c>
      <c r="U566" t="s">
        <v>2882</v>
      </c>
      <c r="V566" t="s">
        <v>186</v>
      </c>
      <c r="W566" t="s">
        <v>3120</v>
      </c>
      <c r="X566" t="s">
        <v>186</v>
      </c>
      <c r="Y566" t="s">
        <v>4815</v>
      </c>
      <c r="Z566" t="s">
        <v>4815</v>
      </c>
      <c r="AA566">
        <f>IF(Table_TRM_Fixtures[[#This Row],[Pre-EISA Baseline]]="Nominal", Table_TRM_Fixtures[[#This Row],[Fixture Watts  (TRM Data)]], Table_TRM_Fixtures[[#This Row],[Modified Baseline Fixture Watts]])</f>
        <v>5</v>
      </c>
    </row>
    <row r="567" spans="1:27" x14ac:dyDescent="0.2">
      <c r="A567" t="s">
        <v>4816</v>
      </c>
      <c r="B567" t="s">
        <v>4817</v>
      </c>
      <c r="C567" t="s">
        <v>4818</v>
      </c>
      <c r="D567" t="s">
        <v>4819</v>
      </c>
      <c r="E567" t="s">
        <v>4802</v>
      </c>
      <c r="F567">
        <v>1</v>
      </c>
      <c r="G567">
        <v>6</v>
      </c>
      <c r="H567">
        <v>6</v>
      </c>
      <c r="I567" t="s">
        <v>186</v>
      </c>
      <c r="J567" s="110">
        <v>565</v>
      </c>
      <c r="K567" t="s">
        <v>2893</v>
      </c>
      <c r="L567">
        <f>IF(Table_TRM_Fixtures[[#This Row],[Technology]]="LED", Table_TRM_Fixtures[[#This Row],[Fixture Watts  (TRM Data)]], Table_TRM_Fixtures[[#This Row],[Lamp Watts  (TRM Data)]])</f>
        <v>6</v>
      </c>
      <c r="M567">
        <f>Table_TRM_Fixtures[[#This Row],[No. of Lamps  (TRM Data)]]</f>
        <v>1</v>
      </c>
      <c r="N567" t="s">
        <v>186</v>
      </c>
      <c r="O567" t="s">
        <v>186</v>
      </c>
      <c r="R567" t="s">
        <v>2893</v>
      </c>
      <c r="S567"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6W screw-in lamp/base w/ permanent disk installed, any bulb shape</v>
      </c>
      <c r="T567" t="str">
        <f>Table_TRM_Fixtures[[#This Row],[Fixture code  (TRM Data)]]</f>
        <v>CF6/1-SCRW</v>
      </c>
      <c r="U567" t="s">
        <v>2882</v>
      </c>
      <c r="V567" t="s">
        <v>186</v>
      </c>
      <c r="W567" t="s">
        <v>3120</v>
      </c>
      <c r="X567" t="s">
        <v>186</v>
      </c>
      <c r="Y567" t="str">
        <f>_xlfn.CONCAT(Table_TRM_Fixtures[[#This Row],[Combined Lighting/Ballast Types]],":",Table_TRM_Fixtures[[#This Row],[No. of Lamps]], ":", Table_TRM_Fixtures[[#This Row],[Lamp Watts  (TRM Data)]])</f>
        <v>CFL:1:6</v>
      </c>
      <c r="Z567"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CFL:1:6</v>
      </c>
      <c r="AA567">
        <f>IF(Table_TRM_Fixtures[[#This Row],[Pre-EISA Baseline]]="Nominal", Table_TRM_Fixtures[[#This Row],[Fixture Watts  (TRM Data)]], Table_TRM_Fixtures[[#This Row],[Modified Baseline Fixture Watts]])</f>
        <v>6</v>
      </c>
    </row>
    <row r="568" spans="1:27" x14ac:dyDescent="0.2">
      <c r="A568" t="s">
        <v>4820</v>
      </c>
      <c r="B568" t="s">
        <v>4821</v>
      </c>
      <c r="C568" t="s">
        <v>4822</v>
      </c>
      <c r="D568" t="s">
        <v>4823</v>
      </c>
      <c r="E568" t="s">
        <v>4802</v>
      </c>
      <c r="F568">
        <v>1</v>
      </c>
      <c r="G568">
        <v>7</v>
      </c>
      <c r="H568">
        <v>7</v>
      </c>
      <c r="I568" t="s">
        <v>186</v>
      </c>
      <c r="J568" s="110">
        <v>566</v>
      </c>
      <c r="K568" t="s">
        <v>2893</v>
      </c>
      <c r="L568">
        <f>IF(Table_TRM_Fixtures[[#This Row],[Technology]]="LED", Table_TRM_Fixtures[[#This Row],[Fixture Watts  (TRM Data)]], Table_TRM_Fixtures[[#This Row],[Lamp Watts  (TRM Data)]])</f>
        <v>7</v>
      </c>
      <c r="M568">
        <f>Table_TRM_Fixtures[[#This Row],[No. of Lamps  (TRM Data)]]</f>
        <v>1</v>
      </c>
      <c r="N568" t="s">
        <v>186</v>
      </c>
      <c r="O568" t="s">
        <v>186</v>
      </c>
      <c r="R568" t="s">
        <v>2893</v>
      </c>
      <c r="S568"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7W screw-in lamp/base w/ permanent disk installed, any bulb shape</v>
      </c>
      <c r="T568" t="str">
        <f>Table_TRM_Fixtures[[#This Row],[Fixture code  (TRM Data)]]</f>
        <v>CF7/1-SCRW</v>
      </c>
      <c r="U568" t="s">
        <v>2882</v>
      </c>
      <c r="V568" t="s">
        <v>186</v>
      </c>
      <c r="W568" t="s">
        <v>3120</v>
      </c>
      <c r="X568" t="s">
        <v>186</v>
      </c>
      <c r="Y568" t="s">
        <v>4815</v>
      </c>
      <c r="Z568" t="s">
        <v>4815</v>
      </c>
      <c r="AA568">
        <f>IF(Table_TRM_Fixtures[[#This Row],[Pre-EISA Baseline]]="Nominal", Table_TRM_Fixtures[[#This Row],[Fixture Watts  (TRM Data)]], Table_TRM_Fixtures[[#This Row],[Modified Baseline Fixture Watts]])</f>
        <v>7</v>
      </c>
    </row>
    <row r="569" spans="1:27" x14ac:dyDescent="0.2">
      <c r="A569" t="s">
        <v>4824</v>
      </c>
      <c r="B569" t="s">
        <v>4825</v>
      </c>
      <c r="C569" t="s">
        <v>4826</v>
      </c>
      <c r="D569" t="s">
        <v>4827</v>
      </c>
      <c r="E569" t="s">
        <v>4802</v>
      </c>
      <c r="F569">
        <v>1</v>
      </c>
      <c r="G569">
        <v>8</v>
      </c>
      <c r="H569">
        <v>8</v>
      </c>
      <c r="I569" t="s">
        <v>186</v>
      </c>
      <c r="J569" s="110">
        <v>567</v>
      </c>
      <c r="K569" t="s">
        <v>2893</v>
      </c>
      <c r="L569">
        <f>IF(Table_TRM_Fixtures[[#This Row],[Technology]]="LED", Table_TRM_Fixtures[[#This Row],[Fixture Watts  (TRM Data)]], Table_TRM_Fixtures[[#This Row],[Lamp Watts  (TRM Data)]])</f>
        <v>8</v>
      </c>
      <c r="M569">
        <f>Table_TRM_Fixtures[[#This Row],[No. of Lamps  (TRM Data)]]</f>
        <v>1</v>
      </c>
      <c r="N569" t="s">
        <v>186</v>
      </c>
      <c r="O569" t="s">
        <v>186</v>
      </c>
      <c r="R569" t="s">
        <v>2893</v>
      </c>
      <c r="S569"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8W screw-in lamp/base w/ permanent disk installed, any bulb shape</v>
      </c>
      <c r="T569" t="str">
        <f>Table_TRM_Fixtures[[#This Row],[Fixture code  (TRM Data)]]</f>
        <v>CF8/1-SCRW</v>
      </c>
      <c r="U569" t="s">
        <v>2882</v>
      </c>
      <c r="V569" t="s">
        <v>186</v>
      </c>
      <c r="W569" t="s">
        <v>3120</v>
      </c>
      <c r="X569" t="s">
        <v>186</v>
      </c>
      <c r="Y569" t="str">
        <f>_xlfn.CONCAT(Table_TRM_Fixtures[[#This Row],[Combined Lighting/Ballast Types]],":",Table_TRM_Fixtures[[#This Row],[No. of Lamps]], ":", Table_TRM_Fixtures[[#This Row],[Lamp Watts  (TRM Data)]])</f>
        <v>CFL:1:8</v>
      </c>
      <c r="Z569"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CFL:1:8</v>
      </c>
      <c r="AA569">
        <f>IF(Table_TRM_Fixtures[[#This Row],[Pre-EISA Baseline]]="Nominal", Table_TRM_Fixtures[[#This Row],[Fixture Watts  (TRM Data)]], Table_TRM_Fixtures[[#This Row],[Modified Baseline Fixture Watts]])</f>
        <v>8</v>
      </c>
    </row>
    <row r="570" spans="1:27" x14ac:dyDescent="0.2">
      <c r="A570" t="s">
        <v>4828</v>
      </c>
      <c r="B570" t="s">
        <v>4829</v>
      </c>
      <c r="C570" t="s">
        <v>4830</v>
      </c>
      <c r="D570" t="s">
        <v>4831</v>
      </c>
      <c r="E570" t="s">
        <v>4802</v>
      </c>
      <c r="F570">
        <v>1</v>
      </c>
      <c r="G570">
        <v>9</v>
      </c>
      <c r="H570">
        <v>9</v>
      </c>
      <c r="I570" t="s">
        <v>186</v>
      </c>
      <c r="J570" s="110">
        <v>568</v>
      </c>
      <c r="K570" t="s">
        <v>2893</v>
      </c>
      <c r="L570">
        <f>IF(Table_TRM_Fixtures[[#This Row],[Technology]]="LED", Table_TRM_Fixtures[[#This Row],[Fixture Watts  (TRM Data)]], Table_TRM_Fixtures[[#This Row],[Lamp Watts  (TRM Data)]])</f>
        <v>9</v>
      </c>
      <c r="M570">
        <f>Table_TRM_Fixtures[[#This Row],[No. of Lamps  (TRM Data)]]</f>
        <v>1</v>
      </c>
      <c r="N570" t="s">
        <v>186</v>
      </c>
      <c r="O570" t="s">
        <v>186</v>
      </c>
      <c r="R570" t="s">
        <v>2893</v>
      </c>
      <c r="S570"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9W screw-in lamp/base w/ permanent disk installed, any bulb shape</v>
      </c>
      <c r="T570" t="str">
        <f>Table_TRM_Fixtures[[#This Row],[Fixture code  (TRM Data)]]</f>
        <v>CF9/1-SCRW</v>
      </c>
      <c r="U570" t="s">
        <v>2882</v>
      </c>
      <c r="V570" t="s">
        <v>186</v>
      </c>
      <c r="W570" t="s">
        <v>3120</v>
      </c>
      <c r="X570" t="s">
        <v>186</v>
      </c>
      <c r="Y570" t="s">
        <v>4815</v>
      </c>
      <c r="Z570" t="s">
        <v>4815</v>
      </c>
      <c r="AA570">
        <f>IF(Table_TRM_Fixtures[[#This Row],[Pre-EISA Baseline]]="Nominal", Table_TRM_Fixtures[[#This Row],[Fixture Watts  (TRM Data)]], Table_TRM_Fixtures[[#This Row],[Modified Baseline Fixture Watts]])</f>
        <v>9</v>
      </c>
    </row>
    <row r="571" spans="1:27" x14ac:dyDescent="0.2">
      <c r="A571" t="s">
        <v>4832</v>
      </c>
      <c r="B571" t="s">
        <v>4833</v>
      </c>
      <c r="C571" t="s">
        <v>4834</v>
      </c>
      <c r="D571" t="s">
        <v>4835</v>
      </c>
      <c r="E571" t="s">
        <v>4802</v>
      </c>
      <c r="F571">
        <v>1</v>
      </c>
      <c r="G571">
        <v>10</v>
      </c>
      <c r="H571">
        <v>10</v>
      </c>
      <c r="I571" t="s">
        <v>186</v>
      </c>
      <c r="J571" s="110">
        <v>569</v>
      </c>
      <c r="K571" t="s">
        <v>2893</v>
      </c>
      <c r="L571">
        <f>IF(Table_TRM_Fixtures[[#This Row],[Technology]]="LED", Table_TRM_Fixtures[[#This Row],[Fixture Watts  (TRM Data)]], Table_TRM_Fixtures[[#This Row],[Lamp Watts  (TRM Data)]])</f>
        <v>10</v>
      </c>
      <c r="M571">
        <f>Table_TRM_Fixtures[[#This Row],[No. of Lamps  (TRM Data)]]</f>
        <v>1</v>
      </c>
      <c r="N571" t="s">
        <v>186</v>
      </c>
      <c r="O571" t="s">
        <v>186</v>
      </c>
      <c r="R571" t="s">
        <v>2893</v>
      </c>
      <c r="S571"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10W screw-in lamp/base w/ permanent disk installed, any bulb shape</v>
      </c>
      <c r="T571" t="str">
        <f>Table_TRM_Fixtures[[#This Row],[Fixture code  (TRM Data)]]</f>
        <v>CF10/1-SCRW</v>
      </c>
      <c r="U571" t="s">
        <v>2882</v>
      </c>
      <c r="V571" t="s">
        <v>186</v>
      </c>
      <c r="W571" t="s">
        <v>3120</v>
      </c>
      <c r="X571" t="s">
        <v>186</v>
      </c>
      <c r="Y571" t="s">
        <v>4815</v>
      </c>
      <c r="Z571" t="s">
        <v>4815</v>
      </c>
      <c r="AA571">
        <f>IF(Table_TRM_Fixtures[[#This Row],[Pre-EISA Baseline]]="Nominal", Table_TRM_Fixtures[[#This Row],[Fixture Watts  (TRM Data)]], Table_TRM_Fixtures[[#This Row],[Modified Baseline Fixture Watts]])</f>
        <v>10</v>
      </c>
    </row>
    <row r="572" spans="1:27" x14ac:dyDescent="0.2">
      <c r="A572" t="s">
        <v>4836</v>
      </c>
      <c r="B572" t="s">
        <v>4837</v>
      </c>
      <c r="C572" t="s">
        <v>4838</v>
      </c>
      <c r="D572" t="s">
        <v>4839</v>
      </c>
      <c r="E572" t="s">
        <v>4802</v>
      </c>
      <c r="F572">
        <v>1</v>
      </c>
      <c r="G572">
        <v>11</v>
      </c>
      <c r="H572">
        <v>11</v>
      </c>
      <c r="I572" t="s">
        <v>186</v>
      </c>
      <c r="J572" s="110">
        <v>570</v>
      </c>
      <c r="K572" t="s">
        <v>2893</v>
      </c>
      <c r="L572">
        <f>IF(Table_TRM_Fixtures[[#This Row],[Technology]]="LED", Table_TRM_Fixtures[[#This Row],[Fixture Watts  (TRM Data)]], Table_TRM_Fixtures[[#This Row],[Lamp Watts  (TRM Data)]])</f>
        <v>11</v>
      </c>
      <c r="M572">
        <f>Table_TRM_Fixtures[[#This Row],[No. of Lamps  (TRM Data)]]</f>
        <v>1</v>
      </c>
      <c r="N572" t="s">
        <v>186</v>
      </c>
      <c r="O572" t="s">
        <v>186</v>
      </c>
      <c r="R572" t="s">
        <v>2893</v>
      </c>
      <c r="S572"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11W screw-in lamp/base w/ permanent disk installed, any bulb shape</v>
      </c>
      <c r="T572" t="str">
        <f>Table_TRM_Fixtures[[#This Row],[Fixture code  (TRM Data)]]</f>
        <v>CF11/1-SCRW</v>
      </c>
      <c r="U572" t="s">
        <v>2882</v>
      </c>
      <c r="V572" t="s">
        <v>186</v>
      </c>
      <c r="W572" t="s">
        <v>3120</v>
      </c>
      <c r="X572" t="s">
        <v>186</v>
      </c>
      <c r="Y572" t="str">
        <f>_xlfn.CONCAT(Table_TRM_Fixtures[[#This Row],[Combined Lighting/Ballast Types]],":",Table_TRM_Fixtures[[#This Row],[No. of Lamps]], ":", Table_TRM_Fixtures[[#This Row],[Lamp Watts  (TRM Data)]])</f>
        <v>CFL:1:11</v>
      </c>
      <c r="Z572"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CFL:1:11</v>
      </c>
      <c r="AA572">
        <f>IF(Table_TRM_Fixtures[[#This Row],[Pre-EISA Baseline]]="Nominal", Table_TRM_Fixtures[[#This Row],[Fixture Watts  (TRM Data)]], Table_TRM_Fixtures[[#This Row],[Modified Baseline Fixture Watts]])</f>
        <v>11</v>
      </c>
    </row>
    <row r="573" spans="1:27" x14ac:dyDescent="0.2">
      <c r="A573" t="s">
        <v>4840</v>
      </c>
      <c r="B573" t="s">
        <v>4841</v>
      </c>
      <c r="C573" t="s">
        <v>4842</v>
      </c>
      <c r="D573" t="s">
        <v>4843</v>
      </c>
      <c r="E573" t="s">
        <v>4802</v>
      </c>
      <c r="F573">
        <v>1</v>
      </c>
      <c r="G573">
        <v>12</v>
      </c>
      <c r="H573">
        <v>12</v>
      </c>
      <c r="I573" t="s">
        <v>186</v>
      </c>
      <c r="J573" s="110">
        <v>571</v>
      </c>
      <c r="K573" t="s">
        <v>2893</v>
      </c>
      <c r="L573">
        <f>IF(Table_TRM_Fixtures[[#This Row],[Technology]]="LED", Table_TRM_Fixtures[[#This Row],[Fixture Watts  (TRM Data)]], Table_TRM_Fixtures[[#This Row],[Lamp Watts  (TRM Data)]])</f>
        <v>12</v>
      </c>
      <c r="M573">
        <f>Table_TRM_Fixtures[[#This Row],[No. of Lamps  (TRM Data)]]</f>
        <v>1</v>
      </c>
      <c r="N573" t="s">
        <v>186</v>
      </c>
      <c r="O573" t="s">
        <v>186</v>
      </c>
      <c r="R573" t="s">
        <v>2893</v>
      </c>
      <c r="S573"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12W screw-in lamp/base w/ permanent disk installed, any bulb shape</v>
      </c>
      <c r="T573" t="str">
        <f>Table_TRM_Fixtures[[#This Row],[Fixture code  (TRM Data)]]</f>
        <v>CF12/1-SCRW</v>
      </c>
      <c r="U573" t="s">
        <v>2882</v>
      </c>
      <c r="V573" t="s">
        <v>186</v>
      </c>
      <c r="W573" t="s">
        <v>3120</v>
      </c>
      <c r="X573" t="s">
        <v>186</v>
      </c>
      <c r="Y573" t="str">
        <f>_xlfn.CONCAT(Table_TRM_Fixtures[[#This Row],[Combined Lighting/Ballast Types]],":",Table_TRM_Fixtures[[#This Row],[No. of Lamps]], ":", Table_TRM_Fixtures[[#This Row],[Lamp Watts  (TRM Data)]])</f>
        <v>CFL:1:12</v>
      </c>
      <c r="Z573"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CFL:1:12</v>
      </c>
      <c r="AA573">
        <f>IF(Table_TRM_Fixtures[[#This Row],[Pre-EISA Baseline]]="Nominal", Table_TRM_Fixtures[[#This Row],[Fixture Watts  (TRM Data)]], Table_TRM_Fixtures[[#This Row],[Modified Baseline Fixture Watts]])</f>
        <v>12</v>
      </c>
    </row>
    <row r="574" spans="1:27" x14ac:dyDescent="0.2">
      <c r="A574" t="s">
        <v>4844</v>
      </c>
      <c r="B574" t="s">
        <v>4845</v>
      </c>
      <c r="C574" t="s">
        <v>4846</v>
      </c>
      <c r="D574" t="s">
        <v>4847</v>
      </c>
      <c r="E574" t="s">
        <v>4802</v>
      </c>
      <c r="F574">
        <v>1</v>
      </c>
      <c r="G574">
        <v>13</v>
      </c>
      <c r="H574">
        <v>13</v>
      </c>
      <c r="I574" t="s">
        <v>186</v>
      </c>
      <c r="J574" s="110">
        <v>572</v>
      </c>
      <c r="K574" t="s">
        <v>2893</v>
      </c>
      <c r="L574">
        <f>IF(Table_TRM_Fixtures[[#This Row],[Technology]]="LED", Table_TRM_Fixtures[[#This Row],[Fixture Watts  (TRM Data)]], Table_TRM_Fixtures[[#This Row],[Lamp Watts  (TRM Data)]])</f>
        <v>13</v>
      </c>
      <c r="M574">
        <f>Table_TRM_Fixtures[[#This Row],[No. of Lamps  (TRM Data)]]</f>
        <v>1</v>
      </c>
      <c r="N574" t="s">
        <v>186</v>
      </c>
      <c r="O574" t="s">
        <v>186</v>
      </c>
      <c r="R574" t="s">
        <v>2893</v>
      </c>
      <c r="S574"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13W screw-in lamp/base w/ permanent disk installed, any bulb shape</v>
      </c>
      <c r="T574" t="str">
        <f>Table_TRM_Fixtures[[#This Row],[Fixture code  (TRM Data)]]</f>
        <v>CF13/1-SCRW</v>
      </c>
      <c r="U574" t="s">
        <v>2882</v>
      </c>
      <c r="V574" t="s">
        <v>186</v>
      </c>
      <c r="W574" t="s">
        <v>3120</v>
      </c>
      <c r="X574" t="s">
        <v>186</v>
      </c>
      <c r="Y574" t="s">
        <v>4815</v>
      </c>
      <c r="Z574" t="s">
        <v>4815</v>
      </c>
      <c r="AA574">
        <f>IF(Table_TRM_Fixtures[[#This Row],[Pre-EISA Baseline]]="Nominal", Table_TRM_Fixtures[[#This Row],[Fixture Watts  (TRM Data)]], Table_TRM_Fixtures[[#This Row],[Modified Baseline Fixture Watts]])</f>
        <v>13</v>
      </c>
    </row>
    <row r="575" spans="1:27" x14ac:dyDescent="0.2">
      <c r="A575" t="s">
        <v>4848</v>
      </c>
      <c r="B575" t="s">
        <v>4849</v>
      </c>
      <c r="C575" t="s">
        <v>4850</v>
      </c>
      <c r="D575" t="s">
        <v>4851</v>
      </c>
      <c r="E575" t="s">
        <v>4802</v>
      </c>
      <c r="F575">
        <v>1</v>
      </c>
      <c r="G575">
        <v>14</v>
      </c>
      <c r="H575">
        <v>14</v>
      </c>
      <c r="I575" t="s">
        <v>186</v>
      </c>
      <c r="J575" s="110">
        <v>573</v>
      </c>
      <c r="K575" t="s">
        <v>2893</v>
      </c>
      <c r="L575">
        <f>IF(Table_TRM_Fixtures[[#This Row],[Technology]]="LED", Table_TRM_Fixtures[[#This Row],[Fixture Watts  (TRM Data)]], Table_TRM_Fixtures[[#This Row],[Lamp Watts  (TRM Data)]])</f>
        <v>14</v>
      </c>
      <c r="M575">
        <f>Table_TRM_Fixtures[[#This Row],[No. of Lamps  (TRM Data)]]</f>
        <v>1</v>
      </c>
      <c r="N575" t="s">
        <v>186</v>
      </c>
      <c r="O575" t="s">
        <v>186</v>
      </c>
      <c r="R575" t="s">
        <v>2893</v>
      </c>
      <c r="S575"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14W screw-in lamp/base w/ permanent disk installed, any bulb shape</v>
      </c>
      <c r="T575" t="str">
        <f>Table_TRM_Fixtures[[#This Row],[Fixture code  (TRM Data)]]</f>
        <v>CF14/1-SCRW</v>
      </c>
      <c r="U575" t="s">
        <v>2882</v>
      </c>
      <c r="V575" t="s">
        <v>186</v>
      </c>
      <c r="W575" t="s">
        <v>3120</v>
      </c>
      <c r="X575" t="s">
        <v>186</v>
      </c>
      <c r="Y575" t="str">
        <f>_xlfn.CONCAT(Table_TRM_Fixtures[[#This Row],[Combined Lighting/Ballast Types]],":",Table_TRM_Fixtures[[#This Row],[No. of Lamps]], ":", Table_TRM_Fixtures[[#This Row],[Lamp Watts  (TRM Data)]])</f>
        <v>CFL:1:14</v>
      </c>
      <c r="Z575"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CFL:1:14</v>
      </c>
      <c r="AA575">
        <f>IF(Table_TRM_Fixtures[[#This Row],[Pre-EISA Baseline]]="Nominal", Table_TRM_Fixtures[[#This Row],[Fixture Watts  (TRM Data)]], Table_TRM_Fixtures[[#This Row],[Modified Baseline Fixture Watts]])</f>
        <v>14</v>
      </c>
    </row>
    <row r="576" spans="1:27" x14ac:dyDescent="0.2">
      <c r="A576" t="s">
        <v>4852</v>
      </c>
      <c r="B576" t="s">
        <v>4853</v>
      </c>
      <c r="C576" t="s">
        <v>4854</v>
      </c>
      <c r="D576" t="s">
        <v>4855</v>
      </c>
      <c r="E576" t="s">
        <v>4802</v>
      </c>
      <c r="F576">
        <v>1</v>
      </c>
      <c r="G576">
        <v>15</v>
      </c>
      <c r="H576">
        <v>15</v>
      </c>
      <c r="I576" t="s">
        <v>186</v>
      </c>
      <c r="J576" s="110">
        <v>574</v>
      </c>
      <c r="K576" t="s">
        <v>2893</v>
      </c>
      <c r="L576">
        <f>IF(Table_TRM_Fixtures[[#This Row],[Technology]]="LED", Table_TRM_Fixtures[[#This Row],[Fixture Watts  (TRM Data)]], Table_TRM_Fixtures[[#This Row],[Lamp Watts  (TRM Data)]])</f>
        <v>15</v>
      </c>
      <c r="M576">
        <f>Table_TRM_Fixtures[[#This Row],[No. of Lamps  (TRM Data)]]</f>
        <v>1</v>
      </c>
      <c r="N576" t="s">
        <v>186</v>
      </c>
      <c r="O576" t="s">
        <v>186</v>
      </c>
      <c r="R576" t="s">
        <v>2893</v>
      </c>
      <c r="S576"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15W screw-in lamp/base w/ permanent disk installed, any bulb shape</v>
      </c>
      <c r="T576" t="str">
        <f>Table_TRM_Fixtures[[#This Row],[Fixture code  (TRM Data)]]</f>
        <v>CF15/1-SCRW</v>
      </c>
      <c r="U576" t="s">
        <v>2882</v>
      </c>
      <c r="V576" t="s">
        <v>186</v>
      </c>
      <c r="W576" t="s">
        <v>3120</v>
      </c>
      <c r="X576" t="s">
        <v>186</v>
      </c>
      <c r="Y576" t="s">
        <v>4815</v>
      </c>
      <c r="Z576" t="s">
        <v>4815</v>
      </c>
      <c r="AA576">
        <f>IF(Table_TRM_Fixtures[[#This Row],[Pre-EISA Baseline]]="Nominal", Table_TRM_Fixtures[[#This Row],[Fixture Watts  (TRM Data)]], Table_TRM_Fixtures[[#This Row],[Modified Baseline Fixture Watts]])</f>
        <v>15</v>
      </c>
    </row>
    <row r="577" spans="1:27" x14ac:dyDescent="0.2">
      <c r="A577" t="s">
        <v>4856</v>
      </c>
      <c r="B577" t="s">
        <v>4857</v>
      </c>
      <c r="C577" t="s">
        <v>4858</v>
      </c>
      <c r="D577" t="s">
        <v>4859</v>
      </c>
      <c r="E577" t="s">
        <v>4802</v>
      </c>
      <c r="F577">
        <v>1</v>
      </c>
      <c r="G577">
        <v>16</v>
      </c>
      <c r="H577">
        <v>16</v>
      </c>
      <c r="I577" t="s">
        <v>186</v>
      </c>
      <c r="J577" s="110">
        <v>575</v>
      </c>
      <c r="K577" t="s">
        <v>2893</v>
      </c>
      <c r="L577">
        <f>IF(Table_TRM_Fixtures[[#This Row],[Technology]]="LED", Table_TRM_Fixtures[[#This Row],[Fixture Watts  (TRM Data)]], Table_TRM_Fixtures[[#This Row],[Lamp Watts  (TRM Data)]])</f>
        <v>16</v>
      </c>
      <c r="M577">
        <f>Table_TRM_Fixtures[[#This Row],[No. of Lamps  (TRM Data)]]</f>
        <v>1</v>
      </c>
      <c r="N577" t="s">
        <v>186</v>
      </c>
      <c r="O577" t="s">
        <v>186</v>
      </c>
      <c r="R577" t="s">
        <v>2893</v>
      </c>
      <c r="S577"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16W screw-in lamp/base w/ permanent disk installed, any bulb shape</v>
      </c>
      <c r="T577" t="str">
        <f>Table_TRM_Fixtures[[#This Row],[Fixture code  (TRM Data)]]</f>
        <v>CF16/1-SCRW</v>
      </c>
      <c r="U577" t="s">
        <v>2882</v>
      </c>
      <c r="V577" t="s">
        <v>186</v>
      </c>
      <c r="W577" t="s">
        <v>3120</v>
      </c>
      <c r="X577" t="s">
        <v>186</v>
      </c>
      <c r="Y577" t="s">
        <v>4815</v>
      </c>
      <c r="Z577" t="s">
        <v>4815</v>
      </c>
      <c r="AA577">
        <f>IF(Table_TRM_Fixtures[[#This Row],[Pre-EISA Baseline]]="Nominal", Table_TRM_Fixtures[[#This Row],[Fixture Watts  (TRM Data)]], Table_TRM_Fixtures[[#This Row],[Modified Baseline Fixture Watts]])</f>
        <v>16</v>
      </c>
    </row>
    <row r="578" spans="1:27" x14ac:dyDescent="0.2">
      <c r="A578" t="s">
        <v>4860</v>
      </c>
      <c r="B578" t="s">
        <v>4861</v>
      </c>
      <c r="C578" t="s">
        <v>4862</v>
      </c>
      <c r="D578" t="s">
        <v>4863</v>
      </c>
      <c r="E578" t="s">
        <v>4802</v>
      </c>
      <c r="F578">
        <v>1</v>
      </c>
      <c r="G578">
        <v>17</v>
      </c>
      <c r="H578">
        <v>17</v>
      </c>
      <c r="I578" t="s">
        <v>186</v>
      </c>
      <c r="J578" s="110">
        <v>576</v>
      </c>
      <c r="K578" t="s">
        <v>2893</v>
      </c>
      <c r="L578">
        <f>IF(Table_TRM_Fixtures[[#This Row],[Technology]]="LED", Table_TRM_Fixtures[[#This Row],[Fixture Watts  (TRM Data)]], Table_TRM_Fixtures[[#This Row],[Lamp Watts  (TRM Data)]])</f>
        <v>17</v>
      </c>
      <c r="M578">
        <f>Table_TRM_Fixtures[[#This Row],[No. of Lamps  (TRM Data)]]</f>
        <v>1</v>
      </c>
      <c r="N578" t="s">
        <v>186</v>
      </c>
      <c r="O578" t="s">
        <v>186</v>
      </c>
      <c r="R578" t="s">
        <v>2893</v>
      </c>
      <c r="S578"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17W screw-in lamp/base w/ permanent disk installed, any bulb shape</v>
      </c>
      <c r="T578" t="str">
        <f>Table_TRM_Fixtures[[#This Row],[Fixture code  (TRM Data)]]</f>
        <v>CF17/1-SCRW</v>
      </c>
      <c r="U578" t="s">
        <v>2882</v>
      </c>
      <c r="V578" t="s">
        <v>186</v>
      </c>
      <c r="W578" t="s">
        <v>3120</v>
      </c>
      <c r="X578" t="s">
        <v>186</v>
      </c>
      <c r="Y578" t="str">
        <f>_xlfn.CONCAT(Table_TRM_Fixtures[[#This Row],[Combined Lighting/Ballast Types]],":",Table_TRM_Fixtures[[#This Row],[No. of Lamps]], ":", Table_TRM_Fixtures[[#This Row],[Lamp Watts  (TRM Data)]])</f>
        <v>CFL:1:17</v>
      </c>
      <c r="Z578"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CFL:1:17</v>
      </c>
      <c r="AA578">
        <f>IF(Table_TRM_Fixtures[[#This Row],[Pre-EISA Baseline]]="Nominal", Table_TRM_Fixtures[[#This Row],[Fixture Watts  (TRM Data)]], Table_TRM_Fixtures[[#This Row],[Modified Baseline Fixture Watts]])</f>
        <v>17</v>
      </c>
    </row>
    <row r="579" spans="1:27" x14ac:dyDescent="0.2">
      <c r="A579" t="s">
        <v>4864</v>
      </c>
      <c r="B579" t="s">
        <v>4865</v>
      </c>
      <c r="C579" t="s">
        <v>4866</v>
      </c>
      <c r="D579" t="s">
        <v>4867</v>
      </c>
      <c r="E579" t="s">
        <v>4802</v>
      </c>
      <c r="F579">
        <v>1</v>
      </c>
      <c r="G579">
        <v>18</v>
      </c>
      <c r="H579">
        <v>18</v>
      </c>
      <c r="I579" t="s">
        <v>186</v>
      </c>
      <c r="J579" s="110">
        <v>577</v>
      </c>
      <c r="K579" t="s">
        <v>2893</v>
      </c>
      <c r="L579">
        <f>IF(Table_TRM_Fixtures[[#This Row],[Technology]]="LED", Table_TRM_Fixtures[[#This Row],[Fixture Watts  (TRM Data)]], Table_TRM_Fixtures[[#This Row],[Lamp Watts  (TRM Data)]])</f>
        <v>18</v>
      </c>
      <c r="M579">
        <f>Table_TRM_Fixtures[[#This Row],[No. of Lamps  (TRM Data)]]</f>
        <v>1</v>
      </c>
      <c r="N579" t="s">
        <v>186</v>
      </c>
      <c r="O579" t="s">
        <v>186</v>
      </c>
      <c r="R579" t="s">
        <v>2893</v>
      </c>
      <c r="S579"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18W screw-in lamp/base w/ permanent disk installed, any bulb shape</v>
      </c>
      <c r="T579" t="str">
        <f>Table_TRM_Fixtures[[#This Row],[Fixture code  (TRM Data)]]</f>
        <v>CF18/1-SCRW</v>
      </c>
      <c r="U579" t="s">
        <v>2882</v>
      </c>
      <c r="V579" t="s">
        <v>186</v>
      </c>
      <c r="W579" t="s">
        <v>3120</v>
      </c>
      <c r="X579" t="s">
        <v>186</v>
      </c>
      <c r="Y579" t="s">
        <v>4815</v>
      </c>
      <c r="Z579" t="s">
        <v>4815</v>
      </c>
      <c r="AA579">
        <f>IF(Table_TRM_Fixtures[[#This Row],[Pre-EISA Baseline]]="Nominal", Table_TRM_Fixtures[[#This Row],[Fixture Watts  (TRM Data)]], Table_TRM_Fixtures[[#This Row],[Modified Baseline Fixture Watts]])</f>
        <v>18</v>
      </c>
    </row>
    <row r="580" spans="1:27" x14ac:dyDescent="0.2">
      <c r="A580" t="s">
        <v>4868</v>
      </c>
      <c r="B580" t="s">
        <v>4869</v>
      </c>
      <c r="C580" t="s">
        <v>4870</v>
      </c>
      <c r="D580" t="s">
        <v>4871</v>
      </c>
      <c r="E580" t="s">
        <v>4802</v>
      </c>
      <c r="F580">
        <v>1</v>
      </c>
      <c r="G580">
        <v>19</v>
      </c>
      <c r="H580">
        <v>19</v>
      </c>
      <c r="I580" t="s">
        <v>186</v>
      </c>
      <c r="J580" s="110">
        <v>578</v>
      </c>
      <c r="K580" t="s">
        <v>2893</v>
      </c>
      <c r="L580">
        <f>IF(Table_TRM_Fixtures[[#This Row],[Technology]]="LED", Table_TRM_Fixtures[[#This Row],[Fixture Watts  (TRM Data)]], Table_TRM_Fixtures[[#This Row],[Lamp Watts  (TRM Data)]])</f>
        <v>19</v>
      </c>
      <c r="M580">
        <f>Table_TRM_Fixtures[[#This Row],[No. of Lamps  (TRM Data)]]</f>
        <v>1</v>
      </c>
      <c r="N580" t="s">
        <v>186</v>
      </c>
      <c r="O580" t="s">
        <v>186</v>
      </c>
      <c r="R580" t="s">
        <v>2893</v>
      </c>
      <c r="S580"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19W screw-in lamp/base w/ permanent disk installed, any bulb shape</v>
      </c>
      <c r="T580" t="str">
        <f>Table_TRM_Fixtures[[#This Row],[Fixture code  (TRM Data)]]</f>
        <v>CF19/1-SCRW</v>
      </c>
      <c r="U580" t="s">
        <v>2882</v>
      </c>
      <c r="V580" t="s">
        <v>186</v>
      </c>
      <c r="W580" t="s">
        <v>3120</v>
      </c>
      <c r="X580" t="s">
        <v>186</v>
      </c>
      <c r="Y580" t="str">
        <f>_xlfn.CONCAT(Table_TRM_Fixtures[[#This Row],[Combined Lighting/Ballast Types]],":",Table_TRM_Fixtures[[#This Row],[No. of Lamps]], ":", Table_TRM_Fixtures[[#This Row],[Lamp Watts  (TRM Data)]])</f>
        <v>CFL:1:19</v>
      </c>
      <c r="Z580"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CFL:1:19</v>
      </c>
      <c r="AA580">
        <f>IF(Table_TRM_Fixtures[[#This Row],[Pre-EISA Baseline]]="Nominal", Table_TRM_Fixtures[[#This Row],[Fixture Watts  (TRM Data)]], Table_TRM_Fixtures[[#This Row],[Modified Baseline Fixture Watts]])</f>
        <v>19</v>
      </c>
    </row>
    <row r="581" spans="1:27" x14ac:dyDescent="0.2">
      <c r="A581" t="s">
        <v>4872</v>
      </c>
      <c r="B581" t="s">
        <v>4873</v>
      </c>
      <c r="C581" t="s">
        <v>4874</v>
      </c>
      <c r="D581" t="s">
        <v>4875</v>
      </c>
      <c r="E581" t="s">
        <v>4802</v>
      </c>
      <c r="F581">
        <v>1</v>
      </c>
      <c r="G581">
        <v>20</v>
      </c>
      <c r="H581">
        <v>20</v>
      </c>
      <c r="I581" t="s">
        <v>186</v>
      </c>
      <c r="J581" s="110">
        <v>579</v>
      </c>
      <c r="K581" t="s">
        <v>2893</v>
      </c>
      <c r="L581">
        <f>IF(Table_TRM_Fixtures[[#This Row],[Technology]]="LED", Table_TRM_Fixtures[[#This Row],[Fixture Watts  (TRM Data)]], Table_TRM_Fixtures[[#This Row],[Lamp Watts  (TRM Data)]])</f>
        <v>20</v>
      </c>
      <c r="M581">
        <f>Table_TRM_Fixtures[[#This Row],[No. of Lamps  (TRM Data)]]</f>
        <v>1</v>
      </c>
      <c r="N581" t="s">
        <v>186</v>
      </c>
      <c r="O581" t="s">
        <v>186</v>
      </c>
      <c r="R581" t="s">
        <v>2893</v>
      </c>
      <c r="S581"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20W screw-in lamp/base w/ permanent disk installed, any bulb shape</v>
      </c>
      <c r="T581" t="str">
        <f>Table_TRM_Fixtures[[#This Row],[Fixture code  (TRM Data)]]</f>
        <v>CF20/1-SCRW</v>
      </c>
      <c r="U581" t="s">
        <v>2882</v>
      </c>
      <c r="V581" t="s">
        <v>186</v>
      </c>
      <c r="W581" t="s">
        <v>3120</v>
      </c>
      <c r="X581" t="s">
        <v>186</v>
      </c>
      <c r="Y581" t="s">
        <v>4815</v>
      </c>
      <c r="Z581" t="s">
        <v>4815</v>
      </c>
      <c r="AA581">
        <f>IF(Table_TRM_Fixtures[[#This Row],[Pre-EISA Baseline]]="Nominal", Table_TRM_Fixtures[[#This Row],[Fixture Watts  (TRM Data)]], Table_TRM_Fixtures[[#This Row],[Modified Baseline Fixture Watts]])</f>
        <v>20</v>
      </c>
    </row>
    <row r="582" spans="1:27" x14ac:dyDescent="0.2">
      <c r="A582" t="s">
        <v>4876</v>
      </c>
      <c r="B582" t="s">
        <v>4877</v>
      </c>
      <c r="C582" t="s">
        <v>4878</v>
      </c>
      <c r="D582" t="s">
        <v>4879</v>
      </c>
      <c r="E582" t="s">
        <v>4802</v>
      </c>
      <c r="F582">
        <v>1</v>
      </c>
      <c r="G582">
        <v>21</v>
      </c>
      <c r="H582">
        <v>21</v>
      </c>
      <c r="I582" t="s">
        <v>186</v>
      </c>
      <c r="J582" s="110">
        <v>580</v>
      </c>
      <c r="K582" t="s">
        <v>2893</v>
      </c>
      <c r="L582">
        <f>IF(Table_TRM_Fixtures[[#This Row],[Technology]]="LED", Table_TRM_Fixtures[[#This Row],[Fixture Watts  (TRM Data)]], Table_TRM_Fixtures[[#This Row],[Lamp Watts  (TRM Data)]])</f>
        <v>21</v>
      </c>
      <c r="M582">
        <f>Table_TRM_Fixtures[[#This Row],[No. of Lamps  (TRM Data)]]</f>
        <v>1</v>
      </c>
      <c r="N582" t="s">
        <v>186</v>
      </c>
      <c r="O582" t="s">
        <v>186</v>
      </c>
      <c r="R582" t="s">
        <v>2893</v>
      </c>
      <c r="S582"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21W screw-in lamp/base w/ permanent disk installed, any bulb shape</v>
      </c>
      <c r="T582" t="str">
        <f>Table_TRM_Fixtures[[#This Row],[Fixture code  (TRM Data)]]</f>
        <v>CF21/1-SCRW</v>
      </c>
      <c r="U582" t="s">
        <v>2882</v>
      </c>
      <c r="V582" t="s">
        <v>186</v>
      </c>
      <c r="W582" t="s">
        <v>3120</v>
      </c>
      <c r="X582" t="s">
        <v>186</v>
      </c>
      <c r="Y582" t="s">
        <v>4815</v>
      </c>
      <c r="Z582" t="s">
        <v>4815</v>
      </c>
      <c r="AA582">
        <f>IF(Table_TRM_Fixtures[[#This Row],[Pre-EISA Baseline]]="Nominal", Table_TRM_Fixtures[[#This Row],[Fixture Watts  (TRM Data)]], Table_TRM_Fixtures[[#This Row],[Modified Baseline Fixture Watts]])</f>
        <v>21</v>
      </c>
    </row>
    <row r="583" spans="1:27" x14ac:dyDescent="0.2">
      <c r="A583" t="s">
        <v>4880</v>
      </c>
      <c r="B583" t="s">
        <v>4881</v>
      </c>
      <c r="C583" t="s">
        <v>4882</v>
      </c>
      <c r="D583" t="s">
        <v>4883</v>
      </c>
      <c r="E583" t="s">
        <v>4802</v>
      </c>
      <c r="F583">
        <v>1</v>
      </c>
      <c r="G583">
        <v>22</v>
      </c>
      <c r="H583">
        <v>22</v>
      </c>
      <c r="I583" t="s">
        <v>186</v>
      </c>
      <c r="J583" s="110">
        <v>581</v>
      </c>
      <c r="K583" t="s">
        <v>2893</v>
      </c>
      <c r="L583">
        <f>IF(Table_TRM_Fixtures[[#This Row],[Technology]]="LED", Table_TRM_Fixtures[[#This Row],[Fixture Watts  (TRM Data)]], Table_TRM_Fixtures[[#This Row],[Lamp Watts  (TRM Data)]])</f>
        <v>22</v>
      </c>
      <c r="M583">
        <f>Table_TRM_Fixtures[[#This Row],[No. of Lamps  (TRM Data)]]</f>
        <v>1</v>
      </c>
      <c r="N583" t="s">
        <v>186</v>
      </c>
      <c r="O583" t="s">
        <v>186</v>
      </c>
      <c r="R583" t="s">
        <v>2893</v>
      </c>
      <c r="S583"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22W screw-in lamp/base w/ permanent disk installed, any bulb shape</v>
      </c>
      <c r="T583" t="str">
        <f>Table_TRM_Fixtures[[#This Row],[Fixture code  (TRM Data)]]</f>
        <v>CF22/1-SCRW</v>
      </c>
      <c r="U583" t="s">
        <v>2882</v>
      </c>
      <c r="V583" t="s">
        <v>186</v>
      </c>
      <c r="W583" t="s">
        <v>3120</v>
      </c>
      <c r="X583" t="s">
        <v>186</v>
      </c>
      <c r="Y583" t="s">
        <v>4815</v>
      </c>
      <c r="Z583" t="s">
        <v>4815</v>
      </c>
      <c r="AA583">
        <f>IF(Table_TRM_Fixtures[[#This Row],[Pre-EISA Baseline]]="Nominal", Table_TRM_Fixtures[[#This Row],[Fixture Watts  (TRM Data)]], Table_TRM_Fixtures[[#This Row],[Modified Baseline Fixture Watts]])</f>
        <v>22</v>
      </c>
    </row>
    <row r="584" spans="1:27" x14ac:dyDescent="0.2">
      <c r="A584" t="s">
        <v>4884</v>
      </c>
      <c r="B584" t="s">
        <v>4885</v>
      </c>
      <c r="C584" t="s">
        <v>4886</v>
      </c>
      <c r="D584" t="s">
        <v>4887</v>
      </c>
      <c r="E584" t="s">
        <v>4802</v>
      </c>
      <c r="F584">
        <v>1</v>
      </c>
      <c r="G584">
        <v>23</v>
      </c>
      <c r="H584">
        <v>23</v>
      </c>
      <c r="I584" t="s">
        <v>186</v>
      </c>
      <c r="J584" s="110">
        <v>582</v>
      </c>
      <c r="K584" t="s">
        <v>2893</v>
      </c>
      <c r="L584">
        <f>IF(Table_TRM_Fixtures[[#This Row],[Technology]]="LED", Table_TRM_Fixtures[[#This Row],[Fixture Watts  (TRM Data)]], Table_TRM_Fixtures[[#This Row],[Lamp Watts  (TRM Data)]])</f>
        <v>23</v>
      </c>
      <c r="M584">
        <f>Table_TRM_Fixtures[[#This Row],[No. of Lamps  (TRM Data)]]</f>
        <v>1</v>
      </c>
      <c r="N584" t="s">
        <v>186</v>
      </c>
      <c r="O584" t="s">
        <v>186</v>
      </c>
      <c r="R584" t="s">
        <v>2893</v>
      </c>
      <c r="S584"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23W screw-in lamp/base w/ permanent disk installed, any bulb shape</v>
      </c>
      <c r="T584" t="str">
        <f>Table_TRM_Fixtures[[#This Row],[Fixture code  (TRM Data)]]</f>
        <v>CF23/1-SCRW</v>
      </c>
      <c r="U584" t="s">
        <v>2882</v>
      </c>
      <c r="V584" t="s">
        <v>186</v>
      </c>
      <c r="W584" t="s">
        <v>3120</v>
      </c>
      <c r="X584" t="s">
        <v>186</v>
      </c>
      <c r="Y584" t="s">
        <v>4815</v>
      </c>
      <c r="Z584" t="s">
        <v>4815</v>
      </c>
      <c r="AA584">
        <f>IF(Table_TRM_Fixtures[[#This Row],[Pre-EISA Baseline]]="Nominal", Table_TRM_Fixtures[[#This Row],[Fixture Watts  (TRM Data)]], Table_TRM_Fixtures[[#This Row],[Modified Baseline Fixture Watts]])</f>
        <v>23</v>
      </c>
    </row>
    <row r="585" spans="1:27" x14ac:dyDescent="0.2">
      <c r="A585" t="s">
        <v>4888</v>
      </c>
      <c r="B585" t="s">
        <v>4889</v>
      </c>
      <c r="C585" t="s">
        <v>4890</v>
      </c>
      <c r="D585" t="s">
        <v>4891</v>
      </c>
      <c r="E585" t="s">
        <v>4802</v>
      </c>
      <c r="F585">
        <v>1</v>
      </c>
      <c r="G585">
        <v>24</v>
      </c>
      <c r="H585">
        <v>24</v>
      </c>
      <c r="I585" t="s">
        <v>186</v>
      </c>
      <c r="J585" s="110">
        <v>583</v>
      </c>
      <c r="K585" t="s">
        <v>2893</v>
      </c>
      <c r="L585">
        <f>IF(Table_TRM_Fixtures[[#This Row],[Technology]]="LED", Table_TRM_Fixtures[[#This Row],[Fixture Watts  (TRM Data)]], Table_TRM_Fixtures[[#This Row],[Lamp Watts  (TRM Data)]])</f>
        <v>24</v>
      </c>
      <c r="M585">
        <f>Table_TRM_Fixtures[[#This Row],[No. of Lamps  (TRM Data)]]</f>
        <v>1</v>
      </c>
      <c r="N585" t="s">
        <v>186</v>
      </c>
      <c r="O585" t="s">
        <v>186</v>
      </c>
      <c r="R585" t="s">
        <v>2893</v>
      </c>
      <c r="S585"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24W screw-in lamp/base w/ permanent disk installed, any bulb shape</v>
      </c>
      <c r="T585" t="str">
        <f>Table_TRM_Fixtures[[#This Row],[Fixture code  (TRM Data)]]</f>
        <v>CF24/1-SCRW</v>
      </c>
      <c r="U585" t="s">
        <v>2882</v>
      </c>
      <c r="V585" t="s">
        <v>186</v>
      </c>
      <c r="W585" t="s">
        <v>3120</v>
      </c>
      <c r="X585" t="s">
        <v>186</v>
      </c>
      <c r="Y585" t="s">
        <v>4815</v>
      </c>
      <c r="Z585" t="s">
        <v>4815</v>
      </c>
      <c r="AA585">
        <f>IF(Table_TRM_Fixtures[[#This Row],[Pre-EISA Baseline]]="Nominal", Table_TRM_Fixtures[[#This Row],[Fixture Watts  (TRM Data)]], Table_TRM_Fixtures[[#This Row],[Modified Baseline Fixture Watts]])</f>
        <v>24</v>
      </c>
    </row>
    <row r="586" spans="1:27" x14ac:dyDescent="0.2">
      <c r="A586" t="s">
        <v>4892</v>
      </c>
      <c r="B586" t="s">
        <v>4893</v>
      </c>
      <c r="C586" t="s">
        <v>4894</v>
      </c>
      <c r="D586" t="s">
        <v>4895</v>
      </c>
      <c r="E586" t="s">
        <v>4802</v>
      </c>
      <c r="F586">
        <v>1</v>
      </c>
      <c r="G586">
        <v>25</v>
      </c>
      <c r="H586">
        <v>25</v>
      </c>
      <c r="I586" t="s">
        <v>186</v>
      </c>
      <c r="J586" s="110">
        <v>584</v>
      </c>
      <c r="K586" t="s">
        <v>2893</v>
      </c>
      <c r="L586">
        <f>IF(Table_TRM_Fixtures[[#This Row],[Technology]]="LED", Table_TRM_Fixtures[[#This Row],[Fixture Watts  (TRM Data)]], Table_TRM_Fixtures[[#This Row],[Lamp Watts  (TRM Data)]])</f>
        <v>25</v>
      </c>
      <c r="M586">
        <f>Table_TRM_Fixtures[[#This Row],[No. of Lamps  (TRM Data)]]</f>
        <v>1</v>
      </c>
      <c r="N586" t="s">
        <v>186</v>
      </c>
      <c r="O586" t="s">
        <v>186</v>
      </c>
      <c r="R586" t="s">
        <v>2893</v>
      </c>
      <c r="S586"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25W screw-in lamp/base w/ permanent disk installed, any bulb shape</v>
      </c>
      <c r="T586" t="str">
        <f>Table_TRM_Fixtures[[#This Row],[Fixture code  (TRM Data)]]</f>
        <v>CF25/1-SCRW</v>
      </c>
      <c r="U586" t="s">
        <v>2882</v>
      </c>
      <c r="V586" t="s">
        <v>186</v>
      </c>
      <c r="W586" t="s">
        <v>3120</v>
      </c>
      <c r="X586" t="s">
        <v>186</v>
      </c>
      <c r="Y586" t="s">
        <v>4815</v>
      </c>
      <c r="Z586" t="s">
        <v>4815</v>
      </c>
      <c r="AA586">
        <f>IF(Table_TRM_Fixtures[[#This Row],[Pre-EISA Baseline]]="Nominal", Table_TRM_Fixtures[[#This Row],[Fixture Watts  (TRM Data)]], Table_TRM_Fixtures[[#This Row],[Modified Baseline Fixture Watts]])</f>
        <v>25</v>
      </c>
    </row>
    <row r="587" spans="1:27" x14ac:dyDescent="0.2">
      <c r="A587" t="s">
        <v>4896</v>
      </c>
      <c r="B587" t="s">
        <v>4897</v>
      </c>
      <c r="C587" t="s">
        <v>4898</v>
      </c>
      <c r="D587" t="s">
        <v>4899</v>
      </c>
      <c r="E587" t="s">
        <v>4802</v>
      </c>
      <c r="F587">
        <v>1</v>
      </c>
      <c r="G587">
        <v>26</v>
      </c>
      <c r="H587">
        <v>26</v>
      </c>
      <c r="I587" t="s">
        <v>186</v>
      </c>
      <c r="J587" s="110">
        <v>585</v>
      </c>
      <c r="K587" t="s">
        <v>2893</v>
      </c>
      <c r="L587">
        <f>IF(Table_TRM_Fixtures[[#This Row],[Technology]]="LED", Table_TRM_Fixtures[[#This Row],[Fixture Watts  (TRM Data)]], Table_TRM_Fixtures[[#This Row],[Lamp Watts  (TRM Data)]])</f>
        <v>26</v>
      </c>
      <c r="M587">
        <f>Table_TRM_Fixtures[[#This Row],[No. of Lamps  (TRM Data)]]</f>
        <v>1</v>
      </c>
      <c r="N587" t="s">
        <v>186</v>
      </c>
      <c r="O587" t="s">
        <v>186</v>
      </c>
      <c r="R587" t="s">
        <v>2893</v>
      </c>
      <c r="S587"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26W screw-in lamp/base w/ permanent disk installed, any bulb shape</v>
      </c>
      <c r="T587" t="str">
        <f>Table_TRM_Fixtures[[#This Row],[Fixture code  (TRM Data)]]</f>
        <v>CF26/1-SCRW</v>
      </c>
      <c r="U587" t="s">
        <v>2882</v>
      </c>
      <c r="V587" t="s">
        <v>186</v>
      </c>
      <c r="W587" t="s">
        <v>3120</v>
      </c>
      <c r="X587" t="s">
        <v>186</v>
      </c>
      <c r="Y587" t="s">
        <v>4815</v>
      </c>
      <c r="Z587" t="s">
        <v>4815</v>
      </c>
      <c r="AA587">
        <f>IF(Table_TRM_Fixtures[[#This Row],[Pre-EISA Baseline]]="Nominal", Table_TRM_Fixtures[[#This Row],[Fixture Watts  (TRM Data)]], Table_TRM_Fixtures[[#This Row],[Modified Baseline Fixture Watts]])</f>
        <v>26</v>
      </c>
    </row>
    <row r="588" spans="1:27" x14ac:dyDescent="0.2">
      <c r="A588" t="s">
        <v>4900</v>
      </c>
      <c r="B588" t="s">
        <v>4901</v>
      </c>
      <c r="C588" t="s">
        <v>4902</v>
      </c>
      <c r="D588" t="s">
        <v>4903</v>
      </c>
      <c r="E588" t="s">
        <v>4802</v>
      </c>
      <c r="F588">
        <v>1</v>
      </c>
      <c r="G588">
        <v>27</v>
      </c>
      <c r="H588">
        <v>27</v>
      </c>
      <c r="I588" t="s">
        <v>186</v>
      </c>
      <c r="J588" s="110">
        <v>586</v>
      </c>
      <c r="K588" t="s">
        <v>2893</v>
      </c>
      <c r="L588">
        <f>IF(Table_TRM_Fixtures[[#This Row],[Technology]]="LED", Table_TRM_Fixtures[[#This Row],[Fixture Watts  (TRM Data)]], Table_TRM_Fixtures[[#This Row],[Lamp Watts  (TRM Data)]])</f>
        <v>27</v>
      </c>
      <c r="M588">
        <f>Table_TRM_Fixtures[[#This Row],[No. of Lamps  (TRM Data)]]</f>
        <v>1</v>
      </c>
      <c r="N588" t="s">
        <v>186</v>
      </c>
      <c r="O588" t="s">
        <v>186</v>
      </c>
      <c r="R588" t="s">
        <v>2893</v>
      </c>
      <c r="S588"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27W screw-in lamp/base w/ permanent disk installed, any bulb shape</v>
      </c>
      <c r="T588" t="str">
        <f>Table_TRM_Fixtures[[#This Row],[Fixture code  (TRM Data)]]</f>
        <v>CF27/1-SCRW</v>
      </c>
      <c r="U588" t="s">
        <v>2882</v>
      </c>
      <c r="V588" t="s">
        <v>186</v>
      </c>
      <c r="W588" t="s">
        <v>3120</v>
      </c>
      <c r="X588" t="s">
        <v>186</v>
      </c>
      <c r="Y588" t="str">
        <f>_xlfn.CONCAT(Table_TRM_Fixtures[[#This Row],[Combined Lighting/Ballast Types]],":",Table_TRM_Fixtures[[#This Row],[No. of Lamps]], ":", Table_TRM_Fixtures[[#This Row],[Lamp Watts  (TRM Data)]])</f>
        <v>CFL:1:27</v>
      </c>
      <c r="Z588"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CFL:1:27</v>
      </c>
      <c r="AA588">
        <f>IF(Table_TRM_Fixtures[[#This Row],[Pre-EISA Baseline]]="Nominal", Table_TRM_Fixtures[[#This Row],[Fixture Watts  (TRM Data)]], Table_TRM_Fixtures[[#This Row],[Modified Baseline Fixture Watts]])</f>
        <v>27</v>
      </c>
    </row>
    <row r="589" spans="1:27" x14ac:dyDescent="0.2">
      <c r="A589" t="s">
        <v>4904</v>
      </c>
      <c r="B589" t="s">
        <v>4905</v>
      </c>
      <c r="C589" t="s">
        <v>4906</v>
      </c>
      <c r="D589" t="s">
        <v>4907</v>
      </c>
      <c r="E589" t="s">
        <v>4802</v>
      </c>
      <c r="F589">
        <v>1</v>
      </c>
      <c r="G589">
        <v>28</v>
      </c>
      <c r="H589">
        <v>28</v>
      </c>
      <c r="I589" t="s">
        <v>186</v>
      </c>
      <c r="J589" s="110">
        <v>587</v>
      </c>
      <c r="K589" t="s">
        <v>2893</v>
      </c>
      <c r="L589">
        <f>IF(Table_TRM_Fixtures[[#This Row],[Technology]]="LED", Table_TRM_Fixtures[[#This Row],[Fixture Watts  (TRM Data)]], Table_TRM_Fixtures[[#This Row],[Lamp Watts  (TRM Data)]])</f>
        <v>28</v>
      </c>
      <c r="M589">
        <f>Table_TRM_Fixtures[[#This Row],[No. of Lamps  (TRM Data)]]</f>
        <v>1</v>
      </c>
      <c r="N589" t="s">
        <v>186</v>
      </c>
      <c r="O589" t="s">
        <v>186</v>
      </c>
      <c r="R589" t="s">
        <v>2893</v>
      </c>
      <c r="S589"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28W screw-in lamp/base w/ permanent disk installed, any bulb shape</v>
      </c>
      <c r="T589" t="str">
        <f>Table_TRM_Fixtures[[#This Row],[Fixture code  (TRM Data)]]</f>
        <v>CF28/1-SCRW</v>
      </c>
      <c r="U589" t="s">
        <v>2882</v>
      </c>
      <c r="V589" t="s">
        <v>186</v>
      </c>
      <c r="W589" t="s">
        <v>3120</v>
      </c>
      <c r="X589" t="s">
        <v>186</v>
      </c>
      <c r="Y589" t="s">
        <v>4815</v>
      </c>
      <c r="Z589" t="s">
        <v>4815</v>
      </c>
      <c r="AA589">
        <f>IF(Table_TRM_Fixtures[[#This Row],[Pre-EISA Baseline]]="Nominal", Table_TRM_Fixtures[[#This Row],[Fixture Watts  (TRM Data)]], Table_TRM_Fixtures[[#This Row],[Modified Baseline Fixture Watts]])</f>
        <v>28</v>
      </c>
    </row>
    <row r="590" spans="1:27" x14ac:dyDescent="0.2">
      <c r="A590" t="s">
        <v>4908</v>
      </c>
      <c r="B590" t="s">
        <v>4909</v>
      </c>
      <c r="C590" t="s">
        <v>4910</v>
      </c>
      <c r="D590" t="s">
        <v>4911</v>
      </c>
      <c r="E590" t="s">
        <v>4802</v>
      </c>
      <c r="F590">
        <v>1</v>
      </c>
      <c r="G590">
        <v>29</v>
      </c>
      <c r="H590">
        <v>29</v>
      </c>
      <c r="I590" t="s">
        <v>186</v>
      </c>
      <c r="J590" s="110">
        <v>588</v>
      </c>
      <c r="K590" t="s">
        <v>2893</v>
      </c>
      <c r="L590">
        <f>IF(Table_TRM_Fixtures[[#This Row],[Technology]]="LED", Table_TRM_Fixtures[[#This Row],[Fixture Watts  (TRM Data)]], Table_TRM_Fixtures[[#This Row],[Lamp Watts  (TRM Data)]])</f>
        <v>29</v>
      </c>
      <c r="M590">
        <f>Table_TRM_Fixtures[[#This Row],[No. of Lamps  (TRM Data)]]</f>
        <v>1</v>
      </c>
      <c r="N590" t="s">
        <v>186</v>
      </c>
      <c r="O590" t="s">
        <v>186</v>
      </c>
      <c r="R590" t="s">
        <v>2893</v>
      </c>
      <c r="S590"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29W screw-in lamp/base w/ permanent disk installed, any bulb shape</v>
      </c>
      <c r="T590" t="str">
        <f>Table_TRM_Fixtures[[#This Row],[Fixture code  (TRM Data)]]</f>
        <v>CF29/1-SCRW</v>
      </c>
      <c r="U590" t="s">
        <v>2882</v>
      </c>
      <c r="V590" t="s">
        <v>186</v>
      </c>
      <c r="W590" t="s">
        <v>3120</v>
      </c>
      <c r="X590" t="s">
        <v>186</v>
      </c>
      <c r="Y590" t="str">
        <f>_xlfn.CONCAT(Table_TRM_Fixtures[[#This Row],[Combined Lighting/Ballast Types]],":",Table_TRM_Fixtures[[#This Row],[No. of Lamps]], ":", Table_TRM_Fixtures[[#This Row],[Lamp Watts  (TRM Data)]])</f>
        <v>CFL:1:29</v>
      </c>
      <c r="Z590"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CFL:1:29</v>
      </c>
      <c r="AA590">
        <f>IF(Table_TRM_Fixtures[[#This Row],[Pre-EISA Baseline]]="Nominal", Table_TRM_Fixtures[[#This Row],[Fixture Watts  (TRM Data)]], Table_TRM_Fixtures[[#This Row],[Modified Baseline Fixture Watts]])</f>
        <v>29</v>
      </c>
    </row>
    <row r="591" spans="1:27" x14ac:dyDescent="0.2">
      <c r="A591" t="s">
        <v>4912</v>
      </c>
      <c r="B591" t="s">
        <v>4913</v>
      </c>
      <c r="C591" t="s">
        <v>4914</v>
      </c>
      <c r="D591" t="s">
        <v>4915</v>
      </c>
      <c r="E591" t="s">
        <v>4802</v>
      </c>
      <c r="F591">
        <v>1</v>
      </c>
      <c r="G591">
        <v>30</v>
      </c>
      <c r="H591">
        <v>30</v>
      </c>
      <c r="I591" t="s">
        <v>186</v>
      </c>
      <c r="J591" s="110">
        <v>589</v>
      </c>
      <c r="K591" t="s">
        <v>2893</v>
      </c>
      <c r="L591">
        <f>IF(Table_TRM_Fixtures[[#This Row],[Technology]]="LED", Table_TRM_Fixtures[[#This Row],[Fixture Watts  (TRM Data)]], Table_TRM_Fixtures[[#This Row],[Lamp Watts  (TRM Data)]])</f>
        <v>30</v>
      </c>
      <c r="M591">
        <f>Table_TRM_Fixtures[[#This Row],[No. of Lamps  (TRM Data)]]</f>
        <v>1</v>
      </c>
      <c r="N591" t="s">
        <v>186</v>
      </c>
      <c r="O591" t="s">
        <v>186</v>
      </c>
      <c r="R591" t="s">
        <v>2893</v>
      </c>
      <c r="S591"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30W screw-in lamp/base w/ permanent disk installed, any bulb shape</v>
      </c>
      <c r="T591" t="str">
        <f>Table_TRM_Fixtures[[#This Row],[Fixture code  (TRM Data)]]</f>
        <v>CF30/1-SCRW</v>
      </c>
      <c r="U591" t="s">
        <v>2882</v>
      </c>
      <c r="V591" t="s">
        <v>186</v>
      </c>
      <c r="W591" t="s">
        <v>3120</v>
      </c>
      <c r="X591" t="s">
        <v>186</v>
      </c>
      <c r="Y591" t="str">
        <f>_xlfn.CONCAT(Table_TRM_Fixtures[[#This Row],[Combined Lighting/Ballast Types]],":",Table_TRM_Fixtures[[#This Row],[No. of Lamps]], ":", Table_TRM_Fixtures[[#This Row],[Lamp Watts  (TRM Data)]])</f>
        <v>CFL:1:30</v>
      </c>
      <c r="Z591"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CFL:1:30</v>
      </c>
      <c r="AA591">
        <f>IF(Table_TRM_Fixtures[[#This Row],[Pre-EISA Baseline]]="Nominal", Table_TRM_Fixtures[[#This Row],[Fixture Watts  (TRM Data)]], Table_TRM_Fixtures[[#This Row],[Modified Baseline Fixture Watts]])</f>
        <v>30</v>
      </c>
    </row>
    <row r="592" spans="1:27" x14ac:dyDescent="0.2">
      <c r="A592" t="s">
        <v>4916</v>
      </c>
      <c r="B592" t="s">
        <v>4917</v>
      </c>
      <c r="C592" t="s">
        <v>4918</v>
      </c>
      <c r="D592" t="s">
        <v>4919</v>
      </c>
      <c r="E592" t="s">
        <v>4802</v>
      </c>
      <c r="F592">
        <v>1</v>
      </c>
      <c r="G592">
        <v>31</v>
      </c>
      <c r="H592">
        <v>31</v>
      </c>
      <c r="I592" t="s">
        <v>186</v>
      </c>
      <c r="J592" s="110">
        <v>590</v>
      </c>
      <c r="K592" t="s">
        <v>2893</v>
      </c>
      <c r="L592">
        <f>IF(Table_TRM_Fixtures[[#This Row],[Technology]]="LED", Table_TRM_Fixtures[[#This Row],[Fixture Watts  (TRM Data)]], Table_TRM_Fixtures[[#This Row],[Lamp Watts  (TRM Data)]])</f>
        <v>31</v>
      </c>
      <c r="M592">
        <f>Table_TRM_Fixtures[[#This Row],[No. of Lamps  (TRM Data)]]</f>
        <v>1</v>
      </c>
      <c r="N592" t="s">
        <v>186</v>
      </c>
      <c r="O592" t="s">
        <v>186</v>
      </c>
      <c r="R592" t="s">
        <v>2893</v>
      </c>
      <c r="S592"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31W screw-in lamp/base w/ permanent disk installed, any bulb shape</v>
      </c>
      <c r="T592" t="str">
        <f>Table_TRM_Fixtures[[#This Row],[Fixture code  (TRM Data)]]</f>
        <v>CF31/1-SCRW</v>
      </c>
      <c r="U592" t="s">
        <v>2882</v>
      </c>
      <c r="V592" t="s">
        <v>186</v>
      </c>
      <c r="W592" t="s">
        <v>3120</v>
      </c>
      <c r="X592" t="s">
        <v>186</v>
      </c>
      <c r="Y592" t="str">
        <f>_xlfn.CONCAT(Table_TRM_Fixtures[[#This Row],[Combined Lighting/Ballast Types]],":",Table_TRM_Fixtures[[#This Row],[No. of Lamps]], ":", Table_TRM_Fixtures[[#This Row],[Lamp Watts  (TRM Data)]])</f>
        <v>CFL:1:31</v>
      </c>
      <c r="Z592"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CFL:1:31</v>
      </c>
      <c r="AA592">
        <f>IF(Table_TRM_Fixtures[[#This Row],[Pre-EISA Baseline]]="Nominal", Table_TRM_Fixtures[[#This Row],[Fixture Watts  (TRM Data)]], Table_TRM_Fixtures[[#This Row],[Modified Baseline Fixture Watts]])</f>
        <v>31</v>
      </c>
    </row>
    <row r="593" spans="1:27" x14ac:dyDescent="0.2">
      <c r="A593" t="s">
        <v>4920</v>
      </c>
      <c r="B593" t="s">
        <v>4921</v>
      </c>
      <c r="C593" t="s">
        <v>4922</v>
      </c>
      <c r="D593" t="s">
        <v>4923</v>
      </c>
      <c r="E593" t="s">
        <v>4802</v>
      </c>
      <c r="F593">
        <v>1</v>
      </c>
      <c r="G593">
        <v>32</v>
      </c>
      <c r="H593">
        <v>32</v>
      </c>
      <c r="I593" t="s">
        <v>186</v>
      </c>
      <c r="J593" s="110">
        <v>591</v>
      </c>
      <c r="K593" t="s">
        <v>2893</v>
      </c>
      <c r="L593">
        <f>IF(Table_TRM_Fixtures[[#This Row],[Technology]]="LED", Table_TRM_Fixtures[[#This Row],[Fixture Watts  (TRM Data)]], Table_TRM_Fixtures[[#This Row],[Lamp Watts  (TRM Data)]])</f>
        <v>32</v>
      </c>
      <c r="M593">
        <f>Table_TRM_Fixtures[[#This Row],[No. of Lamps  (TRM Data)]]</f>
        <v>1</v>
      </c>
      <c r="N593" t="s">
        <v>186</v>
      </c>
      <c r="O593" t="s">
        <v>186</v>
      </c>
      <c r="R593" t="s">
        <v>2893</v>
      </c>
      <c r="S593"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32W screw-in lamp/base w/ permanent disk installed, any bulb shape</v>
      </c>
      <c r="T593" t="str">
        <f>Table_TRM_Fixtures[[#This Row],[Fixture code  (TRM Data)]]</f>
        <v>CF32/1-SCRW</v>
      </c>
      <c r="U593" t="s">
        <v>2882</v>
      </c>
      <c r="V593" t="s">
        <v>186</v>
      </c>
      <c r="W593" t="s">
        <v>3120</v>
      </c>
      <c r="X593" t="s">
        <v>186</v>
      </c>
      <c r="Y593" t="s">
        <v>4815</v>
      </c>
      <c r="Z593" t="s">
        <v>4815</v>
      </c>
      <c r="AA593">
        <f>IF(Table_TRM_Fixtures[[#This Row],[Pre-EISA Baseline]]="Nominal", Table_TRM_Fixtures[[#This Row],[Fixture Watts  (TRM Data)]], Table_TRM_Fixtures[[#This Row],[Modified Baseline Fixture Watts]])</f>
        <v>32</v>
      </c>
    </row>
    <row r="594" spans="1:27" x14ac:dyDescent="0.2">
      <c r="A594" t="s">
        <v>4924</v>
      </c>
      <c r="B594" t="s">
        <v>4925</v>
      </c>
      <c r="C594" t="s">
        <v>4926</v>
      </c>
      <c r="D594" t="s">
        <v>4927</v>
      </c>
      <c r="E594" t="s">
        <v>4802</v>
      </c>
      <c r="F594">
        <v>1</v>
      </c>
      <c r="G594">
        <v>33</v>
      </c>
      <c r="H594">
        <v>33</v>
      </c>
      <c r="I594" t="s">
        <v>186</v>
      </c>
      <c r="J594" s="110">
        <v>592</v>
      </c>
      <c r="K594" t="s">
        <v>2893</v>
      </c>
      <c r="L594">
        <f>IF(Table_TRM_Fixtures[[#This Row],[Technology]]="LED", Table_TRM_Fixtures[[#This Row],[Fixture Watts  (TRM Data)]], Table_TRM_Fixtures[[#This Row],[Lamp Watts  (TRM Data)]])</f>
        <v>33</v>
      </c>
      <c r="M594">
        <f>Table_TRM_Fixtures[[#This Row],[No. of Lamps  (TRM Data)]]</f>
        <v>1</v>
      </c>
      <c r="N594" t="s">
        <v>186</v>
      </c>
      <c r="O594" t="s">
        <v>186</v>
      </c>
      <c r="R594" t="s">
        <v>2893</v>
      </c>
      <c r="S594"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33W screw-in lamp/base w/ permanent disk installed, any bulb shape</v>
      </c>
      <c r="T594" t="str">
        <f>Table_TRM_Fixtures[[#This Row],[Fixture code  (TRM Data)]]</f>
        <v>CF33/1-SCRW</v>
      </c>
      <c r="U594" t="s">
        <v>2882</v>
      </c>
      <c r="V594" t="s">
        <v>186</v>
      </c>
      <c r="W594" t="s">
        <v>3120</v>
      </c>
      <c r="X594" t="s">
        <v>186</v>
      </c>
      <c r="Y594" t="str">
        <f>_xlfn.CONCAT(Table_TRM_Fixtures[[#This Row],[Combined Lighting/Ballast Types]],":",Table_TRM_Fixtures[[#This Row],[No. of Lamps]], ":", Table_TRM_Fixtures[[#This Row],[Lamp Watts  (TRM Data)]])</f>
        <v>CFL:1:33</v>
      </c>
      <c r="Z594"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CFL:1:33</v>
      </c>
      <c r="AA594">
        <f>IF(Table_TRM_Fixtures[[#This Row],[Pre-EISA Baseline]]="Nominal", Table_TRM_Fixtures[[#This Row],[Fixture Watts  (TRM Data)]], Table_TRM_Fixtures[[#This Row],[Modified Baseline Fixture Watts]])</f>
        <v>33</v>
      </c>
    </row>
    <row r="595" spans="1:27" x14ac:dyDescent="0.2">
      <c r="A595" t="s">
        <v>4928</v>
      </c>
      <c r="B595" t="s">
        <v>4929</v>
      </c>
      <c r="C595" t="s">
        <v>4930</v>
      </c>
      <c r="D595" t="s">
        <v>4931</v>
      </c>
      <c r="E595" t="s">
        <v>4802</v>
      </c>
      <c r="F595">
        <v>1</v>
      </c>
      <c r="G595">
        <v>34</v>
      </c>
      <c r="H595">
        <v>34</v>
      </c>
      <c r="I595" t="s">
        <v>186</v>
      </c>
      <c r="J595" s="110">
        <v>593</v>
      </c>
      <c r="K595" t="s">
        <v>2893</v>
      </c>
      <c r="L595">
        <f>IF(Table_TRM_Fixtures[[#This Row],[Technology]]="LED", Table_TRM_Fixtures[[#This Row],[Fixture Watts  (TRM Data)]], Table_TRM_Fixtures[[#This Row],[Lamp Watts  (TRM Data)]])</f>
        <v>34</v>
      </c>
      <c r="M595">
        <f>Table_TRM_Fixtures[[#This Row],[No. of Lamps  (TRM Data)]]</f>
        <v>1</v>
      </c>
      <c r="N595" t="s">
        <v>186</v>
      </c>
      <c r="O595" t="s">
        <v>186</v>
      </c>
      <c r="R595" t="s">
        <v>2893</v>
      </c>
      <c r="S595"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34W screw-in lamp/base w/ permanent disk installed, any bulb shape</v>
      </c>
      <c r="T595" t="str">
        <f>Table_TRM_Fixtures[[#This Row],[Fixture code  (TRM Data)]]</f>
        <v>CF34/1-SCRW</v>
      </c>
      <c r="U595" t="s">
        <v>2882</v>
      </c>
      <c r="V595" t="s">
        <v>186</v>
      </c>
      <c r="W595" t="s">
        <v>3120</v>
      </c>
      <c r="X595" t="s">
        <v>186</v>
      </c>
      <c r="Y595" t="str">
        <f>_xlfn.CONCAT(Table_TRM_Fixtures[[#This Row],[Combined Lighting/Ballast Types]],":",Table_TRM_Fixtures[[#This Row],[No. of Lamps]], ":", Table_TRM_Fixtures[[#This Row],[Lamp Watts  (TRM Data)]])</f>
        <v>CFL:1:34</v>
      </c>
      <c r="Z595"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CFL:1:34</v>
      </c>
      <c r="AA595">
        <f>IF(Table_TRM_Fixtures[[#This Row],[Pre-EISA Baseline]]="Nominal", Table_TRM_Fixtures[[#This Row],[Fixture Watts  (TRM Data)]], Table_TRM_Fixtures[[#This Row],[Modified Baseline Fixture Watts]])</f>
        <v>34</v>
      </c>
    </row>
    <row r="596" spans="1:27" x14ac:dyDescent="0.2">
      <c r="A596" t="s">
        <v>4932</v>
      </c>
      <c r="B596" t="s">
        <v>4933</v>
      </c>
      <c r="C596" t="s">
        <v>4934</v>
      </c>
      <c r="D596" t="s">
        <v>4935</v>
      </c>
      <c r="E596" t="s">
        <v>4802</v>
      </c>
      <c r="F596">
        <v>1</v>
      </c>
      <c r="G596">
        <v>35</v>
      </c>
      <c r="H596">
        <v>35</v>
      </c>
      <c r="I596" t="s">
        <v>186</v>
      </c>
      <c r="J596" s="110">
        <v>594</v>
      </c>
      <c r="K596" t="s">
        <v>2893</v>
      </c>
      <c r="L596">
        <f>IF(Table_TRM_Fixtures[[#This Row],[Technology]]="LED", Table_TRM_Fixtures[[#This Row],[Fixture Watts  (TRM Data)]], Table_TRM_Fixtures[[#This Row],[Lamp Watts  (TRM Data)]])</f>
        <v>35</v>
      </c>
      <c r="M596">
        <f>Table_TRM_Fixtures[[#This Row],[No. of Lamps  (TRM Data)]]</f>
        <v>1</v>
      </c>
      <c r="N596" t="s">
        <v>186</v>
      </c>
      <c r="O596" t="s">
        <v>186</v>
      </c>
      <c r="R596" t="s">
        <v>2893</v>
      </c>
      <c r="S596"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35W screw-in lamp/base w/ permanent disk installed, any bulb shape</v>
      </c>
      <c r="T596" t="str">
        <f>Table_TRM_Fixtures[[#This Row],[Fixture code  (TRM Data)]]</f>
        <v>CF35/1-SCRW</v>
      </c>
      <c r="U596" t="s">
        <v>2882</v>
      </c>
      <c r="V596" t="s">
        <v>186</v>
      </c>
      <c r="W596" t="s">
        <v>3120</v>
      </c>
      <c r="X596" t="s">
        <v>186</v>
      </c>
      <c r="Y596" t="str">
        <f>_xlfn.CONCAT(Table_TRM_Fixtures[[#This Row],[Combined Lighting/Ballast Types]],":",Table_TRM_Fixtures[[#This Row],[No. of Lamps]], ":", Table_TRM_Fixtures[[#This Row],[Lamp Watts  (TRM Data)]])</f>
        <v>CFL:1:35</v>
      </c>
      <c r="Z596"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CFL:1:35</v>
      </c>
      <c r="AA596">
        <f>IF(Table_TRM_Fixtures[[#This Row],[Pre-EISA Baseline]]="Nominal", Table_TRM_Fixtures[[#This Row],[Fixture Watts  (TRM Data)]], Table_TRM_Fixtures[[#This Row],[Modified Baseline Fixture Watts]])</f>
        <v>35</v>
      </c>
    </row>
    <row r="597" spans="1:27" x14ac:dyDescent="0.2">
      <c r="A597" t="s">
        <v>4936</v>
      </c>
      <c r="B597" t="s">
        <v>4937</v>
      </c>
      <c r="C597" t="s">
        <v>4938</v>
      </c>
      <c r="D597" t="s">
        <v>4939</v>
      </c>
      <c r="E597" t="s">
        <v>4802</v>
      </c>
      <c r="F597">
        <v>1</v>
      </c>
      <c r="G597">
        <v>36</v>
      </c>
      <c r="H597">
        <v>36</v>
      </c>
      <c r="I597" t="s">
        <v>186</v>
      </c>
      <c r="J597" s="110">
        <v>595</v>
      </c>
      <c r="K597" t="s">
        <v>2893</v>
      </c>
      <c r="L597">
        <f>IF(Table_TRM_Fixtures[[#This Row],[Technology]]="LED", Table_TRM_Fixtures[[#This Row],[Fixture Watts  (TRM Data)]], Table_TRM_Fixtures[[#This Row],[Lamp Watts  (TRM Data)]])</f>
        <v>36</v>
      </c>
      <c r="M597">
        <f>Table_TRM_Fixtures[[#This Row],[No. of Lamps  (TRM Data)]]</f>
        <v>1</v>
      </c>
      <c r="N597" t="s">
        <v>186</v>
      </c>
      <c r="O597" t="s">
        <v>186</v>
      </c>
      <c r="R597" t="s">
        <v>2893</v>
      </c>
      <c r="S597"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36W screw-in lamp/base w/ permanent disk installed, any bulb shape</v>
      </c>
      <c r="T597" t="str">
        <f>Table_TRM_Fixtures[[#This Row],[Fixture code  (TRM Data)]]</f>
        <v>CF36/1-SCRW</v>
      </c>
      <c r="U597" t="s">
        <v>2882</v>
      </c>
      <c r="V597" t="s">
        <v>186</v>
      </c>
      <c r="W597" t="s">
        <v>3120</v>
      </c>
      <c r="X597" t="s">
        <v>186</v>
      </c>
      <c r="Y597" t="s">
        <v>4815</v>
      </c>
      <c r="Z597" t="s">
        <v>4815</v>
      </c>
      <c r="AA597">
        <f>IF(Table_TRM_Fixtures[[#This Row],[Pre-EISA Baseline]]="Nominal", Table_TRM_Fixtures[[#This Row],[Fixture Watts  (TRM Data)]], Table_TRM_Fixtures[[#This Row],[Modified Baseline Fixture Watts]])</f>
        <v>36</v>
      </c>
    </row>
    <row r="598" spans="1:27" x14ac:dyDescent="0.2">
      <c r="A598" t="s">
        <v>4940</v>
      </c>
      <c r="B598" t="s">
        <v>4941</v>
      </c>
      <c r="C598" t="s">
        <v>4942</v>
      </c>
      <c r="D598" t="s">
        <v>4943</v>
      </c>
      <c r="E598" t="s">
        <v>4802</v>
      </c>
      <c r="F598">
        <v>1</v>
      </c>
      <c r="G598">
        <v>37</v>
      </c>
      <c r="H598">
        <v>37</v>
      </c>
      <c r="I598" t="s">
        <v>186</v>
      </c>
      <c r="J598" s="110">
        <v>596</v>
      </c>
      <c r="K598" t="s">
        <v>2893</v>
      </c>
      <c r="L598">
        <f>IF(Table_TRM_Fixtures[[#This Row],[Technology]]="LED", Table_TRM_Fixtures[[#This Row],[Fixture Watts  (TRM Data)]], Table_TRM_Fixtures[[#This Row],[Lamp Watts  (TRM Data)]])</f>
        <v>37</v>
      </c>
      <c r="M598">
        <f>Table_TRM_Fixtures[[#This Row],[No. of Lamps  (TRM Data)]]</f>
        <v>1</v>
      </c>
      <c r="N598" t="s">
        <v>186</v>
      </c>
      <c r="O598" t="s">
        <v>186</v>
      </c>
      <c r="R598" t="s">
        <v>2893</v>
      </c>
      <c r="S598"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37W screw-in lamp/base w/ permanent disk installed, any bulb shape</v>
      </c>
      <c r="T598" t="str">
        <f>Table_TRM_Fixtures[[#This Row],[Fixture code  (TRM Data)]]</f>
        <v>CF37/1-SCRW</v>
      </c>
      <c r="U598" t="s">
        <v>2882</v>
      </c>
      <c r="V598" t="s">
        <v>186</v>
      </c>
      <c r="W598" t="s">
        <v>3120</v>
      </c>
      <c r="X598" t="s">
        <v>186</v>
      </c>
      <c r="Y598" t="str">
        <f>_xlfn.CONCAT(Table_TRM_Fixtures[[#This Row],[Combined Lighting/Ballast Types]],":",Table_TRM_Fixtures[[#This Row],[No. of Lamps]], ":", Table_TRM_Fixtures[[#This Row],[Lamp Watts  (TRM Data)]])</f>
        <v>CFL:1:37</v>
      </c>
      <c r="Z598"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CFL:1:37</v>
      </c>
      <c r="AA598">
        <f>IF(Table_TRM_Fixtures[[#This Row],[Pre-EISA Baseline]]="Nominal", Table_TRM_Fixtures[[#This Row],[Fixture Watts  (TRM Data)]], Table_TRM_Fixtures[[#This Row],[Modified Baseline Fixture Watts]])</f>
        <v>37</v>
      </c>
    </row>
    <row r="599" spans="1:27" x14ac:dyDescent="0.2">
      <c r="A599" t="s">
        <v>4944</v>
      </c>
      <c r="B599" t="s">
        <v>4945</v>
      </c>
      <c r="C599" t="s">
        <v>4946</v>
      </c>
      <c r="D599" t="s">
        <v>4947</v>
      </c>
      <c r="E599" t="s">
        <v>4802</v>
      </c>
      <c r="F599">
        <v>1</v>
      </c>
      <c r="G599">
        <v>38</v>
      </c>
      <c r="H599">
        <v>38</v>
      </c>
      <c r="I599" t="s">
        <v>186</v>
      </c>
      <c r="J599" s="110">
        <v>597</v>
      </c>
      <c r="K599" t="s">
        <v>2893</v>
      </c>
      <c r="L599">
        <f>IF(Table_TRM_Fixtures[[#This Row],[Technology]]="LED", Table_TRM_Fixtures[[#This Row],[Fixture Watts  (TRM Data)]], Table_TRM_Fixtures[[#This Row],[Lamp Watts  (TRM Data)]])</f>
        <v>38</v>
      </c>
      <c r="M599">
        <f>Table_TRM_Fixtures[[#This Row],[No. of Lamps  (TRM Data)]]</f>
        <v>1</v>
      </c>
      <c r="N599" t="s">
        <v>186</v>
      </c>
      <c r="O599" t="s">
        <v>186</v>
      </c>
      <c r="R599" t="s">
        <v>2893</v>
      </c>
      <c r="S599"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38W screw-in lamp/base w/ permanent disk installed, any bulb shape</v>
      </c>
      <c r="T599" t="str">
        <f>Table_TRM_Fixtures[[#This Row],[Fixture code  (TRM Data)]]</f>
        <v>CF38/1-SCRW</v>
      </c>
      <c r="U599" t="s">
        <v>2882</v>
      </c>
      <c r="V599" t="s">
        <v>186</v>
      </c>
      <c r="W599" t="s">
        <v>3120</v>
      </c>
      <c r="X599" t="s">
        <v>186</v>
      </c>
      <c r="Y599" t="s">
        <v>4815</v>
      </c>
      <c r="Z599" t="s">
        <v>4815</v>
      </c>
      <c r="AA599">
        <f>IF(Table_TRM_Fixtures[[#This Row],[Pre-EISA Baseline]]="Nominal", Table_TRM_Fixtures[[#This Row],[Fixture Watts  (TRM Data)]], Table_TRM_Fixtures[[#This Row],[Modified Baseline Fixture Watts]])</f>
        <v>38</v>
      </c>
    </row>
    <row r="600" spans="1:27" x14ac:dyDescent="0.2">
      <c r="A600" t="s">
        <v>4948</v>
      </c>
      <c r="B600" t="s">
        <v>4949</v>
      </c>
      <c r="C600" t="s">
        <v>4950</v>
      </c>
      <c r="D600" t="s">
        <v>4951</v>
      </c>
      <c r="E600" t="s">
        <v>4802</v>
      </c>
      <c r="F600">
        <v>1</v>
      </c>
      <c r="G600">
        <v>39</v>
      </c>
      <c r="H600">
        <v>39</v>
      </c>
      <c r="I600" t="s">
        <v>186</v>
      </c>
      <c r="J600" s="110">
        <v>598</v>
      </c>
      <c r="K600" t="s">
        <v>2893</v>
      </c>
      <c r="L600">
        <f>IF(Table_TRM_Fixtures[[#This Row],[Technology]]="LED", Table_TRM_Fixtures[[#This Row],[Fixture Watts  (TRM Data)]], Table_TRM_Fixtures[[#This Row],[Lamp Watts  (TRM Data)]])</f>
        <v>39</v>
      </c>
      <c r="M600">
        <f>Table_TRM_Fixtures[[#This Row],[No. of Lamps  (TRM Data)]]</f>
        <v>1</v>
      </c>
      <c r="N600" t="s">
        <v>186</v>
      </c>
      <c r="O600" t="s">
        <v>186</v>
      </c>
      <c r="R600" t="s">
        <v>2893</v>
      </c>
      <c r="S600"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39W screw-in lamp/base w/ permanent disk installed, any bulb shape</v>
      </c>
      <c r="T600" t="str">
        <f>Table_TRM_Fixtures[[#This Row],[Fixture code  (TRM Data)]]</f>
        <v>CF39/1-SCRW</v>
      </c>
      <c r="U600" t="s">
        <v>2882</v>
      </c>
      <c r="V600" t="s">
        <v>186</v>
      </c>
      <c r="W600" t="s">
        <v>3120</v>
      </c>
      <c r="X600" t="s">
        <v>186</v>
      </c>
      <c r="Y600" t="str">
        <f>_xlfn.CONCAT(Table_TRM_Fixtures[[#This Row],[Combined Lighting/Ballast Types]],":",Table_TRM_Fixtures[[#This Row],[No. of Lamps]], ":", Table_TRM_Fixtures[[#This Row],[Lamp Watts  (TRM Data)]])</f>
        <v>CFL:1:39</v>
      </c>
      <c r="Z600"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CFL:1:39</v>
      </c>
      <c r="AA600">
        <f>IF(Table_TRM_Fixtures[[#This Row],[Pre-EISA Baseline]]="Nominal", Table_TRM_Fixtures[[#This Row],[Fixture Watts  (TRM Data)]], Table_TRM_Fixtures[[#This Row],[Modified Baseline Fixture Watts]])</f>
        <v>39</v>
      </c>
    </row>
    <row r="601" spans="1:27" x14ac:dyDescent="0.2">
      <c r="A601" t="s">
        <v>4952</v>
      </c>
      <c r="B601" t="s">
        <v>4953</v>
      </c>
      <c r="C601" t="s">
        <v>4954</v>
      </c>
      <c r="D601" t="s">
        <v>4955</v>
      </c>
      <c r="E601" t="s">
        <v>4802</v>
      </c>
      <c r="F601">
        <v>1</v>
      </c>
      <c r="G601">
        <v>40</v>
      </c>
      <c r="H601">
        <v>40</v>
      </c>
      <c r="I601" t="s">
        <v>186</v>
      </c>
      <c r="J601" s="110">
        <v>599</v>
      </c>
      <c r="K601" t="s">
        <v>2893</v>
      </c>
      <c r="L601">
        <f>IF(Table_TRM_Fixtures[[#This Row],[Technology]]="LED", Table_TRM_Fixtures[[#This Row],[Fixture Watts  (TRM Data)]], Table_TRM_Fixtures[[#This Row],[Lamp Watts  (TRM Data)]])</f>
        <v>40</v>
      </c>
      <c r="M601">
        <f>Table_TRM_Fixtures[[#This Row],[No. of Lamps  (TRM Data)]]</f>
        <v>1</v>
      </c>
      <c r="N601" t="s">
        <v>186</v>
      </c>
      <c r="O601" t="s">
        <v>186</v>
      </c>
      <c r="R601" t="s">
        <v>2893</v>
      </c>
      <c r="S601"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40W screw-in lamp/base w/ permanent disk installed, any bulb shape</v>
      </c>
      <c r="T601" t="str">
        <f>Table_TRM_Fixtures[[#This Row],[Fixture code  (TRM Data)]]</f>
        <v>CF40/1-SCRW</v>
      </c>
      <c r="U601" t="s">
        <v>2882</v>
      </c>
      <c r="V601" t="s">
        <v>186</v>
      </c>
      <c r="W601" t="s">
        <v>3120</v>
      </c>
      <c r="X601" t="s">
        <v>186</v>
      </c>
      <c r="Y601" t="s">
        <v>4815</v>
      </c>
      <c r="Z601" t="s">
        <v>4815</v>
      </c>
      <c r="AA601">
        <f>IF(Table_TRM_Fixtures[[#This Row],[Pre-EISA Baseline]]="Nominal", Table_TRM_Fixtures[[#This Row],[Fixture Watts  (TRM Data)]], Table_TRM_Fixtures[[#This Row],[Modified Baseline Fixture Watts]])</f>
        <v>40</v>
      </c>
    </row>
    <row r="602" spans="1:27" x14ac:dyDescent="0.2">
      <c r="A602" t="s">
        <v>4956</v>
      </c>
      <c r="B602" t="s">
        <v>4957</v>
      </c>
      <c r="C602" t="s">
        <v>4958</v>
      </c>
      <c r="D602" t="s">
        <v>4959</v>
      </c>
      <c r="E602" t="s">
        <v>4802</v>
      </c>
      <c r="F602">
        <v>1</v>
      </c>
      <c r="G602">
        <v>41</v>
      </c>
      <c r="H602">
        <v>41</v>
      </c>
      <c r="I602" t="s">
        <v>186</v>
      </c>
      <c r="J602" s="110">
        <v>600</v>
      </c>
      <c r="K602" t="s">
        <v>2893</v>
      </c>
      <c r="L602">
        <f>IF(Table_TRM_Fixtures[[#This Row],[Technology]]="LED", Table_TRM_Fixtures[[#This Row],[Fixture Watts  (TRM Data)]], Table_TRM_Fixtures[[#This Row],[Lamp Watts  (TRM Data)]])</f>
        <v>41</v>
      </c>
      <c r="M602">
        <f>Table_TRM_Fixtures[[#This Row],[No. of Lamps  (TRM Data)]]</f>
        <v>1</v>
      </c>
      <c r="N602" t="s">
        <v>186</v>
      </c>
      <c r="O602" t="s">
        <v>186</v>
      </c>
      <c r="R602" t="s">
        <v>2893</v>
      </c>
      <c r="S602"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41W screw-in lamp/base w/ permanent disk installed, any bulb shape</v>
      </c>
      <c r="T602" t="str">
        <f>Table_TRM_Fixtures[[#This Row],[Fixture code  (TRM Data)]]</f>
        <v>CF41/1-SCRW</v>
      </c>
      <c r="U602" t="s">
        <v>2882</v>
      </c>
      <c r="V602" t="s">
        <v>186</v>
      </c>
      <c r="W602" t="s">
        <v>3120</v>
      </c>
      <c r="X602" t="s">
        <v>186</v>
      </c>
      <c r="Y602" t="str">
        <f>_xlfn.CONCAT(Table_TRM_Fixtures[[#This Row],[Combined Lighting/Ballast Types]],":",Table_TRM_Fixtures[[#This Row],[No. of Lamps]], ":", Table_TRM_Fixtures[[#This Row],[Lamp Watts  (TRM Data)]])</f>
        <v>CFL:1:41</v>
      </c>
      <c r="Z602"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CFL:1:41</v>
      </c>
      <c r="AA602">
        <f>IF(Table_TRM_Fixtures[[#This Row],[Pre-EISA Baseline]]="Nominal", Table_TRM_Fixtures[[#This Row],[Fixture Watts  (TRM Data)]], Table_TRM_Fixtures[[#This Row],[Modified Baseline Fixture Watts]])</f>
        <v>41</v>
      </c>
    </row>
    <row r="603" spans="1:27" x14ac:dyDescent="0.2">
      <c r="A603" t="s">
        <v>4960</v>
      </c>
      <c r="B603" t="s">
        <v>4961</v>
      </c>
      <c r="C603" t="s">
        <v>4962</v>
      </c>
      <c r="D603" t="s">
        <v>4963</v>
      </c>
      <c r="E603" t="s">
        <v>4802</v>
      </c>
      <c r="F603">
        <v>1</v>
      </c>
      <c r="G603">
        <v>42</v>
      </c>
      <c r="H603">
        <v>42</v>
      </c>
      <c r="I603" t="s">
        <v>186</v>
      </c>
      <c r="J603" s="110">
        <v>601</v>
      </c>
      <c r="K603" t="s">
        <v>2893</v>
      </c>
      <c r="L603">
        <f>IF(Table_TRM_Fixtures[[#This Row],[Technology]]="LED", Table_TRM_Fixtures[[#This Row],[Fixture Watts  (TRM Data)]], Table_TRM_Fixtures[[#This Row],[Lamp Watts  (TRM Data)]])</f>
        <v>42</v>
      </c>
      <c r="M603">
        <f>Table_TRM_Fixtures[[#This Row],[No. of Lamps  (TRM Data)]]</f>
        <v>1</v>
      </c>
      <c r="N603" t="s">
        <v>186</v>
      </c>
      <c r="O603" t="s">
        <v>186</v>
      </c>
      <c r="R603" t="s">
        <v>2893</v>
      </c>
      <c r="S603"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42W screw-in lamp/base w/ permanent disk installed, any bulb shape</v>
      </c>
      <c r="T603" t="str">
        <f>Table_TRM_Fixtures[[#This Row],[Fixture code  (TRM Data)]]</f>
        <v>CF42/1-SCRW</v>
      </c>
      <c r="U603" t="s">
        <v>2882</v>
      </c>
      <c r="V603" t="s">
        <v>186</v>
      </c>
      <c r="W603" t="s">
        <v>3120</v>
      </c>
      <c r="X603" t="s">
        <v>186</v>
      </c>
      <c r="Y603" t="str">
        <f>_xlfn.CONCAT(Table_TRM_Fixtures[[#This Row],[Combined Lighting/Ballast Types]],":",Table_TRM_Fixtures[[#This Row],[No. of Lamps]], ":", Table_TRM_Fixtures[[#This Row],[Lamp Watts  (TRM Data)]])</f>
        <v>CFL:1:42</v>
      </c>
      <c r="Z603"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CFL:1:42</v>
      </c>
      <c r="AA603">
        <f>IF(Table_TRM_Fixtures[[#This Row],[Pre-EISA Baseline]]="Nominal", Table_TRM_Fixtures[[#This Row],[Fixture Watts  (TRM Data)]], Table_TRM_Fixtures[[#This Row],[Modified Baseline Fixture Watts]])</f>
        <v>42</v>
      </c>
    </row>
    <row r="604" spans="1:27" x14ac:dyDescent="0.2">
      <c r="A604" t="s">
        <v>4964</v>
      </c>
      <c r="B604" t="s">
        <v>4965</v>
      </c>
      <c r="C604" t="s">
        <v>4966</v>
      </c>
      <c r="D604" t="s">
        <v>4967</v>
      </c>
      <c r="E604" t="s">
        <v>4802</v>
      </c>
      <c r="F604">
        <v>1</v>
      </c>
      <c r="G604">
        <v>43</v>
      </c>
      <c r="H604">
        <v>43</v>
      </c>
      <c r="I604" t="s">
        <v>186</v>
      </c>
      <c r="J604" s="110">
        <v>602</v>
      </c>
      <c r="K604" t="s">
        <v>2893</v>
      </c>
      <c r="L604">
        <f>IF(Table_TRM_Fixtures[[#This Row],[Technology]]="LED", Table_TRM_Fixtures[[#This Row],[Fixture Watts  (TRM Data)]], Table_TRM_Fixtures[[#This Row],[Lamp Watts  (TRM Data)]])</f>
        <v>43</v>
      </c>
      <c r="M604">
        <f>Table_TRM_Fixtures[[#This Row],[No. of Lamps  (TRM Data)]]</f>
        <v>1</v>
      </c>
      <c r="N604" t="s">
        <v>186</v>
      </c>
      <c r="O604" t="s">
        <v>186</v>
      </c>
      <c r="R604" t="s">
        <v>2893</v>
      </c>
      <c r="S604"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43W screw-in lamp/base w/ permanent disk installed, any bulb shape</v>
      </c>
      <c r="T604" t="str">
        <f>Table_TRM_Fixtures[[#This Row],[Fixture code  (TRM Data)]]</f>
        <v>CF43/1-SCRW</v>
      </c>
      <c r="U604" t="s">
        <v>2882</v>
      </c>
      <c r="V604" t="s">
        <v>186</v>
      </c>
      <c r="W604" t="s">
        <v>3120</v>
      </c>
      <c r="X604" t="s">
        <v>186</v>
      </c>
      <c r="Y604" t="str">
        <f>_xlfn.CONCAT(Table_TRM_Fixtures[[#This Row],[Combined Lighting/Ballast Types]],":",Table_TRM_Fixtures[[#This Row],[No. of Lamps]], ":", Table_TRM_Fixtures[[#This Row],[Lamp Watts  (TRM Data)]])</f>
        <v>CFL:1:43</v>
      </c>
      <c r="Z604"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CFL:1:43</v>
      </c>
      <c r="AA604">
        <f>IF(Table_TRM_Fixtures[[#This Row],[Pre-EISA Baseline]]="Nominal", Table_TRM_Fixtures[[#This Row],[Fixture Watts  (TRM Data)]], Table_TRM_Fixtures[[#This Row],[Modified Baseline Fixture Watts]])</f>
        <v>43</v>
      </c>
    </row>
    <row r="605" spans="1:27" x14ac:dyDescent="0.2">
      <c r="A605" t="s">
        <v>4968</v>
      </c>
      <c r="B605" t="s">
        <v>4969</v>
      </c>
      <c r="C605" t="s">
        <v>4970</v>
      </c>
      <c r="D605" t="s">
        <v>4971</v>
      </c>
      <c r="E605" t="s">
        <v>4802</v>
      </c>
      <c r="F605">
        <v>1</v>
      </c>
      <c r="G605">
        <v>44</v>
      </c>
      <c r="H605">
        <v>44</v>
      </c>
      <c r="I605" t="s">
        <v>186</v>
      </c>
      <c r="J605" s="110">
        <v>603</v>
      </c>
      <c r="K605" t="s">
        <v>2893</v>
      </c>
      <c r="L605">
        <f>IF(Table_TRM_Fixtures[[#This Row],[Technology]]="LED", Table_TRM_Fixtures[[#This Row],[Fixture Watts  (TRM Data)]], Table_TRM_Fixtures[[#This Row],[Lamp Watts  (TRM Data)]])</f>
        <v>44</v>
      </c>
      <c r="M605">
        <f>Table_TRM_Fixtures[[#This Row],[No. of Lamps  (TRM Data)]]</f>
        <v>1</v>
      </c>
      <c r="N605" t="s">
        <v>186</v>
      </c>
      <c r="O605" t="s">
        <v>186</v>
      </c>
      <c r="R605" t="s">
        <v>2893</v>
      </c>
      <c r="S605"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44W screw-in lamp/base w/permanent disk installed, any bulb shape</v>
      </c>
      <c r="T605" t="str">
        <f>Table_TRM_Fixtures[[#This Row],[Fixture code  (TRM Data)]]</f>
        <v>CF44/1-SCRW</v>
      </c>
      <c r="U605" t="s">
        <v>2882</v>
      </c>
      <c r="V605" t="s">
        <v>186</v>
      </c>
      <c r="W605" t="s">
        <v>3120</v>
      </c>
      <c r="X605" t="s">
        <v>186</v>
      </c>
      <c r="Y605" t="str">
        <f>_xlfn.CONCAT(Table_TRM_Fixtures[[#This Row],[Combined Lighting/Ballast Types]],":",Table_TRM_Fixtures[[#This Row],[No. of Lamps]], ":", Table_TRM_Fixtures[[#This Row],[Lamp Watts  (TRM Data)]])</f>
        <v>CFL:1:44</v>
      </c>
      <c r="Z605"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CFL:1:44</v>
      </c>
      <c r="AA605">
        <f>IF(Table_TRM_Fixtures[[#This Row],[Pre-EISA Baseline]]="Nominal", Table_TRM_Fixtures[[#This Row],[Fixture Watts  (TRM Data)]], Table_TRM_Fixtures[[#This Row],[Modified Baseline Fixture Watts]])</f>
        <v>44</v>
      </c>
    </row>
    <row r="606" spans="1:27" x14ac:dyDescent="0.2">
      <c r="A606" t="s">
        <v>4972</v>
      </c>
      <c r="B606" t="s">
        <v>4973</v>
      </c>
      <c r="C606" t="s">
        <v>4974</v>
      </c>
      <c r="D606" t="s">
        <v>4975</v>
      </c>
      <c r="E606" t="s">
        <v>4802</v>
      </c>
      <c r="F606">
        <v>1</v>
      </c>
      <c r="G606">
        <v>45</v>
      </c>
      <c r="H606">
        <v>45</v>
      </c>
      <c r="I606" t="s">
        <v>186</v>
      </c>
      <c r="J606" s="110">
        <v>604</v>
      </c>
      <c r="K606" t="s">
        <v>2893</v>
      </c>
      <c r="L606">
        <f>IF(Table_TRM_Fixtures[[#This Row],[Technology]]="LED", Table_TRM_Fixtures[[#This Row],[Fixture Watts  (TRM Data)]], Table_TRM_Fixtures[[#This Row],[Lamp Watts  (TRM Data)]])</f>
        <v>45</v>
      </c>
      <c r="M606">
        <f>Table_TRM_Fixtures[[#This Row],[No. of Lamps  (TRM Data)]]</f>
        <v>1</v>
      </c>
      <c r="N606" t="s">
        <v>186</v>
      </c>
      <c r="O606" t="s">
        <v>186</v>
      </c>
      <c r="R606" t="s">
        <v>2893</v>
      </c>
      <c r="S606"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45W screw-in lamp/base w/permanent disk installed, any bulb shape</v>
      </c>
      <c r="T606" t="str">
        <f>Table_TRM_Fixtures[[#This Row],[Fixture code  (TRM Data)]]</f>
        <v>CF45/1-SCRW</v>
      </c>
      <c r="U606" t="s">
        <v>2882</v>
      </c>
      <c r="V606" t="s">
        <v>186</v>
      </c>
      <c r="W606" t="s">
        <v>3120</v>
      </c>
      <c r="X606" t="s">
        <v>186</v>
      </c>
      <c r="Y606" t="str">
        <f>_xlfn.CONCAT(Table_TRM_Fixtures[[#This Row],[Combined Lighting/Ballast Types]],":",Table_TRM_Fixtures[[#This Row],[No. of Lamps]], ":", Table_TRM_Fixtures[[#This Row],[Lamp Watts  (TRM Data)]])</f>
        <v>CFL:1:45</v>
      </c>
      <c r="Z606"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CFL:1:45</v>
      </c>
      <c r="AA606">
        <f>IF(Table_TRM_Fixtures[[#This Row],[Pre-EISA Baseline]]="Nominal", Table_TRM_Fixtures[[#This Row],[Fixture Watts  (TRM Data)]], Table_TRM_Fixtures[[#This Row],[Modified Baseline Fixture Watts]])</f>
        <v>45</v>
      </c>
    </row>
    <row r="607" spans="1:27" x14ac:dyDescent="0.2">
      <c r="A607" t="s">
        <v>4976</v>
      </c>
      <c r="B607" t="s">
        <v>4977</v>
      </c>
      <c r="C607" t="s">
        <v>4978</v>
      </c>
      <c r="D607" t="s">
        <v>4979</v>
      </c>
      <c r="E607" t="s">
        <v>4802</v>
      </c>
      <c r="F607">
        <v>1</v>
      </c>
      <c r="G607">
        <v>46</v>
      </c>
      <c r="H607">
        <v>46</v>
      </c>
      <c r="I607" t="s">
        <v>186</v>
      </c>
      <c r="J607" s="110">
        <v>605</v>
      </c>
      <c r="K607" t="s">
        <v>2893</v>
      </c>
      <c r="L607">
        <f>IF(Table_TRM_Fixtures[[#This Row],[Technology]]="LED", Table_TRM_Fixtures[[#This Row],[Fixture Watts  (TRM Data)]], Table_TRM_Fixtures[[#This Row],[Lamp Watts  (TRM Data)]])</f>
        <v>46</v>
      </c>
      <c r="M607">
        <f>Table_TRM_Fixtures[[#This Row],[No. of Lamps  (TRM Data)]]</f>
        <v>1</v>
      </c>
      <c r="N607" t="s">
        <v>186</v>
      </c>
      <c r="O607" t="s">
        <v>186</v>
      </c>
      <c r="R607" t="s">
        <v>2893</v>
      </c>
      <c r="S607"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46W screw-in lamp/base w/permanent disk installed, any bulb shape</v>
      </c>
      <c r="T607" t="str">
        <f>Table_TRM_Fixtures[[#This Row],[Fixture code  (TRM Data)]]</f>
        <v>CF46/1-SCRW</v>
      </c>
      <c r="U607" t="s">
        <v>2882</v>
      </c>
      <c r="V607" t="s">
        <v>186</v>
      </c>
      <c r="W607" t="s">
        <v>3120</v>
      </c>
      <c r="X607" t="s">
        <v>186</v>
      </c>
      <c r="Y607" t="str">
        <f>_xlfn.CONCAT(Table_TRM_Fixtures[[#This Row],[Combined Lighting/Ballast Types]],":",Table_TRM_Fixtures[[#This Row],[No. of Lamps]], ":", Table_TRM_Fixtures[[#This Row],[Lamp Watts  (TRM Data)]])</f>
        <v>CFL:1:46</v>
      </c>
      <c r="Z607"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CFL:1:46</v>
      </c>
      <c r="AA607">
        <f>IF(Table_TRM_Fixtures[[#This Row],[Pre-EISA Baseline]]="Nominal", Table_TRM_Fixtures[[#This Row],[Fixture Watts  (TRM Data)]], Table_TRM_Fixtures[[#This Row],[Modified Baseline Fixture Watts]])</f>
        <v>46</v>
      </c>
    </row>
    <row r="608" spans="1:27" x14ac:dyDescent="0.2">
      <c r="A608" t="s">
        <v>4980</v>
      </c>
      <c r="B608" t="s">
        <v>4981</v>
      </c>
      <c r="C608" t="s">
        <v>4982</v>
      </c>
      <c r="D608" t="s">
        <v>4983</v>
      </c>
      <c r="E608" t="s">
        <v>4802</v>
      </c>
      <c r="F608">
        <v>1</v>
      </c>
      <c r="G608">
        <v>47</v>
      </c>
      <c r="H608">
        <v>47</v>
      </c>
      <c r="I608" t="s">
        <v>186</v>
      </c>
      <c r="J608" s="110">
        <v>606</v>
      </c>
      <c r="K608" t="s">
        <v>2893</v>
      </c>
      <c r="L608">
        <f>IF(Table_TRM_Fixtures[[#This Row],[Technology]]="LED", Table_TRM_Fixtures[[#This Row],[Fixture Watts  (TRM Data)]], Table_TRM_Fixtures[[#This Row],[Lamp Watts  (TRM Data)]])</f>
        <v>47</v>
      </c>
      <c r="M608">
        <f>Table_TRM_Fixtures[[#This Row],[No. of Lamps  (TRM Data)]]</f>
        <v>1</v>
      </c>
      <c r="N608" t="s">
        <v>186</v>
      </c>
      <c r="O608" t="s">
        <v>186</v>
      </c>
      <c r="R608" t="s">
        <v>2893</v>
      </c>
      <c r="S608"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47W screw-in lamp/base w/permanent disk installed, any bulb shape</v>
      </c>
      <c r="T608" t="str">
        <f>Table_TRM_Fixtures[[#This Row],[Fixture code  (TRM Data)]]</f>
        <v>CF47/1-SCRW</v>
      </c>
      <c r="U608" t="s">
        <v>2882</v>
      </c>
      <c r="V608" t="s">
        <v>186</v>
      </c>
      <c r="W608" t="s">
        <v>3120</v>
      </c>
      <c r="X608" t="s">
        <v>186</v>
      </c>
      <c r="Y608" t="str">
        <f>_xlfn.CONCAT(Table_TRM_Fixtures[[#This Row],[Combined Lighting/Ballast Types]],":",Table_TRM_Fixtures[[#This Row],[No. of Lamps]], ":", Table_TRM_Fixtures[[#This Row],[Lamp Watts  (TRM Data)]])</f>
        <v>CFL:1:47</v>
      </c>
      <c r="Z608"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CFL:1:47</v>
      </c>
      <c r="AA608">
        <f>IF(Table_TRM_Fixtures[[#This Row],[Pre-EISA Baseline]]="Nominal", Table_TRM_Fixtures[[#This Row],[Fixture Watts  (TRM Data)]], Table_TRM_Fixtures[[#This Row],[Modified Baseline Fixture Watts]])</f>
        <v>47</v>
      </c>
    </row>
    <row r="609" spans="1:27" x14ac:dyDescent="0.2">
      <c r="A609" t="s">
        <v>4984</v>
      </c>
      <c r="B609" t="s">
        <v>4985</v>
      </c>
      <c r="C609" t="s">
        <v>4986</v>
      </c>
      <c r="D609" t="s">
        <v>4987</v>
      </c>
      <c r="E609" t="s">
        <v>4802</v>
      </c>
      <c r="F609">
        <v>1</v>
      </c>
      <c r="G609">
        <v>48</v>
      </c>
      <c r="H609">
        <v>48</v>
      </c>
      <c r="I609" t="s">
        <v>186</v>
      </c>
      <c r="J609" s="110">
        <v>607</v>
      </c>
      <c r="K609" t="s">
        <v>2893</v>
      </c>
      <c r="L609">
        <f>IF(Table_TRM_Fixtures[[#This Row],[Technology]]="LED", Table_TRM_Fixtures[[#This Row],[Fixture Watts  (TRM Data)]], Table_TRM_Fixtures[[#This Row],[Lamp Watts  (TRM Data)]])</f>
        <v>48</v>
      </c>
      <c r="M609">
        <f>Table_TRM_Fixtures[[#This Row],[No. of Lamps  (TRM Data)]]</f>
        <v>1</v>
      </c>
      <c r="N609" t="s">
        <v>186</v>
      </c>
      <c r="O609" t="s">
        <v>186</v>
      </c>
      <c r="R609" t="s">
        <v>2893</v>
      </c>
      <c r="S609"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48W screw-in lamp/base w/permanent disk installed, any bulb shape</v>
      </c>
      <c r="T609" t="str">
        <f>Table_TRM_Fixtures[[#This Row],[Fixture code  (TRM Data)]]</f>
        <v>CF48/1-SCRW</v>
      </c>
      <c r="U609" t="s">
        <v>2882</v>
      </c>
      <c r="V609" t="s">
        <v>186</v>
      </c>
      <c r="W609" t="s">
        <v>3120</v>
      </c>
      <c r="X609" t="s">
        <v>186</v>
      </c>
      <c r="Y609" t="str">
        <f>_xlfn.CONCAT(Table_TRM_Fixtures[[#This Row],[Combined Lighting/Ballast Types]],":",Table_TRM_Fixtures[[#This Row],[No. of Lamps]], ":", Table_TRM_Fixtures[[#This Row],[Lamp Watts  (TRM Data)]])</f>
        <v>CFL:1:48</v>
      </c>
      <c r="Z609"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CFL:1:48</v>
      </c>
      <c r="AA609">
        <f>IF(Table_TRM_Fixtures[[#This Row],[Pre-EISA Baseline]]="Nominal", Table_TRM_Fixtures[[#This Row],[Fixture Watts  (TRM Data)]], Table_TRM_Fixtures[[#This Row],[Modified Baseline Fixture Watts]])</f>
        <v>48</v>
      </c>
    </row>
    <row r="610" spans="1:27" x14ac:dyDescent="0.2">
      <c r="A610" t="s">
        <v>4988</v>
      </c>
      <c r="B610" t="s">
        <v>4989</v>
      </c>
      <c r="C610" t="s">
        <v>4990</v>
      </c>
      <c r="D610" t="s">
        <v>4991</v>
      </c>
      <c r="E610" t="s">
        <v>4802</v>
      </c>
      <c r="F610">
        <v>1</v>
      </c>
      <c r="G610">
        <v>49</v>
      </c>
      <c r="H610">
        <v>49</v>
      </c>
      <c r="I610" t="s">
        <v>186</v>
      </c>
      <c r="J610" s="110">
        <v>608</v>
      </c>
      <c r="K610" t="s">
        <v>2893</v>
      </c>
      <c r="L610">
        <f>IF(Table_TRM_Fixtures[[#This Row],[Technology]]="LED", Table_TRM_Fixtures[[#This Row],[Fixture Watts  (TRM Data)]], Table_TRM_Fixtures[[#This Row],[Lamp Watts  (TRM Data)]])</f>
        <v>49</v>
      </c>
      <c r="M610">
        <f>Table_TRM_Fixtures[[#This Row],[No. of Lamps  (TRM Data)]]</f>
        <v>1</v>
      </c>
      <c r="N610" t="s">
        <v>186</v>
      </c>
      <c r="O610" t="s">
        <v>186</v>
      </c>
      <c r="R610" t="s">
        <v>2893</v>
      </c>
      <c r="S610"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49W screw-in lamp/base w/permanent disk installed, any bulb shape</v>
      </c>
      <c r="T610" t="str">
        <f>Table_TRM_Fixtures[[#This Row],[Fixture code  (TRM Data)]]</f>
        <v>CF49/1-SCRW</v>
      </c>
      <c r="U610" t="s">
        <v>2882</v>
      </c>
      <c r="V610" t="s">
        <v>186</v>
      </c>
      <c r="W610" t="s">
        <v>3120</v>
      </c>
      <c r="X610" t="s">
        <v>186</v>
      </c>
      <c r="Y610" t="str">
        <f>_xlfn.CONCAT(Table_TRM_Fixtures[[#This Row],[Combined Lighting/Ballast Types]],":",Table_TRM_Fixtures[[#This Row],[No. of Lamps]], ":", Table_TRM_Fixtures[[#This Row],[Lamp Watts  (TRM Data)]])</f>
        <v>CFL:1:49</v>
      </c>
      <c r="Z610"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CFL:1:49</v>
      </c>
      <c r="AA610">
        <f>IF(Table_TRM_Fixtures[[#This Row],[Pre-EISA Baseline]]="Nominal", Table_TRM_Fixtures[[#This Row],[Fixture Watts  (TRM Data)]], Table_TRM_Fixtures[[#This Row],[Modified Baseline Fixture Watts]])</f>
        <v>49</v>
      </c>
    </row>
    <row r="611" spans="1:27" x14ac:dyDescent="0.2">
      <c r="A611" t="s">
        <v>4992</v>
      </c>
      <c r="B611" t="s">
        <v>4993</v>
      </c>
      <c r="C611" t="s">
        <v>4994</v>
      </c>
      <c r="D611" t="s">
        <v>4995</v>
      </c>
      <c r="E611" t="s">
        <v>4802</v>
      </c>
      <c r="F611">
        <v>1</v>
      </c>
      <c r="G611">
        <v>50</v>
      </c>
      <c r="H611">
        <v>50</v>
      </c>
      <c r="I611" t="s">
        <v>186</v>
      </c>
      <c r="J611" s="110">
        <v>609</v>
      </c>
      <c r="K611" t="s">
        <v>2893</v>
      </c>
      <c r="L611">
        <f>IF(Table_TRM_Fixtures[[#This Row],[Technology]]="LED", Table_TRM_Fixtures[[#This Row],[Fixture Watts  (TRM Data)]], Table_TRM_Fixtures[[#This Row],[Lamp Watts  (TRM Data)]])</f>
        <v>50</v>
      </c>
      <c r="M611">
        <f>Table_TRM_Fixtures[[#This Row],[No. of Lamps  (TRM Data)]]</f>
        <v>1</v>
      </c>
      <c r="N611" t="s">
        <v>186</v>
      </c>
      <c r="O611" t="s">
        <v>186</v>
      </c>
      <c r="R611" t="s">
        <v>2893</v>
      </c>
      <c r="S611"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50W screw-in lamp/base w/permanent disk installed, any bulb shape</v>
      </c>
      <c r="T611" t="str">
        <f>Table_TRM_Fixtures[[#This Row],[Fixture code  (TRM Data)]]</f>
        <v>CF50/1-SCRW</v>
      </c>
      <c r="U611" t="s">
        <v>2882</v>
      </c>
      <c r="V611" t="s">
        <v>186</v>
      </c>
      <c r="W611" t="s">
        <v>3120</v>
      </c>
      <c r="X611" t="s">
        <v>186</v>
      </c>
      <c r="Y611" t="s">
        <v>4815</v>
      </c>
      <c r="Z611" t="s">
        <v>4815</v>
      </c>
      <c r="AA611">
        <f>IF(Table_TRM_Fixtures[[#This Row],[Pre-EISA Baseline]]="Nominal", Table_TRM_Fixtures[[#This Row],[Fixture Watts  (TRM Data)]], Table_TRM_Fixtures[[#This Row],[Modified Baseline Fixture Watts]])</f>
        <v>50</v>
      </c>
    </row>
    <row r="612" spans="1:27" x14ac:dyDescent="0.2">
      <c r="A612" t="s">
        <v>4996</v>
      </c>
      <c r="B612" t="s">
        <v>4997</v>
      </c>
      <c r="C612" t="s">
        <v>4998</v>
      </c>
      <c r="D612" t="s">
        <v>4999</v>
      </c>
      <c r="E612" t="s">
        <v>4802</v>
      </c>
      <c r="F612">
        <v>1</v>
      </c>
      <c r="G612">
        <v>51</v>
      </c>
      <c r="H612">
        <v>51</v>
      </c>
      <c r="I612" t="s">
        <v>186</v>
      </c>
      <c r="J612" s="110">
        <v>610</v>
      </c>
      <c r="K612" t="s">
        <v>2893</v>
      </c>
      <c r="L612">
        <f>IF(Table_TRM_Fixtures[[#This Row],[Technology]]="LED", Table_TRM_Fixtures[[#This Row],[Fixture Watts  (TRM Data)]], Table_TRM_Fixtures[[#This Row],[Lamp Watts  (TRM Data)]])</f>
        <v>51</v>
      </c>
      <c r="M612">
        <f>Table_TRM_Fixtures[[#This Row],[No. of Lamps  (TRM Data)]]</f>
        <v>1</v>
      </c>
      <c r="N612" t="s">
        <v>186</v>
      </c>
      <c r="O612" t="s">
        <v>186</v>
      </c>
      <c r="R612" t="s">
        <v>2893</v>
      </c>
      <c r="S612"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51W screw-in lamp/base w/permanent disk installed, any bulb shape</v>
      </c>
      <c r="T612" t="str">
        <f>Table_TRM_Fixtures[[#This Row],[Fixture code  (TRM Data)]]</f>
        <v>CF51/1-SCRW</v>
      </c>
      <c r="U612" t="s">
        <v>2882</v>
      </c>
      <c r="V612" t="s">
        <v>186</v>
      </c>
      <c r="W612" t="s">
        <v>3120</v>
      </c>
      <c r="X612" t="s">
        <v>186</v>
      </c>
      <c r="Y612" t="str">
        <f>_xlfn.CONCAT(Table_TRM_Fixtures[[#This Row],[Combined Lighting/Ballast Types]],":",Table_TRM_Fixtures[[#This Row],[No. of Lamps]], ":", Table_TRM_Fixtures[[#This Row],[Lamp Watts  (TRM Data)]])</f>
        <v>CFL:1:51</v>
      </c>
      <c r="Z612"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CFL:1:51</v>
      </c>
      <c r="AA612">
        <f>IF(Table_TRM_Fixtures[[#This Row],[Pre-EISA Baseline]]="Nominal", Table_TRM_Fixtures[[#This Row],[Fixture Watts  (TRM Data)]], Table_TRM_Fixtures[[#This Row],[Modified Baseline Fixture Watts]])</f>
        <v>51</v>
      </c>
    </row>
    <row r="613" spans="1:27" x14ac:dyDescent="0.2">
      <c r="A613" t="s">
        <v>5000</v>
      </c>
      <c r="B613" t="s">
        <v>5001</v>
      </c>
      <c r="C613" t="s">
        <v>5002</v>
      </c>
      <c r="D613" t="s">
        <v>5003</v>
      </c>
      <c r="E613" t="s">
        <v>4802</v>
      </c>
      <c r="F613">
        <v>1</v>
      </c>
      <c r="G613">
        <v>52</v>
      </c>
      <c r="H613">
        <v>52</v>
      </c>
      <c r="I613" t="s">
        <v>186</v>
      </c>
      <c r="J613" s="110">
        <v>611</v>
      </c>
      <c r="K613" t="s">
        <v>2893</v>
      </c>
      <c r="L613">
        <f>IF(Table_TRM_Fixtures[[#This Row],[Technology]]="LED", Table_TRM_Fixtures[[#This Row],[Fixture Watts  (TRM Data)]], Table_TRM_Fixtures[[#This Row],[Lamp Watts  (TRM Data)]])</f>
        <v>52</v>
      </c>
      <c r="M613">
        <f>Table_TRM_Fixtures[[#This Row],[No. of Lamps  (TRM Data)]]</f>
        <v>1</v>
      </c>
      <c r="N613" t="s">
        <v>186</v>
      </c>
      <c r="O613" t="s">
        <v>186</v>
      </c>
      <c r="R613" t="s">
        <v>2893</v>
      </c>
      <c r="S613"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52W screw-in lamp/base w/permanent disk installed, any bulb shape</v>
      </c>
      <c r="T613" t="str">
        <f>Table_TRM_Fixtures[[#This Row],[Fixture code  (TRM Data)]]</f>
        <v>CF52/1-SCRW</v>
      </c>
      <c r="U613" t="s">
        <v>2882</v>
      </c>
      <c r="V613" t="s">
        <v>186</v>
      </c>
      <c r="W613" t="s">
        <v>3120</v>
      </c>
      <c r="X613" t="s">
        <v>186</v>
      </c>
      <c r="Y613" t="str">
        <f>_xlfn.CONCAT(Table_TRM_Fixtures[[#This Row],[Combined Lighting/Ballast Types]],":",Table_TRM_Fixtures[[#This Row],[No. of Lamps]], ":", Table_TRM_Fixtures[[#This Row],[Lamp Watts  (TRM Data)]])</f>
        <v>CFL:1:52</v>
      </c>
      <c r="Z613"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CFL:1:52</v>
      </c>
      <c r="AA613">
        <f>IF(Table_TRM_Fixtures[[#This Row],[Pre-EISA Baseline]]="Nominal", Table_TRM_Fixtures[[#This Row],[Fixture Watts  (TRM Data)]], Table_TRM_Fixtures[[#This Row],[Modified Baseline Fixture Watts]])</f>
        <v>52</v>
      </c>
    </row>
    <row r="614" spans="1:27" x14ac:dyDescent="0.2">
      <c r="A614" t="s">
        <v>5004</v>
      </c>
      <c r="B614" t="s">
        <v>5005</v>
      </c>
      <c r="C614" t="s">
        <v>5006</v>
      </c>
      <c r="D614" t="s">
        <v>5007</v>
      </c>
      <c r="E614" t="s">
        <v>4802</v>
      </c>
      <c r="F614">
        <v>1</v>
      </c>
      <c r="G614">
        <v>53</v>
      </c>
      <c r="H614">
        <v>53</v>
      </c>
      <c r="I614" t="s">
        <v>186</v>
      </c>
      <c r="J614" s="110">
        <v>612</v>
      </c>
      <c r="K614" t="s">
        <v>2893</v>
      </c>
      <c r="L614">
        <f>IF(Table_TRM_Fixtures[[#This Row],[Technology]]="LED", Table_TRM_Fixtures[[#This Row],[Fixture Watts  (TRM Data)]], Table_TRM_Fixtures[[#This Row],[Lamp Watts  (TRM Data)]])</f>
        <v>53</v>
      </c>
      <c r="M614">
        <f>Table_TRM_Fixtures[[#This Row],[No. of Lamps  (TRM Data)]]</f>
        <v>1</v>
      </c>
      <c r="N614" t="s">
        <v>186</v>
      </c>
      <c r="O614" t="s">
        <v>186</v>
      </c>
      <c r="R614" t="s">
        <v>2893</v>
      </c>
      <c r="S614"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53W screw-in lamp/base w/permanent disk installed, any bulb shape</v>
      </c>
      <c r="T614" t="str">
        <f>Table_TRM_Fixtures[[#This Row],[Fixture code  (TRM Data)]]</f>
        <v>CF53/1-SCRW</v>
      </c>
      <c r="U614" t="s">
        <v>2882</v>
      </c>
      <c r="V614" t="s">
        <v>186</v>
      </c>
      <c r="W614" t="s">
        <v>3120</v>
      </c>
      <c r="X614" t="s">
        <v>186</v>
      </c>
      <c r="Y614" t="str">
        <f>_xlfn.CONCAT(Table_TRM_Fixtures[[#This Row],[Combined Lighting/Ballast Types]],":",Table_TRM_Fixtures[[#This Row],[No. of Lamps]], ":", Table_TRM_Fixtures[[#This Row],[Lamp Watts  (TRM Data)]])</f>
        <v>CFL:1:53</v>
      </c>
      <c r="Z614"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CFL:1:53</v>
      </c>
      <c r="AA614">
        <f>IF(Table_TRM_Fixtures[[#This Row],[Pre-EISA Baseline]]="Nominal", Table_TRM_Fixtures[[#This Row],[Fixture Watts  (TRM Data)]], Table_TRM_Fixtures[[#This Row],[Modified Baseline Fixture Watts]])</f>
        <v>53</v>
      </c>
    </row>
    <row r="615" spans="1:27" x14ac:dyDescent="0.2">
      <c r="A615" t="s">
        <v>5008</v>
      </c>
      <c r="B615" t="s">
        <v>5009</v>
      </c>
      <c r="C615" t="s">
        <v>5010</v>
      </c>
      <c r="D615" t="s">
        <v>5011</v>
      </c>
      <c r="E615" t="s">
        <v>4802</v>
      </c>
      <c r="F615">
        <v>1</v>
      </c>
      <c r="G615">
        <v>54</v>
      </c>
      <c r="H615">
        <v>54</v>
      </c>
      <c r="I615" t="s">
        <v>186</v>
      </c>
      <c r="J615" s="110">
        <v>613</v>
      </c>
      <c r="K615" t="s">
        <v>2893</v>
      </c>
      <c r="L615">
        <f>IF(Table_TRM_Fixtures[[#This Row],[Technology]]="LED", Table_TRM_Fixtures[[#This Row],[Fixture Watts  (TRM Data)]], Table_TRM_Fixtures[[#This Row],[Lamp Watts  (TRM Data)]])</f>
        <v>54</v>
      </c>
      <c r="M615">
        <f>Table_TRM_Fixtures[[#This Row],[No. of Lamps  (TRM Data)]]</f>
        <v>1</v>
      </c>
      <c r="N615" t="s">
        <v>186</v>
      </c>
      <c r="O615" t="s">
        <v>186</v>
      </c>
      <c r="R615" t="s">
        <v>2893</v>
      </c>
      <c r="S615"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54W screw-in lamp/base w/permanent disk installed, any bulb shape</v>
      </c>
      <c r="T615" t="str">
        <f>Table_TRM_Fixtures[[#This Row],[Fixture code  (TRM Data)]]</f>
        <v>CF54/1-SCRW</v>
      </c>
      <c r="U615" t="s">
        <v>2882</v>
      </c>
      <c r="V615" t="s">
        <v>186</v>
      </c>
      <c r="W615" t="s">
        <v>3120</v>
      </c>
      <c r="X615" t="s">
        <v>186</v>
      </c>
      <c r="Y615" t="str">
        <f>_xlfn.CONCAT(Table_TRM_Fixtures[[#This Row],[Combined Lighting/Ballast Types]],":",Table_TRM_Fixtures[[#This Row],[No. of Lamps]], ":", Table_TRM_Fixtures[[#This Row],[Lamp Watts  (TRM Data)]])</f>
        <v>CFL:1:54</v>
      </c>
      <c r="Z615"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CFL:1:54</v>
      </c>
      <c r="AA615">
        <f>IF(Table_TRM_Fixtures[[#This Row],[Pre-EISA Baseline]]="Nominal", Table_TRM_Fixtures[[#This Row],[Fixture Watts  (TRM Data)]], Table_TRM_Fixtures[[#This Row],[Modified Baseline Fixture Watts]])</f>
        <v>54</v>
      </c>
    </row>
    <row r="616" spans="1:27" x14ac:dyDescent="0.2">
      <c r="A616" t="s">
        <v>5012</v>
      </c>
      <c r="B616" t="s">
        <v>5013</v>
      </c>
      <c r="C616" t="s">
        <v>5014</v>
      </c>
      <c r="D616" t="s">
        <v>5015</v>
      </c>
      <c r="E616" t="s">
        <v>4802</v>
      </c>
      <c r="F616">
        <v>1</v>
      </c>
      <c r="G616">
        <v>55</v>
      </c>
      <c r="H616">
        <v>55</v>
      </c>
      <c r="I616" t="s">
        <v>186</v>
      </c>
      <c r="J616" s="110">
        <v>614</v>
      </c>
      <c r="K616" t="s">
        <v>2893</v>
      </c>
      <c r="L616">
        <f>IF(Table_TRM_Fixtures[[#This Row],[Technology]]="LED", Table_TRM_Fixtures[[#This Row],[Fixture Watts  (TRM Data)]], Table_TRM_Fixtures[[#This Row],[Lamp Watts  (TRM Data)]])</f>
        <v>55</v>
      </c>
      <c r="M616">
        <f>Table_TRM_Fixtures[[#This Row],[No. of Lamps  (TRM Data)]]</f>
        <v>1</v>
      </c>
      <c r="N616" t="s">
        <v>186</v>
      </c>
      <c r="O616" t="s">
        <v>186</v>
      </c>
      <c r="R616" t="s">
        <v>2893</v>
      </c>
      <c r="S616"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55W screw-in lamp/base w/permanent disk installed, any bulb shape</v>
      </c>
      <c r="T616" t="str">
        <f>Table_TRM_Fixtures[[#This Row],[Fixture code  (TRM Data)]]</f>
        <v>CF55/1-SCRW</v>
      </c>
      <c r="U616" t="s">
        <v>2882</v>
      </c>
      <c r="V616" t="s">
        <v>186</v>
      </c>
      <c r="W616" t="s">
        <v>3120</v>
      </c>
      <c r="X616" t="s">
        <v>186</v>
      </c>
      <c r="Y616" t="s">
        <v>4815</v>
      </c>
      <c r="Z616" t="s">
        <v>4815</v>
      </c>
      <c r="AA616">
        <f>IF(Table_TRM_Fixtures[[#This Row],[Pre-EISA Baseline]]="Nominal", Table_TRM_Fixtures[[#This Row],[Fixture Watts  (TRM Data)]], Table_TRM_Fixtures[[#This Row],[Modified Baseline Fixture Watts]])</f>
        <v>55</v>
      </c>
    </row>
    <row r="617" spans="1:27" x14ac:dyDescent="0.2">
      <c r="A617" t="s">
        <v>5016</v>
      </c>
      <c r="B617" t="s">
        <v>5017</v>
      </c>
      <c r="C617" t="s">
        <v>5018</v>
      </c>
      <c r="D617" t="s">
        <v>5019</v>
      </c>
      <c r="E617" t="s">
        <v>4802</v>
      </c>
      <c r="F617">
        <v>1</v>
      </c>
      <c r="G617">
        <v>56</v>
      </c>
      <c r="H617">
        <v>56</v>
      </c>
      <c r="I617" t="s">
        <v>186</v>
      </c>
      <c r="J617" s="110">
        <v>615</v>
      </c>
      <c r="K617" t="s">
        <v>2893</v>
      </c>
      <c r="L617">
        <f>IF(Table_TRM_Fixtures[[#This Row],[Technology]]="LED", Table_TRM_Fixtures[[#This Row],[Fixture Watts  (TRM Data)]], Table_TRM_Fixtures[[#This Row],[Lamp Watts  (TRM Data)]])</f>
        <v>56</v>
      </c>
      <c r="M617">
        <f>Table_TRM_Fixtures[[#This Row],[No. of Lamps  (TRM Data)]]</f>
        <v>1</v>
      </c>
      <c r="N617" t="s">
        <v>186</v>
      </c>
      <c r="O617" t="s">
        <v>186</v>
      </c>
      <c r="R617" t="s">
        <v>2893</v>
      </c>
      <c r="S617"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56W screw-in lamp/base w/permanent disk installed, any bulb shape</v>
      </c>
      <c r="T617" t="str">
        <f>Table_TRM_Fixtures[[#This Row],[Fixture code  (TRM Data)]]</f>
        <v>CF56/1-SCRW</v>
      </c>
      <c r="U617" t="s">
        <v>2882</v>
      </c>
      <c r="V617" t="s">
        <v>186</v>
      </c>
      <c r="W617" t="s">
        <v>3120</v>
      </c>
      <c r="X617" t="s">
        <v>186</v>
      </c>
      <c r="Y617" t="str">
        <f>_xlfn.CONCAT(Table_TRM_Fixtures[[#This Row],[Combined Lighting/Ballast Types]],":",Table_TRM_Fixtures[[#This Row],[No. of Lamps]], ":", Table_TRM_Fixtures[[#This Row],[Lamp Watts  (TRM Data)]])</f>
        <v>CFL:1:56</v>
      </c>
      <c r="Z617"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CFL:1:56</v>
      </c>
      <c r="AA617">
        <f>IF(Table_TRM_Fixtures[[#This Row],[Pre-EISA Baseline]]="Nominal", Table_TRM_Fixtures[[#This Row],[Fixture Watts  (TRM Data)]], Table_TRM_Fixtures[[#This Row],[Modified Baseline Fixture Watts]])</f>
        <v>56</v>
      </c>
    </row>
    <row r="618" spans="1:27" x14ac:dyDescent="0.2">
      <c r="A618" t="s">
        <v>5020</v>
      </c>
      <c r="B618" t="s">
        <v>5021</v>
      </c>
      <c r="C618" t="s">
        <v>5022</v>
      </c>
      <c r="D618" t="s">
        <v>5023</v>
      </c>
      <c r="E618" t="s">
        <v>4802</v>
      </c>
      <c r="F618">
        <v>1</v>
      </c>
      <c r="G618">
        <v>57</v>
      </c>
      <c r="H618">
        <v>57</v>
      </c>
      <c r="I618" t="s">
        <v>186</v>
      </c>
      <c r="J618" s="110">
        <v>616</v>
      </c>
      <c r="K618" t="s">
        <v>2893</v>
      </c>
      <c r="L618">
        <f>IF(Table_TRM_Fixtures[[#This Row],[Technology]]="LED", Table_TRM_Fixtures[[#This Row],[Fixture Watts  (TRM Data)]], Table_TRM_Fixtures[[#This Row],[Lamp Watts  (TRM Data)]])</f>
        <v>57</v>
      </c>
      <c r="M618">
        <f>Table_TRM_Fixtures[[#This Row],[No. of Lamps  (TRM Data)]]</f>
        <v>1</v>
      </c>
      <c r="N618" t="s">
        <v>186</v>
      </c>
      <c r="O618" t="s">
        <v>186</v>
      </c>
      <c r="R618" t="s">
        <v>2893</v>
      </c>
      <c r="S618"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57W screw-in lamp/base w/permanent disk installed, any bulb shape</v>
      </c>
      <c r="T618" t="str">
        <f>Table_TRM_Fixtures[[#This Row],[Fixture code  (TRM Data)]]</f>
        <v>CF57/1-SCRW</v>
      </c>
      <c r="U618" t="s">
        <v>2882</v>
      </c>
      <c r="V618" t="s">
        <v>186</v>
      </c>
      <c r="W618" t="s">
        <v>3120</v>
      </c>
      <c r="X618" t="s">
        <v>186</v>
      </c>
      <c r="Y618" t="str">
        <f>_xlfn.CONCAT(Table_TRM_Fixtures[[#This Row],[Combined Lighting/Ballast Types]],":",Table_TRM_Fixtures[[#This Row],[No. of Lamps]], ":", Table_TRM_Fixtures[[#This Row],[Lamp Watts  (TRM Data)]])</f>
        <v>CFL:1:57</v>
      </c>
      <c r="Z618"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CFL:1:57</v>
      </c>
      <c r="AA618">
        <f>IF(Table_TRM_Fixtures[[#This Row],[Pre-EISA Baseline]]="Nominal", Table_TRM_Fixtures[[#This Row],[Fixture Watts  (TRM Data)]], Table_TRM_Fixtures[[#This Row],[Modified Baseline Fixture Watts]])</f>
        <v>57</v>
      </c>
    </row>
    <row r="619" spans="1:27" x14ac:dyDescent="0.2">
      <c r="A619" t="s">
        <v>5024</v>
      </c>
      <c r="B619" t="s">
        <v>5025</v>
      </c>
      <c r="C619" t="s">
        <v>5026</v>
      </c>
      <c r="D619" t="s">
        <v>5027</v>
      </c>
      <c r="E619" t="s">
        <v>4802</v>
      </c>
      <c r="F619">
        <v>1</v>
      </c>
      <c r="G619">
        <v>58</v>
      </c>
      <c r="H619">
        <v>58</v>
      </c>
      <c r="I619" t="s">
        <v>186</v>
      </c>
      <c r="J619" s="110">
        <v>617</v>
      </c>
      <c r="K619" t="s">
        <v>2893</v>
      </c>
      <c r="L619">
        <f>IF(Table_TRM_Fixtures[[#This Row],[Technology]]="LED", Table_TRM_Fixtures[[#This Row],[Fixture Watts  (TRM Data)]], Table_TRM_Fixtures[[#This Row],[Lamp Watts  (TRM Data)]])</f>
        <v>58</v>
      </c>
      <c r="M619">
        <f>Table_TRM_Fixtures[[#This Row],[No. of Lamps  (TRM Data)]]</f>
        <v>1</v>
      </c>
      <c r="N619" t="s">
        <v>186</v>
      </c>
      <c r="O619" t="s">
        <v>186</v>
      </c>
      <c r="R619" t="s">
        <v>2893</v>
      </c>
      <c r="S619"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58W screw-in lamp/base w/permanent disk installed, any bulb shape</v>
      </c>
      <c r="T619" t="str">
        <f>Table_TRM_Fixtures[[#This Row],[Fixture code  (TRM Data)]]</f>
        <v>CF58/1-SCRW</v>
      </c>
      <c r="U619" t="s">
        <v>2882</v>
      </c>
      <c r="V619" t="s">
        <v>186</v>
      </c>
      <c r="W619" t="s">
        <v>3120</v>
      </c>
      <c r="X619" t="s">
        <v>186</v>
      </c>
      <c r="Y619" t="str">
        <f>_xlfn.CONCAT(Table_TRM_Fixtures[[#This Row],[Combined Lighting/Ballast Types]],":",Table_TRM_Fixtures[[#This Row],[No. of Lamps]], ":", Table_TRM_Fixtures[[#This Row],[Lamp Watts  (TRM Data)]])</f>
        <v>CFL:1:58</v>
      </c>
      <c r="Z619"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CFL:1:58</v>
      </c>
      <c r="AA619">
        <f>IF(Table_TRM_Fixtures[[#This Row],[Pre-EISA Baseline]]="Nominal", Table_TRM_Fixtures[[#This Row],[Fixture Watts  (TRM Data)]], Table_TRM_Fixtures[[#This Row],[Modified Baseline Fixture Watts]])</f>
        <v>58</v>
      </c>
    </row>
    <row r="620" spans="1:27" x14ac:dyDescent="0.2">
      <c r="A620" t="s">
        <v>5028</v>
      </c>
      <c r="B620" t="s">
        <v>5029</v>
      </c>
      <c r="C620" t="s">
        <v>5030</v>
      </c>
      <c r="D620" t="s">
        <v>5031</v>
      </c>
      <c r="E620" t="s">
        <v>4802</v>
      </c>
      <c r="F620">
        <v>1</v>
      </c>
      <c r="G620">
        <v>59</v>
      </c>
      <c r="H620">
        <v>59</v>
      </c>
      <c r="I620" t="s">
        <v>186</v>
      </c>
      <c r="J620" s="110">
        <v>618</v>
      </c>
      <c r="K620" t="s">
        <v>2893</v>
      </c>
      <c r="L620">
        <f>IF(Table_TRM_Fixtures[[#This Row],[Technology]]="LED", Table_TRM_Fixtures[[#This Row],[Fixture Watts  (TRM Data)]], Table_TRM_Fixtures[[#This Row],[Lamp Watts  (TRM Data)]])</f>
        <v>59</v>
      </c>
      <c r="M620">
        <f>Table_TRM_Fixtures[[#This Row],[No. of Lamps  (TRM Data)]]</f>
        <v>1</v>
      </c>
      <c r="N620" t="s">
        <v>186</v>
      </c>
      <c r="O620" t="s">
        <v>186</v>
      </c>
      <c r="R620" t="s">
        <v>2893</v>
      </c>
      <c r="S620"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59W screw-in lamp/base w/permanent disk installed, any bulb shape</v>
      </c>
      <c r="T620" t="str">
        <f>Table_TRM_Fixtures[[#This Row],[Fixture code  (TRM Data)]]</f>
        <v>CF59/1-SCRW</v>
      </c>
      <c r="U620" t="s">
        <v>2882</v>
      </c>
      <c r="V620" t="s">
        <v>186</v>
      </c>
      <c r="W620" t="s">
        <v>3120</v>
      </c>
      <c r="X620" t="s">
        <v>186</v>
      </c>
      <c r="Y620" t="str">
        <f>_xlfn.CONCAT(Table_TRM_Fixtures[[#This Row],[Combined Lighting/Ballast Types]],":",Table_TRM_Fixtures[[#This Row],[No. of Lamps]], ":", Table_TRM_Fixtures[[#This Row],[Lamp Watts  (TRM Data)]])</f>
        <v>CFL:1:59</v>
      </c>
      <c r="Z620"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CFL:1:59</v>
      </c>
      <c r="AA620">
        <f>IF(Table_TRM_Fixtures[[#This Row],[Pre-EISA Baseline]]="Nominal", Table_TRM_Fixtures[[#This Row],[Fixture Watts  (TRM Data)]], Table_TRM_Fixtures[[#This Row],[Modified Baseline Fixture Watts]])</f>
        <v>59</v>
      </c>
    </row>
    <row r="621" spans="1:27" x14ac:dyDescent="0.2">
      <c r="A621" t="s">
        <v>5032</v>
      </c>
      <c r="B621" t="s">
        <v>5033</v>
      </c>
      <c r="C621" t="s">
        <v>5034</v>
      </c>
      <c r="D621" t="s">
        <v>5035</v>
      </c>
      <c r="E621" t="s">
        <v>4802</v>
      </c>
      <c r="F621">
        <v>1</v>
      </c>
      <c r="G621">
        <v>60</v>
      </c>
      <c r="H621">
        <v>60</v>
      </c>
      <c r="I621" t="s">
        <v>186</v>
      </c>
      <c r="J621" s="110">
        <v>619</v>
      </c>
      <c r="K621" t="s">
        <v>2893</v>
      </c>
      <c r="L621">
        <f>IF(Table_TRM_Fixtures[[#This Row],[Technology]]="LED", Table_TRM_Fixtures[[#This Row],[Fixture Watts  (TRM Data)]], Table_TRM_Fixtures[[#This Row],[Lamp Watts  (TRM Data)]])</f>
        <v>60</v>
      </c>
      <c r="M621">
        <f>Table_TRM_Fixtures[[#This Row],[No. of Lamps  (TRM Data)]]</f>
        <v>1</v>
      </c>
      <c r="N621" t="s">
        <v>186</v>
      </c>
      <c r="O621" t="s">
        <v>186</v>
      </c>
      <c r="R621" t="s">
        <v>2893</v>
      </c>
      <c r="S621"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60W screw-in lamp/base w/permanent disk installed, any bulb shape</v>
      </c>
      <c r="T621" t="str">
        <f>Table_TRM_Fixtures[[#This Row],[Fixture code  (TRM Data)]]</f>
        <v>CF60/1-SCRW</v>
      </c>
      <c r="U621" t="s">
        <v>2882</v>
      </c>
      <c r="V621" t="s">
        <v>186</v>
      </c>
      <c r="W621" t="s">
        <v>3120</v>
      </c>
      <c r="X621" t="s">
        <v>186</v>
      </c>
      <c r="Y621" t="str">
        <f>_xlfn.CONCAT(Table_TRM_Fixtures[[#This Row],[Combined Lighting/Ballast Types]],":",Table_TRM_Fixtures[[#This Row],[No. of Lamps]], ":", Table_TRM_Fixtures[[#This Row],[Lamp Watts  (TRM Data)]])</f>
        <v>CFL:1:60</v>
      </c>
      <c r="Z621"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CFL:1:60</v>
      </c>
      <c r="AA621">
        <f>IF(Table_TRM_Fixtures[[#This Row],[Pre-EISA Baseline]]="Nominal", Table_TRM_Fixtures[[#This Row],[Fixture Watts  (TRM Data)]], Table_TRM_Fixtures[[#This Row],[Modified Baseline Fixture Watts]])</f>
        <v>60</v>
      </c>
    </row>
    <row r="622" spans="1:27" x14ac:dyDescent="0.2">
      <c r="A622" t="s">
        <v>5036</v>
      </c>
      <c r="B622" t="s">
        <v>5037</v>
      </c>
      <c r="C622" t="s">
        <v>5038</v>
      </c>
      <c r="D622" t="s">
        <v>5039</v>
      </c>
      <c r="E622" t="s">
        <v>4802</v>
      </c>
      <c r="F622">
        <v>1</v>
      </c>
      <c r="G622">
        <v>61</v>
      </c>
      <c r="H622">
        <v>61</v>
      </c>
      <c r="I622" t="s">
        <v>186</v>
      </c>
      <c r="J622" s="110">
        <v>620</v>
      </c>
      <c r="K622" t="s">
        <v>2893</v>
      </c>
      <c r="L622">
        <f>IF(Table_TRM_Fixtures[[#This Row],[Technology]]="LED", Table_TRM_Fixtures[[#This Row],[Fixture Watts  (TRM Data)]], Table_TRM_Fixtures[[#This Row],[Lamp Watts  (TRM Data)]])</f>
        <v>61</v>
      </c>
      <c r="M622">
        <f>Table_TRM_Fixtures[[#This Row],[No. of Lamps  (TRM Data)]]</f>
        <v>1</v>
      </c>
      <c r="N622" t="s">
        <v>186</v>
      </c>
      <c r="O622" t="s">
        <v>186</v>
      </c>
      <c r="R622" t="s">
        <v>2893</v>
      </c>
      <c r="S622"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61W screw-in lamp/base w/permanent disk installed, any bulb shape</v>
      </c>
      <c r="T622" t="str">
        <f>Table_TRM_Fixtures[[#This Row],[Fixture code  (TRM Data)]]</f>
        <v>CF61/1-SCRW</v>
      </c>
      <c r="U622" t="s">
        <v>2882</v>
      </c>
      <c r="V622" t="s">
        <v>186</v>
      </c>
      <c r="W622" t="s">
        <v>3120</v>
      </c>
      <c r="X622" t="s">
        <v>186</v>
      </c>
      <c r="Y622" t="str">
        <f>_xlfn.CONCAT(Table_TRM_Fixtures[[#This Row],[Combined Lighting/Ballast Types]],":",Table_TRM_Fixtures[[#This Row],[No. of Lamps]], ":", Table_TRM_Fixtures[[#This Row],[Lamp Watts  (TRM Data)]])</f>
        <v>CFL:1:61</v>
      </c>
      <c r="Z622"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CFL:1:61</v>
      </c>
      <c r="AA622">
        <f>IF(Table_TRM_Fixtures[[#This Row],[Pre-EISA Baseline]]="Nominal", Table_TRM_Fixtures[[#This Row],[Fixture Watts  (TRM Data)]], Table_TRM_Fixtures[[#This Row],[Modified Baseline Fixture Watts]])</f>
        <v>61</v>
      </c>
    </row>
    <row r="623" spans="1:27" x14ac:dyDescent="0.2">
      <c r="A623" t="s">
        <v>5040</v>
      </c>
      <c r="B623" t="s">
        <v>5041</v>
      </c>
      <c r="C623" t="s">
        <v>5042</v>
      </c>
      <c r="D623" t="s">
        <v>5043</v>
      </c>
      <c r="E623" t="s">
        <v>4802</v>
      </c>
      <c r="F623">
        <v>1</v>
      </c>
      <c r="G623">
        <v>62</v>
      </c>
      <c r="H623">
        <v>62</v>
      </c>
      <c r="I623" t="s">
        <v>186</v>
      </c>
      <c r="J623" s="110">
        <v>621</v>
      </c>
      <c r="K623" t="s">
        <v>2893</v>
      </c>
      <c r="L623">
        <f>IF(Table_TRM_Fixtures[[#This Row],[Technology]]="LED", Table_TRM_Fixtures[[#This Row],[Fixture Watts  (TRM Data)]], Table_TRM_Fixtures[[#This Row],[Lamp Watts  (TRM Data)]])</f>
        <v>62</v>
      </c>
      <c r="M623">
        <f>Table_TRM_Fixtures[[#This Row],[No. of Lamps  (TRM Data)]]</f>
        <v>1</v>
      </c>
      <c r="N623" t="s">
        <v>186</v>
      </c>
      <c r="O623" t="s">
        <v>186</v>
      </c>
      <c r="R623" t="s">
        <v>2893</v>
      </c>
      <c r="S623"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62W screw-in lamp/base w/permanent disk installed, any bulb shape</v>
      </c>
      <c r="T623" t="str">
        <f>Table_TRM_Fixtures[[#This Row],[Fixture code  (TRM Data)]]</f>
        <v>CF62/1-SCRW</v>
      </c>
      <c r="U623" t="s">
        <v>2882</v>
      </c>
      <c r="V623" t="s">
        <v>186</v>
      </c>
      <c r="W623" t="s">
        <v>3120</v>
      </c>
      <c r="X623" t="s">
        <v>186</v>
      </c>
      <c r="Y623" t="str">
        <f>_xlfn.CONCAT(Table_TRM_Fixtures[[#This Row],[Combined Lighting/Ballast Types]],":",Table_TRM_Fixtures[[#This Row],[No. of Lamps]], ":", Table_TRM_Fixtures[[#This Row],[Lamp Watts  (TRM Data)]])</f>
        <v>CFL:1:62</v>
      </c>
      <c r="Z623"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CFL:1:62</v>
      </c>
      <c r="AA623">
        <f>IF(Table_TRM_Fixtures[[#This Row],[Pre-EISA Baseline]]="Nominal", Table_TRM_Fixtures[[#This Row],[Fixture Watts  (TRM Data)]], Table_TRM_Fixtures[[#This Row],[Modified Baseline Fixture Watts]])</f>
        <v>62</v>
      </c>
    </row>
    <row r="624" spans="1:27" x14ac:dyDescent="0.2">
      <c r="A624" t="s">
        <v>5044</v>
      </c>
      <c r="B624" t="s">
        <v>5045</v>
      </c>
      <c r="C624" t="s">
        <v>5046</v>
      </c>
      <c r="D624" t="s">
        <v>5047</v>
      </c>
      <c r="E624" t="s">
        <v>4802</v>
      </c>
      <c r="F624">
        <v>1</v>
      </c>
      <c r="G624">
        <v>63</v>
      </c>
      <c r="H624">
        <v>63</v>
      </c>
      <c r="I624" t="s">
        <v>186</v>
      </c>
      <c r="J624" s="110">
        <v>622</v>
      </c>
      <c r="K624" t="s">
        <v>2893</v>
      </c>
      <c r="L624">
        <f>IF(Table_TRM_Fixtures[[#This Row],[Technology]]="LED", Table_TRM_Fixtures[[#This Row],[Fixture Watts  (TRM Data)]], Table_TRM_Fixtures[[#This Row],[Lamp Watts  (TRM Data)]])</f>
        <v>63</v>
      </c>
      <c r="M624">
        <f>Table_TRM_Fixtures[[#This Row],[No. of Lamps  (TRM Data)]]</f>
        <v>1</v>
      </c>
      <c r="N624" t="s">
        <v>186</v>
      </c>
      <c r="O624" t="s">
        <v>186</v>
      </c>
      <c r="R624" t="s">
        <v>2893</v>
      </c>
      <c r="S624"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63W screw-in lamp/base w/permanent disk installed, any bulb shape</v>
      </c>
      <c r="T624" t="str">
        <f>Table_TRM_Fixtures[[#This Row],[Fixture code  (TRM Data)]]</f>
        <v>CF63/1-SCRW</v>
      </c>
      <c r="U624" t="s">
        <v>2882</v>
      </c>
      <c r="V624" t="s">
        <v>186</v>
      </c>
      <c r="W624" t="s">
        <v>3120</v>
      </c>
      <c r="X624" t="s">
        <v>186</v>
      </c>
      <c r="Y624" t="str">
        <f>_xlfn.CONCAT(Table_TRM_Fixtures[[#This Row],[Combined Lighting/Ballast Types]],":",Table_TRM_Fixtures[[#This Row],[No. of Lamps]], ":", Table_TRM_Fixtures[[#This Row],[Lamp Watts  (TRM Data)]])</f>
        <v>CFL:1:63</v>
      </c>
      <c r="Z624"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CFL:1:63</v>
      </c>
      <c r="AA624">
        <f>IF(Table_TRM_Fixtures[[#This Row],[Pre-EISA Baseline]]="Nominal", Table_TRM_Fixtures[[#This Row],[Fixture Watts  (TRM Data)]], Table_TRM_Fixtures[[#This Row],[Modified Baseline Fixture Watts]])</f>
        <v>63</v>
      </c>
    </row>
    <row r="625" spans="1:27" x14ac:dyDescent="0.2">
      <c r="A625" t="s">
        <v>5048</v>
      </c>
      <c r="B625" t="s">
        <v>5049</v>
      </c>
      <c r="C625" t="s">
        <v>5050</v>
      </c>
      <c r="D625" t="s">
        <v>5051</v>
      </c>
      <c r="E625" t="s">
        <v>4802</v>
      </c>
      <c r="F625">
        <v>1</v>
      </c>
      <c r="G625">
        <v>64</v>
      </c>
      <c r="H625">
        <v>64</v>
      </c>
      <c r="I625" t="s">
        <v>186</v>
      </c>
      <c r="J625" s="110">
        <v>623</v>
      </c>
      <c r="K625" t="s">
        <v>2893</v>
      </c>
      <c r="L625">
        <f>IF(Table_TRM_Fixtures[[#This Row],[Technology]]="LED", Table_TRM_Fixtures[[#This Row],[Fixture Watts  (TRM Data)]], Table_TRM_Fixtures[[#This Row],[Lamp Watts  (TRM Data)]])</f>
        <v>64</v>
      </c>
      <c r="M625">
        <f>Table_TRM_Fixtures[[#This Row],[No. of Lamps  (TRM Data)]]</f>
        <v>1</v>
      </c>
      <c r="N625" t="s">
        <v>186</v>
      </c>
      <c r="O625" t="s">
        <v>186</v>
      </c>
      <c r="R625" t="s">
        <v>2893</v>
      </c>
      <c r="S625"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64W screw-in lamp/base w/permanent disk installed, any bulb shape</v>
      </c>
      <c r="T625" t="str">
        <f>Table_TRM_Fixtures[[#This Row],[Fixture code  (TRM Data)]]</f>
        <v>CF64/1-SCRW</v>
      </c>
      <c r="U625" t="s">
        <v>2882</v>
      </c>
      <c r="V625" t="s">
        <v>186</v>
      </c>
      <c r="W625" t="s">
        <v>3120</v>
      </c>
      <c r="X625" t="s">
        <v>186</v>
      </c>
      <c r="Y625" t="str">
        <f>_xlfn.CONCAT(Table_TRM_Fixtures[[#This Row],[Combined Lighting/Ballast Types]],":",Table_TRM_Fixtures[[#This Row],[No. of Lamps]], ":", Table_TRM_Fixtures[[#This Row],[Lamp Watts  (TRM Data)]])</f>
        <v>CFL:1:64</v>
      </c>
      <c r="Z625"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CFL:1:64</v>
      </c>
      <c r="AA625">
        <f>IF(Table_TRM_Fixtures[[#This Row],[Pre-EISA Baseline]]="Nominal", Table_TRM_Fixtures[[#This Row],[Fixture Watts  (TRM Data)]], Table_TRM_Fixtures[[#This Row],[Modified Baseline Fixture Watts]])</f>
        <v>64</v>
      </c>
    </row>
    <row r="626" spans="1:27" x14ac:dyDescent="0.2">
      <c r="A626" t="s">
        <v>5052</v>
      </c>
      <c r="B626" t="s">
        <v>5053</v>
      </c>
      <c r="C626" t="s">
        <v>5054</v>
      </c>
      <c r="D626" t="s">
        <v>5055</v>
      </c>
      <c r="E626" t="s">
        <v>4802</v>
      </c>
      <c r="F626">
        <v>1</v>
      </c>
      <c r="G626">
        <v>65</v>
      </c>
      <c r="H626">
        <v>65</v>
      </c>
      <c r="I626" t="s">
        <v>186</v>
      </c>
      <c r="J626" s="110">
        <v>624</v>
      </c>
      <c r="K626" t="s">
        <v>2893</v>
      </c>
      <c r="L626">
        <f>IF(Table_TRM_Fixtures[[#This Row],[Technology]]="LED", Table_TRM_Fixtures[[#This Row],[Fixture Watts  (TRM Data)]], Table_TRM_Fixtures[[#This Row],[Lamp Watts  (TRM Data)]])</f>
        <v>65</v>
      </c>
      <c r="M626">
        <f>Table_TRM_Fixtures[[#This Row],[No. of Lamps  (TRM Data)]]</f>
        <v>1</v>
      </c>
      <c r="N626" t="s">
        <v>186</v>
      </c>
      <c r="O626" t="s">
        <v>186</v>
      </c>
      <c r="R626" t="s">
        <v>2893</v>
      </c>
      <c r="S626"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65W screw-in lamp/base w/permanent disk installed, any bulb shape</v>
      </c>
      <c r="T626" t="str">
        <f>Table_TRM_Fixtures[[#This Row],[Fixture code  (TRM Data)]]</f>
        <v>CF65/1-SCRW</v>
      </c>
      <c r="U626" t="s">
        <v>2882</v>
      </c>
      <c r="V626" t="s">
        <v>186</v>
      </c>
      <c r="W626" t="s">
        <v>3120</v>
      </c>
      <c r="X626" t="s">
        <v>186</v>
      </c>
      <c r="Y626" t="str">
        <f>_xlfn.CONCAT(Table_TRM_Fixtures[[#This Row],[Combined Lighting/Ballast Types]],":",Table_TRM_Fixtures[[#This Row],[No. of Lamps]], ":", Table_TRM_Fixtures[[#This Row],[Lamp Watts  (TRM Data)]])</f>
        <v>CFL:1:65</v>
      </c>
      <c r="Z626"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CFL:1:65</v>
      </c>
      <c r="AA626">
        <f>IF(Table_TRM_Fixtures[[#This Row],[Pre-EISA Baseline]]="Nominal", Table_TRM_Fixtures[[#This Row],[Fixture Watts  (TRM Data)]], Table_TRM_Fixtures[[#This Row],[Modified Baseline Fixture Watts]])</f>
        <v>65</v>
      </c>
    </row>
    <row r="627" spans="1:27" x14ac:dyDescent="0.2">
      <c r="A627" t="s">
        <v>5056</v>
      </c>
      <c r="B627" t="s">
        <v>5057</v>
      </c>
      <c r="C627" t="s">
        <v>5058</v>
      </c>
      <c r="D627" t="s">
        <v>5059</v>
      </c>
      <c r="E627" t="s">
        <v>4802</v>
      </c>
      <c r="F627">
        <v>1</v>
      </c>
      <c r="G627">
        <v>66</v>
      </c>
      <c r="H627">
        <v>66</v>
      </c>
      <c r="I627" t="s">
        <v>186</v>
      </c>
      <c r="J627" s="110">
        <v>625</v>
      </c>
      <c r="K627" t="s">
        <v>2893</v>
      </c>
      <c r="L627">
        <f>IF(Table_TRM_Fixtures[[#This Row],[Technology]]="LED", Table_TRM_Fixtures[[#This Row],[Fixture Watts  (TRM Data)]], Table_TRM_Fixtures[[#This Row],[Lamp Watts  (TRM Data)]])</f>
        <v>66</v>
      </c>
      <c r="M627">
        <f>Table_TRM_Fixtures[[#This Row],[No. of Lamps  (TRM Data)]]</f>
        <v>1</v>
      </c>
      <c r="N627" t="s">
        <v>186</v>
      </c>
      <c r="O627" t="s">
        <v>186</v>
      </c>
      <c r="R627" t="s">
        <v>2893</v>
      </c>
      <c r="S627"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66W screw-in lamp/base w/permanent disk installed, any bulb shape</v>
      </c>
      <c r="T627" t="str">
        <f>Table_TRM_Fixtures[[#This Row],[Fixture code  (TRM Data)]]</f>
        <v>CF66/1-SCRW</v>
      </c>
      <c r="U627" t="s">
        <v>2882</v>
      </c>
      <c r="V627" t="s">
        <v>186</v>
      </c>
      <c r="W627" t="s">
        <v>3120</v>
      </c>
      <c r="X627" t="s">
        <v>186</v>
      </c>
      <c r="Y627" t="str">
        <f>_xlfn.CONCAT(Table_TRM_Fixtures[[#This Row],[Combined Lighting/Ballast Types]],":",Table_TRM_Fixtures[[#This Row],[No. of Lamps]], ":", Table_TRM_Fixtures[[#This Row],[Lamp Watts  (TRM Data)]])</f>
        <v>CFL:1:66</v>
      </c>
      <c r="Z627"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CFL:1:66</v>
      </c>
      <c r="AA627">
        <f>IF(Table_TRM_Fixtures[[#This Row],[Pre-EISA Baseline]]="Nominal", Table_TRM_Fixtures[[#This Row],[Fixture Watts  (TRM Data)]], Table_TRM_Fixtures[[#This Row],[Modified Baseline Fixture Watts]])</f>
        <v>66</v>
      </c>
    </row>
    <row r="628" spans="1:27" x14ac:dyDescent="0.2">
      <c r="A628" t="s">
        <v>5060</v>
      </c>
      <c r="B628" t="s">
        <v>5061</v>
      </c>
      <c r="C628" t="s">
        <v>5062</v>
      </c>
      <c r="D628" t="s">
        <v>5063</v>
      </c>
      <c r="E628" t="s">
        <v>4802</v>
      </c>
      <c r="F628">
        <v>1</v>
      </c>
      <c r="G628">
        <v>67</v>
      </c>
      <c r="H628">
        <v>67</v>
      </c>
      <c r="I628" t="s">
        <v>186</v>
      </c>
      <c r="J628" s="110">
        <v>626</v>
      </c>
      <c r="K628" t="s">
        <v>2893</v>
      </c>
      <c r="L628">
        <f>IF(Table_TRM_Fixtures[[#This Row],[Technology]]="LED", Table_TRM_Fixtures[[#This Row],[Fixture Watts  (TRM Data)]], Table_TRM_Fixtures[[#This Row],[Lamp Watts  (TRM Data)]])</f>
        <v>67</v>
      </c>
      <c r="M628">
        <f>Table_TRM_Fixtures[[#This Row],[No. of Lamps  (TRM Data)]]</f>
        <v>1</v>
      </c>
      <c r="N628" t="s">
        <v>186</v>
      </c>
      <c r="O628" t="s">
        <v>186</v>
      </c>
      <c r="R628" t="s">
        <v>2893</v>
      </c>
      <c r="S628"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67W screw-in lamp/base w/permanent disk installed, any bulb shape</v>
      </c>
      <c r="T628" t="str">
        <f>Table_TRM_Fixtures[[#This Row],[Fixture code  (TRM Data)]]</f>
        <v>CF67/1-SCRW</v>
      </c>
      <c r="U628" t="s">
        <v>2882</v>
      </c>
      <c r="V628" t="s">
        <v>186</v>
      </c>
      <c r="W628" t="s">
        <v>3120</v>
      </c>
      <c r="X628" t="s">
        <v>186</v>
      </c>
      <c r="Y628" t="str">
        <f>_xlfn.CONCAT(Table_TRM_Fixtures[[#This Row],[Combined Lighting/Ballast Types]],":",Table_TRM_Fixtures[[#This Row],[No. of Lamps]], ":", Table_TRM_Fixtures[[#This Row],[Lamp Watts  (TRM Data)]])</f>
        <v>CFL:1:67</v>
      </c>
      <c r="Z628"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CFL:1:67</v>
      </c>
      <c r="AA628">
        <f>IF(Table_TRM_Fixtures[[#This Row],[Pre-EISA Baseline]]="Nominal", Table_TRM_Fixtures[[#This Row],[Fixture Watts  (TRM Data)]], Table_TRM_Fixtures[[#This Row],[Modified Baseline Fixture Watts]])</f>
        <v>67</v>
      </c>
    </row>
    <row r="629" spans="1:27" x14ac:dyDescent="0.2">
      <c r="A629" t="s">
        <v>5064</v>
      </c>
      <c r="B629" t="s">
        <v>5065</v>
      </c>
      <c r="C629" t="s">
        <v>5066</v>
      </c>
      <c r="D629" t="s">
        <v>5067</v>
      </c>
      <c r="E629" t="s">
        <v>4802</v>
      </c>
      <c r="F629">
        <v>1</v>
      </c>
      <c r="G629">
        <v>68</v>
      </c>
      <c r="H629">
        <v>68</v>
      </c>
      <c r="I629" t="s">
        <v>186</v>
      </c>
      <c r="J629" s="110">
        <v>627</v>
      </c>
      <c r="K629" t="s">
        <v>2893</v>
      </c>
      <c r="L629">
        <f>IF(Table_TRM_Fixtures[[#This Row],[Technology]]="LED", Table_TRM_Fixtures[[#This Row],[Fixture Watts  (TRM Data)]], Table_TRM_Fixtures[[#This Row],[Lamp Watts  (TRM Data)]])</f>
        <v>68</v>
      </c>
      <c r="M629">
        <f>Table_TRM_Fixtures[[#This Row],[No. of Lamps  (TRM Data)]]</f>
        <v>1</v>
      </c>
      <c r="N629" t="s">
        <v>186</v>
      </c>
      <c r="O629" t="s">
        <v>186</v>
      </c>
      <c r="R629" t="s">
        <v>2893</v>
      </c>
      <c r="S629"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68W screw-in lamp/base w/permanent disk installed, any bulb shape</v>
      </c>
      <c r="T629" t="str">
        <f>Table_TRM_Fixtures[[#This Row],[Fixture code  (TRM Data)]]</f>
        <v>CF68/1-SCRW</v>
      </c>
      <c r="U629" t="s">
        <v>2882</v>
      </c>
      <c r="V629" t="s">
        <v>186</v>
      </c>
      <c r="W629" t="s">
        <v>3120</v>
      </c>
      <c r="X629" t="s">
        <v>186</v>
      </c>
      <c r="Y629" t="str">
        <f>_xlfn.CONCAT(Table_TRM_Fixtures[[#This Row],[Combined Lighting/Ballast Types]],":",Table_TRM_Fixtures[[#This Row],[No. of Lamps]], ":", Table_TRM_Fixtures[[#This Row],[Lamp Watts  (TRM Data)]])</f>
        <v>CFL:1:68</v>
      </c>
      <c r="Z629"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CFL:1:68</v>
      </c>
      <c r="AA629">
        <f>IF(Table_TRM_Fixtures[[#This Row],[Pre-EISA Baseline]]="Nominal", Table_TRM_Fixtures[[#This Row],[Fixture Watts  (TRM Data)]], Table_TRM_Fixtures[[#This Row],[Modified Baseline Fixture Watts]])</f>
        <v>68</v>
      </c>
    </row>
    <row r="630" spans="1:27" x14ac:dyDescent="0.2">
      <c r="A630" t="s">
        <v>5068</v>
      </c>
      <c r="B630" t="s">
        <v>5069</v>
      </c>
      <c r="C630" t="s">
        <v>5070</v>
      </c>
      <c r="D630" t="s">
        <v>5071</v>
      </c>
      <c r="E630" t="s">
        <v>4802</v>
      </c>
      <c r="F630">
        <v>1</v>
      </c>
      <c r="G630">
        <v>69</v>
      </c>
      <c r="H630">
        <v>69</v>
      </c>
      <c r="I630" t="s">
        <v>186</v>
      </c>
      <c r="J630" s="110">
        <v>628</v>
      </c>
      <c r="K630" t="s">
        <v>2893</v>
      </c>
      <c r="L630">
        <f>IF(Table_TRM_Fixtures[[#This Row],[Technology]]="LED", Table_TRM_Fixtures[[#This Row],[Fixture Watts  (TRM Data)]], Table_TRM_Fixtures[[#This Row],[Lamp Watts  (TRM Data)]])</f>
        <v>69</v>
      </c>
      <c r="M630">
        <f>Table_TRM_Fixtures[[#This Row],[No. of Lamps  (TRM Data)]]</f>
        <v>1</v>
      </c>
      <c r="N630" t="s">
        <v>186</v>
      </c>
      <c r="O630" t="s">
        <v>186</v>
      </c>
      <c r="R630" t="s">
        <v>2893</v>
      </c>
      <c r="S630"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69W screw-in lamp/base w/permanent disk installed, any bulb shape</v>
      </c>
      <c r="T630" t="str">
        <f>Table_TRM_Fixtures[[#This Row],[Fixture code  (TRM Data)]]</f>
        <v>CF69/1-SCRW</v>
      </c>
      <c r="U630" t="s">
        <v>2882</v>
      </c>
      <c r="V630" t="s">
        <v>186</v>
      </c>
      <c r="W630" t="s">
        <v>3120</v>
      </c>
      <c r="X630" t="s">
        <v>186</v>
      </c>
      <c r="Y630" t="str">
        <f>_xlfn.CONCAT(Table_TRM_Fixtures[[#This Row],[Combined Lighting/Ballast Types]],":",Table_TRM_Fixtures[[#This Row],[No. of Lamps]], ":", Table_TRM_Fixtures[[#This Row],[Lamp Watts  (TRM Data)]])</f>
        <v>CFL:1:69</v>
      </c>
      <c r="Z630"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CFL:1:69</v>
      </c>
      <c r="AA630">
        <f>IF(Table_TRM_Fixtures[[#This Row],[Pre-EISA Baseline]]="Nominal", Table_TRM_Fixtures[[#This Row],[Fixture Watts  (TRM Data)]], Table_TRM_Fixtures[[#This Row],[Modified Baseline Fixture Watts]])</f>
        <v>69</v>
      </c>
    </row>
    <row r="631" spans="1:27" x14ac:dyDescent="0.2">
      <c r="A631" t="s">
        <v>5072</v>
      </c>
      <c r="B631" t="s">
        <v>5073</v>
      </c>
      <c r="C631" t="s">
        <v>5074</v>
      </c>
      <c r="D631" t="s">
        <v>5075</v>
      </c>
      <c r="E631" t="s">
        <v>4802</v>
      </c>
      <c r="F631">
        <v>1</v>
      </c>
      <c r="G631">
        <v>70</v>
      </c>
      <c r="H631">
        <v>70</v>
      </c>
      <c r="I631" t="s">
        <v>186</v>
      </c>
      <c r="J631" s="110">
        <v>629</v>
      </c>
      <c r="K631" t="s">
        <v>2893</v>
      </c>
      <c r="L631">
        <f>IF(Table_TRM_Fixtures[[#This Row],[Technology]]="LED", Table_TRM_Fixtures[[#This Row],[Fixture Watts  (TRM Data)]], Table_TRM_Fixtures[[#This Row],[Lamp Watts  (TRM Data)]])</f>
        <v>70</v>
      </c>
      <c r="M631">
        <f>Table_TRM_Fixtures[[#This Row],[No. of Lamps  (TRM Data)]]</f>
        <v>1</v>
      </c>
      <c r="N631" t="s">
        <v>186</v>
      </c>
      <c r="O631" t="s">
        <v>186</v>
      </c>
      <c r="R631" t="s">
        <v>2893</v>
      </c>
      <c r="S631"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70W screw-in lamp/base w/permanent disk installed, any bulb shape</v>
      </c>
      <c r="T631" t="str">
        <f>Table_TRM_Fixtures[[#This Row],[Fixture code  (TRM Data)]]</f>
        <v>CF70/1-SCRW</v>
      </c>
      <c r="U631" t="s">
        <v>2882</v>
      </c>
      <c r="V631" t="s">
        <v>186</v>
      </c>
      <c r="W631" t="s">
        <v>3120</v>
      </c>
      <c r="X631" t="s">
        <v>186</v>
      </c>
      <c r="Y631" t="str">
        <f>_xlfn.CONCAT(Table_TRM_Fixtures[[#This Row],[Combined Lighting/Ballast Types]],":",Table_TRM_Fixtures[[#This Row],[No. of Lamps]], ":", Table_TRM_Fixtures[[#This Row],[Lamp Watts  (TRM Data)]])</f>
        <v>CFL:1:70</v>
      </c>
      <c r="Z631"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CFL:1:70</v>
      </c>
      <c r="AA631">
        <f>IF(Table_TRM_Fixtures[[#This Row],[Pre-EISA Baseline]]="Nominal", Table_TRM_Fixtures[[#This Row],[Fixture Watts  (TRM Data)]], Table_TRM_Fixtures[[#This Row],[Modified Baseline Fixture Watts]])</f>
        <v>70</v>
      </c>
    </row>
    <row r="632" spans="1:27" x14ac:dyDescent="0.2">
      <c r="A632" t="s">
        <v>5076</v>
      </c>
      <c r="B632" t="s">
        <v>5077</v>
      </c>
      <c r="C632" t="s">
        <v>5078</v>
      </c>
      <c r="D632" t="s">
        <v>5079</v>
      </c>
      <c r="E632" t="s">
        <v>4802</v>
      </c>
      <c r="F632">
        <v>1</v>
      </c>
      <c r="G632">
        <v>71</v>
      </c>
      <c r="H632">
        <v>71</v>
      </c>
      <c r="I632" t="s">
        <v>186</v>
      </c>
      <c r="J632" s="110">
        <v>630</v>
      </c>
      <c r="K632" t="s">
        <v>2893</v>
      </c>
      <c r="L632">
        <f>IF(Table_TRM_Fixtures[[#This Row],[Technology]]="LED", Table_TRM_Fixtures[[#This Row],[Fixture Watts  (TRM Data)]], Table_TRM_Fixtures[[#This Row],[Lamp Watts  (TRM Data)]])</f>
        <v>71</v>
      </c>
      <c r="M632">
        <f>Table_TRM_Fixtures[[#This Row],[No. of Lamps  (TRM Data)]]</f>
        <v>1</v>
      </c>
      <c r="N632" t="s">
        <v>186</v>
      </c>
      <c r="O632" t="s">
        <v>186</v>
      </c>
      <c r="R632" t="s">
        <v>2893</v>
      </c>
      <c r="S632"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71W screw-in lamp/base w/permanent disk installed, any bulb shape</v>
      </c>
      <c r="T632" t="str">
        <f>Table_TRM_Fixtures[[#This Row],[Fixture code  (TRM Data)]]</f>
        <v>CF71/1-SCRW</v>
      </c>
      <c r="U632" t="s">
        <v>2882</v>
      </c>
      <c r="V632" t="s">
        <v>186</v>
      </c>
      <c r="W632" t="s">
        <v>3120</v>
      </c>
      <c r="X632" t="s">
        <v>186</v>
      </c>
      <c r="Y632" t="str">
        <f>_xlfn.CONCAT(Table_TRM_Fixtures[[#This Row],[Combined Lighting/Ballast Types]],":",Table_TRM_Fixtures[[#This Row],[No. of Lamps]], ":", Table_TRM_Fixtures[[#This Row],[Lamp Watts  (TRM Data)]])</f>
        <v>CFL:1:71</v>
      </c>
      <c r="Z632"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CFL:1:71</v>
      </c>
      <c r="AA632">
        <f>IF(Table_TRM_Fixtures[[#This Row],[Pre-EISA Baseline]]="Nominal", Table_TRM_Fixtures[[#This Row],[Fixture Watts  (TRM Data)]], Table_TRM_Fixtures[[#This Row],[Modified Baseline Fixture Watts]])</f>
        <v>71</v>
      </c>
    </row>
    <row r="633" spans="1:27" x14ac:dyDescent="0.2">
      <c r="A633" t="s">
        <v>5080</v>
      </c>
      <c r="B633" t="s">
        <v>5081</v>
      </c>
      <c r="C633" t="s">
        <v>5082</v>
      </c>
      <c r="D633" t="s">
        <v>5083</v>
      </c>
      <c r="E633" t="s">
        <v>4802</v>
      </c>
      <c r="F633">
        <v>1</v>
      </c>
      <c r="G633">
        <v>72</v>
      </c>
      <c r="H633">
        <v>72</v>
      </c>
      <c r="I633" t="s">
        <v>186</v>
      </c>
      <c r="J633" s="110">
        <v>631</v>
      </c>
      <c r="K633" t="s">
        <v>2893</v>
      </c>
      <c r="L633">
        <f>IF(Table_TRM_Fixtures[[#This Row],[Technology]]="LED", Table_TRM_Fixtures[[#This Row],[Fixture Watts  (TRM Data)]], Table_TRM_Fixtures[[#This Row],[Lamp Watts  (TRM Data)]])</f>
        <v>72</v>
      </c>
      <c r="M633">
        <f>Table_TRM_Fixtures[[#This Row],[No. of Lamps  (TRM Data)]]</f>
        <v>1</v>
      </c>
      <c r="N633" t="s">
        <v>186</v>
      </c>
      <c r="O633" t="s">
        <v>186</v>
      </c>
      <c r="R633" t="s">
        <v>2893</v>
      </c>
      <c r="S633"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72W screw-in lamp/base w/permanent disk installed, any bulb shape</v>
      </c>
      <c r="T633" t="str">
        <f>Table_TRM_Fixtures[[#This Row],[Fixture code  (TRM Data)]]</f>
        <v>CF72/1-SCRW</v>
      </c>
      <c r="U633" t="s">
        <v>2882</v>
      </c>
      <c r="V633" t="s">
        <v>186</v>
      </c>
      <c r="W633" t="s">
        <v>3120</v>
      </c>
      <c r="X633" t="s">
        <v>186</v>
      </c>
      <c r="Y633" t="str">
        <f>_xlfn.CONCAT(Table_TRM_Fixtures[[#This Row],[Combined Lighting/Ballast Types]],":",Table_TRM_Fixtures[[#This Row],[No. of Lamps]], ":", Table_TRM_Fixtures[[#This Row],[Lamp Watts  (TRM Data)]])</f>
        <v>CFL:1:72</v>
      </c>
      <c r="Z633"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CFL:1:72</v>
      </c>
      <c r="AA633">
        <f>IF(Table_TRM_Fixtures[[#This Row],[Pre-EISA Baseline]]="Nominal", Table_TRM_Fixtures[[#This Row],[Fixture Watts  (TRM Data)]], Table_TRM_Fixtures[[#This Row],[Modified Baseline Fixture Watts]])</f>
        <v>72</v>
      </c>
    </row>
    <row r="634" spans="1:27" x14ac:dyDescent="0.2">
      <c r="A634" t="s">
        <v>5084</v>
      </c>
      <c r="B634" t="s">
        <v>5085</v>
      </c>
      <c r="C634" t="s">
        <v>5086</v>
      </c>
      <c r="D634" t="s">
        <v>5087</v>
      </c>
      <c r="E634" t="s">
        <v>4802</v>
      </c>
      <c r="F634">
        <v>1</v>
      </c>
      <c r="G634">
        <v>73</v>
      </c>
      <c r="H634">
        <v>73</v>
      </c>
      <c r="I634" t="s">
        <v>186</v>
      </c>
      <c r="J634" s="110">
        <v>632</v>
      </c>
      <c r="K634" t="s">
        <v>2893</v>
      </c>
      <c r="L634">
        <f>IF(Table_TRM_Fixtures[[#This Row],[Technology]]="LED", Table_TRM_Fixtures[[#This Row],[Fixture Watts  (TRM Data)]], Table_TRM_Fixtures[[#This Row],[Lamp Watts  (TRM Data)]])</f>
        <v>73</v>
      </c>
      <c r="M634">
        <f>Table_TRM_Fixtures[[#This Row],[No. of Lamps  (TRM Data)]]</f>
        <v>1</v>
      </c>
      <c r="N634" t="s">
        <v>186</v>
      </c>
      <c r="O634" t="s">
        <v>186</v>
      </c>
      <c r="R634" t="s">
        <v>2893</v>
      </c>
      <c r="S634"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73W screw-in lamp/base w/permanent disk installed, any bulb shape</v>
      </c>
      <c r="T634" t="str">
        <f>Table_TRM_Fixtures[[#This Row],[Fixture code  (TRM Data)]]</f>
        <v>CF73/1-SCRW</v>
      </c>
      <c r="U634" t="s">
        <v>2882</v>
      </c>
      <c r="V634" t="s">
        <v>186</v>
      </c>
      <c r="W634" t="s">
        <v>3120</v>
      </c>
      <c r="X634" t="s">
        <v>186</v>
      </c>
      <c r="Y634" t="str">
        <f>_xlfn.CONCAT(Table_TRM_Fixtures[[#This Row],[Combined Lighting/Ballast Types]],":",Table_TRM_Fixtures[[#This Row],[No. of Lamps]], ":", Table_TRM_Fixtures[[#This Row],[Lamp Watts  (TRM Data)]])</f>
        <v>CFL:1:73</v>
      </c>
      <c r="Z634"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CFL:1:73</v>
      </c>
      <c r="AA634">
        <f>IF(Table_TRM_Fixtures[[#This Row],[Pre-EISA Baseline]]="Nominal", Table_TRM_Fixtures[[#This Row],[Fixture Watts  (TRM Data)]], Table_TRM_Fixtures[[#This Row],[Modified Baseline Fixture Watts]])</f>
        <v>73</v>
      </c>
    </row>
    <row r="635" spans="1:27" x14ac:dyDescent="0.2">
      <c r="A635" t="s">
        <v>5088</v>
      </c>
      <c r="B635" t="s">
        <v>5089</v>
      </c>
      <c r="C635" t="s">
        <v>5090</v>
      </c>
      <c r="D635" t="s">
        <v>5091</v>
      </c>
      <c r="E635" t="s">
        <v>4802</v>
      </c>
      <c r="F635">
        <v>1</v>
      </c>
      <c r="G635">
        <v>74</v>
      </c>
      <c r="H635">
        <v>74</v>
      </c>
      <c r="I635" t="s">
        <v>186</v>
      </c>
      <c r="J635" s="110">
        <v>633</v>
      </c>
      <c r="K635" t="s">
        <v>2893</v>
      </c>
      <c r="L635">
        <f>IF(Table_TRM_Fixtures[[#This Row],[Technology]]="LED", Table_TRM_Fixtures[[#This Row],[Fixture Watts  (TRM Data)]], Table_TRM_Fixtures[[#This Row],[Lamp Watts  (TRM Data)]])</f>
        <v>74</v>
      </c>
      <c r="M635">
        <f>Table_TRM_Fixtures[[#This Row],[No. of Lamps  (TRM Data)]]</f>
        <v>1</v>
      </c>
      <c r="N635" t="s">
        <v>186</v>
      </c>
      <c r="O635" t="s">
        <v>186</v>
      </c>
      <c r="R635" t="s">
        <v>2893</v>
      </c>
      <c r="S635"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74W screw-in lamp/base w/permanent disk installed, any bulb shape</v>
      </c>
      <c r="T635" t="str">
        <f>Table_TRM_Fixtures[[#This Row],[Fixture code  (TRM Data)]]</f>
        <v>CF74/1-SCRW</v>
      </c>
      <c r="U635" t="s">
        <v>2882</v>
      </c>
      <c r="V635" t="s">
        <v>186</v>
      </c>
      <c r="W635" t="s">
        <v>3120</v>
      </c>
      <c r="X635" t="s">
        <v>186</v>
      </c>
      <c r="Y635" t="str">
        <f>_xlfn.CONCAT(Table_TRM_Fixtures[[#This Row],[Combined Lighting/Ballast Types]],":",Table_TRM_Fixtures[[#This Row],[No. of Lamps]], ":", Table_TRM_Fixtures[[#This Row],[Lamp Watts  (TRM Data)]])</f>
        <v>CFL:1:74</v>
      </c>
      <c r="Z635"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CFL:1:74</v>
      </c>
      <c r="AA635">
        <f>IF(Table_TRM_Fixtures[[#This Row],[Pre-EISA Baseline]]="Nominal", Table_TRM_Fixtures[[#This Row],[Fixture Watts  (TRM Data)]], Table_TRM_Fixtures[[#This Row],[Modified Baseline Fixture Watts]])</f>
        <v>74</v>
      </c>
    </row>
    <row r="636" spans="1:27" x14ac:dyDescent="0.2">
      <c r="A636" t="s">
        <v>5092</v>
      </c>
      <c r="B636" t="s">
        <v>5093</v>
      </c>
      <c r="C636" t="s">
        <v>5094</v>
      </c>
      <c r="D636" t="s">
        <v>5095</v>
      </c>
      <c r="E636" t="s">
        <v>4802</v>
      </c>
      <c r="F636">
        <v>1</v>
      </c>
      <c r="G636">
        <v>75</v>
      </c>
      <c r="H636">
        <v>75</v>
      </c>
      <c r="I636" t="s">
        <v>186</v>
      </c>
      <c r="J636" s="110">
        <v>634</v>
      </c>
      <c r="K636" t="s">
        <v>2893</v>
      </c>
      <c r="L636">
        <f>IF(Table_TRM_Fixtures[[#This Row],[Technology]]="LED", Table_TRM_Fixtures[[#This Row],[Fixture Watts  (TRM Data)]], Table_TRM_Fixtures[[#This Row],[Lamp Watts  (TRM Data)]])</f>
        <v>75</v>
      </c>
      <c r="M636">
        <f>Table_TRM_Fixtures[[#This Row],[No. of Lamps  (TRM Data)]]</f>
        <v>1</v>
      </c>
      <c r="N636" t="s">
        <v>186</v>
      </c>
      <c r="O636" t="s">
        <v>186</v>
      </c>
      <c r="R636" t="s">
        <v>2893</v>
      </c>
      <c r="S636"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75W screw-in lamp/base w/permanent disk installed, any bulb shape</v>
      </c>
      <c r="T636" t="str">
        <f>Table_TRM_Fixtures[[#This Row],[Fixture code  (TRM Data)]]</f>
        <v>CF75/1-SCRW</v>
      </c>
      <c r="U636" t="s">
        <v>2882</v>
      </c>
      <c r="V636" t="s">
        <v>186</v>
      </c>
      <c r="W636" t="s">
        <v>3120</v>
      </c>
      <c r="X636" t="s">
        <v>186</v>
      </c>
      <c r="Y636" t="str">
        <f>_xlfn.CONCAT(Table_TRM_Fixtures[[#This Row],[Combined Lighting/Ballast Types]],":",Table_TRM_Fixtures[[#This Row],[No. of Lamps]], ":", Table_TRM_Fixtures[[#This Row],[Lamp Watts  (TRM Data)]])</f>
        <v>CFL:1:75</v>
      </c>
      <c r="Z636"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CFL:1:75</v>
      </c>
      <c r="AA636">
        <f>IF(Table_TRM_Fixtures[[#This Row],[Pre-EISA Baseline]]="Nominal", Table_TRM_Fixtures[[#This Row],[Fixture Watts  (TRM Data)]], Table_TRM_Fixtures[[#This Row],[Modified Baseline Fixture Watts]])</f>
        <v>75</v>
      </c>
    </row>
    <row r="637" spans="1:27" x14ac:dyDescent="0.2">
      <c r="A637" t="s">
        <v>5096</v>
      </c>
      <c r="B637" t="s">
        <v>5097</v>
      </c>
      <c r="C637" t="s">
        <v>5098</v>
      </c>
      <c r="D637" t="s">
        <v>5099</v>
      </c>
      <c r="E637" t="s">
        <v>4802</v>
      </c>
      <c r="F637">
        <v>1</v>
      </c>
      <c r="G637">
        <v>80</v>
      </c>
      <c r="H637">
        <v>80</v>
      </c>
      <c r="I637" t="s">
        <v>186</v>
      </c>
      <c r="J637" s="110">
        <v>635</v>
      </c>
      <c r="K637" t="s">
        <v>2893</v>
      </c>
      <c r="L637">
        <f>IF(Table_TRM_Fixtures[[#This Row],[Technology]]="LED", Table_TRM_Fixtures[[#This Row],[Fixture Watts  (TRM Data)]], Table_TRM_Fixtures[[#This Row],[Lamp Watts  (TRM Data)]])</f>
        <v>80</v>
      </c>
      <c r="M637">
        <f>Table_TRM_Fixtures[[#This Row],[No. of Lamps  (TRM Data)]]</f>
        <v>1</v>
      </c>
      <c r="N637" t="s">
        <v>186</v>
      </c>
      <c r="O637" t="s">
        <v>186</v>
      </c>
      <c r="R637" t="s">
        <v>2893</v>
      </c>
      <c r="S637"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80W screw-in lamp/base w/permanent disk installed, any bulb shape</v>
      </c>
      <c r="T637" t="str">
        <f>Table_TRM_Fixtures[[#This Row],[Fixture code  (TRM Data)]]</f>
        <v>CF80/1-SCRW</v>
      </c>
      <c r="U637" t="s">
        <v>2882</v>
      </c>
      <c r="V637" t="s">
        <v>186</v>
      </c>
      <c r="W637" t="s">
        <v>3120</v>
      </c>
      <c r="X637" t="s">
        <v>186</v>
      </c>
      <c r="Y637" t="s">
        <v>4815</v>
      </c>
      <c r="Z637" t="s">
        <v>4815</v>
      </c>
      <c r="AA637">
        <f>IF(Table_TRM_Fixtures[[#This Row],[Pre-EISA Baseline]]="Nominal", Table_TRM_Fixtures[[#This Row],[Fixture Watts  (TRM Data)]], Table_TRM_Fixtures[[#This Row],[Modified Baseline Fixture Watts]])</f>
        <v>80</v>
      </c>
    </row>
    <row r="638" spans="1:27" x14ac:dyDescent="0.2">
      <c r="A638" t="s">
        <v>5100</v>
      </c>
      <c r="B638" t="s">
        <v>5101</v>
      </c>
      <c r="C638" t="s">
        <v>5102</v>
      </c>
      <c r="D638" t="s">
        <v>5103</v>
      </c>
      <c r="E638" t="s">
        <v>4802</v>
      </c>
      <c r="F638">
        <v>1</v>
      </c>
      <c r="G638">
        <v>85</v>
      </c>
      <c r="H638">
        <v>85</v>
      </c>
      <c r="I638" t="s">
        <v>186</v>
      </c>
      <c r="J638" s="110">
        <v>636</v>
      </c>
      <c r="K638" t="s">
        <v>2893</v>
      </c>
      <c r="L638">
        <f>IF(Table_TRM_Fixtures[[#This Row],[Technology]]="LED", Table_TRM_Fixtures[[#This Row],[Fixture Watts  (TRM Data)]], Table_TRM_Fixtures[[#This Row],[Lamp Watts  (TRM Data)]])</f>
        <v>85</v>
      </c>
      <c r="M638">
        <f>Table_TRM_Fixtures[[#This Row],[No. of Lamps  (TRM Data)]]</f>
        <v>1</v>
      </c>
      <c r="N638" t="s">
        <v>186</v>
      </c>
      <c r="O638" t="s">
        <v>186</v>
      </c>
      <c r="R638" t="s">
        <v>2893</v>
      </c>
      <c r="S638"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85W screw-in lamp/base w/permanent disk installed, any bulb shape</v>
      </c>
      <c r="T638" t="str">
        <f>Table_TRM_Fixtures[[#This Row],[Fixture code  (TRM Data)]]</f>
        <v>CF85/1-SCRW</v>
      </c>
      <c r="U638" t="s">
        <v>2882</v>
      </c>
      <c r="V638" t="s">
        <v>186</v>
      </c>
      <c r="W638" t="s">
        <v>3120</v>
      </c>
      <c r="X638" t="s">
        <v>186</v>
      </c>
      <c r="Y638" t="str">
        <f>_xlfn.CONCAT(Table_TRM_Fixtures[[#This Row],[Combined Lighting/Ballast Types]],":",Table_TRM_Fixtures[[#This Row],[No. of Lamps]], ":", Table_TRM_Fixtures[[#This Row],[Lamp Watts  (TRM Data)]])</f>
        <v>CFL:1:85</v>
      </c>
      <c r="Z638"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CFL:1:85</v>
      </c>
      <c r="AA638">
        <f>IF(Table_TRM_Fixtures[[#This Row],[Pre-EISA Baseline]]="Nominal", Table_TRM_Fixtures[[#This Row],[Fixture Watts  (TRM Data)]], Table_TRM_Fixtures[[#This Row],[Modified Baseline Fixture Watts]])</f>
        <v>85</v>
      </c>
    </row>
    <row r="639" spans="1:27" x14ac:dyDescent="0.2">
      <c r="A639" t="s">
        <v>5104</v>
      </c>
      <c r="B639" t="s">
        <v>5105</v>
      </c>
      <c r="C639" t="s">
        <v>5106</v>
      </c>
      <c r="D639" t="s">
        <v>5107</v>
      </c>
      <c r="E639" t="s">
        <v>4802</v>
      </c>
      <c r="F639">
        <v>1</v>
      </c>
      <c r="G639">
        <v>100</v>
      </c>
      <c r="H639">
        <v>100</v>
      </c>
      <c r="I639" t="s">
        <v>186</v>
      </c>
      <c r="J639" s="110">
        <v>637</v>
      </c>
      <c r="K639" t="s">
        <v>2893</v>
      </c>
      <c r="L639">
        <f>IF(Table_TRM_Fixtures[[#This Row],[Technology]]="LED", Table_TRM_Fixtures[[#This Row],[Fixture Watts  (TRM Data)]], Table_TRM_Fixtures[[#This Row],[Lamp Watts  (TRM Data)]])</f>
        <v>100</v>
      </c>
      <c r="M639">
        <f>Table_TRM_Fixtures[[#This Row],[No. of Lamps  (TRM Data)]]</f>
        <v>1</v>
      </c>
      <c r="N639" t="s">
        <v>186</v>
      </c>
      <c r="O639" t="s">
        <v>186</v>
      </c>
      <c r="R639" t="s">
        <v>2893</v>
      </c>
      <c r="S639"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100W screw-in lamp/base w/ permanent disk installed, any bulb shape</v>
      </c>
      <c r="T639" t="str">
        <f>Table_TRM_Fixtures[[#This Row],[Fixture code  (TRM Data)]]</f>
        <v>CF100/1-SCRW</v>
      </c>
      <c r="U639" t="s">
        <v>2882</v>
      </c>
      <c r="V639" t="s">
        <v>186</v>
      </c>
      <c r="W639" t="s">
        <v>3120</v>
      </c>
      <c r="X639" t="s">
        <v>186</v>
      </c>
      <c r="Y639" t="str">
        <f>_xlfn.CONCAT(Table_TRM_Fixtures[[#This Row],[Combined Lighting/Ballast Types]],":",Table_TRM_Fixtures[[#This Row],[No. of Lamps]], ":", Table_TRM_Fixtures[[#This Row],[Lamp Watts  (TRM Data)]])</f>
        <v>CFL:1:100</v>
      </c>
      <c r="Z639"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CFL:1:100</v>
      </c>
      <c r="AA639">
        <f>IF(Table_TRM_Fixtures[[#This Row],[Pre-EISA Baseline]]="Nominal", Table_TRM_Fixtures[[#This Row],[Fixture Watts  (TRM Data)]], Table_TRM_Fixtures[[#This Row],[Modified Baseline Fixture Watts]])</f>
        <v>100</v>
      </c>
    </row>
    <row r="640" spans="1:27" x14ac:dyDescent="0.2">
      <c r="A640" t="s">
        <v>5108</v>
      </c>
      <c r="B640" t="s">
        <v>5109</v>
      </c>
      <c r="C640" t="s">
        <v>5110</v>
      </c>
      <c r="D640" t="s">
        <v>5111</v>
      </c>
      <c r="E640" t="s">
        <v>4802</v>
      </c>
      <c r="F640">
        <v>1</v>
      </c>
      <c r="G640">
        <v>125</v>
      </c>
      <c r="H640">
        <v>125</v>
      </c>
      <c r="I640" t="s">
        <v>186</v>
      </c>
      <c r="J640" s="110">
        <v>638</v>
      </c>
      <c r="K640" t="s">
        <v>2893</v>
      </c>
      <c r="L640">
        <f>IF(Table_TRM_Fixtures[[#This Row],[Technology]]="LED", Table_TRM_Fixtures[[#This Row],[Fixture Watts  (TRM Data)]], Table_TRM_Fixtures[[#This Row],[Lamp Watts  (TRM Data)]])</f>
        <v>125</v>
      </c>
      <c r="M640">
        <f>Table_TRM_Fixtures[[#This Row],[No. of Lamps  (TRM Data)]]</f>
        <v>1</v>
      </c>
      <c r="N640" t="s">
        <v>186</v>
      </c>
      <c r="O640" t="s">
        <v>186</v>
      </c>
      <c r="R640" t="s">
        <v>2893</v>
      </c>
      <c r="S640"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125W screw-in lamp/base w/ permanent disk installed, any bulb shape</v>
      </c>
      <c r="T640" t="str">
        <f>Table_TRM_Fixtures[[#This Row],[Fixture code  (TRM Data)]]</f>
        <v>CF125/1-SCRW</v>
      </c>
      <c r="U640" t="s">
        <v>2882</v>
      </c>
      <c r="V640" t="s">
        <v>186</v>
      </c>
      <c r="W640" t="s">
        <v>3120</v>
      </c>
      <c r="X640" t="s">
        <v>186</v>
      </c>
      <c r="Y640" t="str">
        <f>_xlfn.CONCAT(Table_TRM_Fixtures[[#This Row],[Combined Lighting/Ballast Types]],":",Table_TRM_Fixtures[[#This Row],[No. of Lamps]], ":", Table_TRM_Fixtures[[#This Row],[Lamp Watts  (TRM Data)]])</f>
        <v>CFL:1:125</v>
      </c>
      <c r="Z640"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CFL:1:125</v>
      </c>
      <c r="AA640">
        <f>IF(Table_TRM_Fixtures[[#This Row],[Pre-EISA Baseline]]="Nominal", Table_TRM_Fixtures[[#This Row],[Fixture Watts  (TRM Data)]], Table_TRM_Fixtures[[#This Row],[Modified Baseline Fixture Watts]])</f>
        <v>125</v>
      </c>
    </row>
    <row r="641" spans="1:27" x14ac:dyDescent="0.2">
      <c r="A641" t="s">
        <v>5112</v>
      </c>
      <c r="B641" t="s">
        <v>5113</v>
      </c>
      <c r="C641" t="s">
        <v>5114</v>
      </c>
      <c r="D641" t="s">
        <v>5115</v>
      </c>
      <c r="E641" t="s">
        <v>4802</v>
      </c>
      <c r="F641">
        <v>1</v>
      </c>
      <c r="G641">
        <v>150</v>
      </c>
      <c r="H641">
        <v>150</v>
      </c>
      <c r="I641" t="s">
        <v>186</v>
      </c>
      <c r="J641" s="110">
        <v>639</v>
      </c>
      <c r="K641" t="s">
        <v>2893</v>
      </c>
      <c r="L641">
        <f>IF(Table_TRM_Fixtures[[#This Row],[Technology]]="LED", Table_TRM_Fixtures[[#This Row],[Fixture Watts  (TRM Data)]], Table_TRM_Fixtures[[#This Row],[Lamp Watts  (TRM Data)]])</f>
        <v>150</v>
      </c>
      <c r="M641">
        <f>Table_TRM_Fixtures[[#This Row],[No. of Lamps  (TRM Data)]]</f>
        <v>1</v>
      </c>
      <c r="N641" t="s">
        <v>186</v>
      </c>
      <c r="O641" t="s">
        <v>186</v>
      </c>
      <c r="R641" t="s">
        <v>2893</v>
      </c>
      <c r="S641"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150W screw-in lamp/base w/ permanent disk installed, any bulb shape</v>
      </c>
      <c r="T641" t="str">
        <f>Table_TRM_Fixtures[[#This Row],[Fixture code  (TRM Data)]]</f>
        <v>CF150/1-SCRW</v>
      </c>
      <c r="U641" t="s">
        <v>2882</v>
      </c>
      <c r="V641" t="s">
        <v>186</v>
      </c>
      <c r="W641" t="s">
        <v>3120</v>
      </c>
      <c r="X641" t="s">
        <v>186</v>
      </c>
      <c r="Y641" t="str">
        <f>_xlfn.CONCAT(Table_TRM_Fixtures[[#This Row],[Combined Lighting/Ballast Types]],":",Table_TRM_Fixtures[[#This Row],[No. of Lamps]], ":", Table_TRM_Fixtures[[#This Row],[Lamp Watts  (TRM Data)]])</f>
        <v>CFL:1:150</v>
      </c>
      <c r="Z641"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CFL:1:150</v>
      </c>
      <c r="AA641">
        <f>IF(Table_TRM_Fixtures[[#This Row],[Pre-EISA Baseline]]="Nominal", Table_TRM_Fixtures[[#This Row],[Fixture Watts  (TRM Data)]], Table_TRM_Fixtures[[#This Row],[Modified Baseline Fixture Watts]])</f>
        <v>150</v>
      </c>
    </row>
    <row r="642" spans="1:27" x14ac:dyDescent="0.2">
      <c r="A642" t="s">
        <v>5116</v>
      </c>
      <c r="B642" t="s">
        <v>5117</v>
      </c>
      <c r="C642" t="s">
        <v>5118</v>
      </c>
      <c r="D642" t="s">
        <v>5119</v>
      </c>
      <c r="E642" t="s">
        <v>4802</v>
      </c>
      <c r="F642">
        <v>1</v>
      </c>
      <c r="G642">
        <v>200</v>
      </c>
      <c r="H642">
        <v>200</v>
      </c>
      <c r="I642" t="s">
        <v>186</v>
      </c>
      <c r="J642" s="110">
        <v>640</v>
      </c>
      <c r="K642" t="s">
        <v>2893</v>
      </c>
      <c r="L642">
        <f>IF(Table_TRM_Fixtures[[#This Row],[Technology]]="LED", Table_TRM_Fixtures[[#This Row],[Fixture Watts  (TRM Data)]], Table_TRM_Fixtures[[#This Row],[Lamp Watts  (TRM Data)]])</f>
        <v>200</v>
      </c>
      <c r="M642">
        <f>Table_TRM_Fixtures[[#This Row],[No. of Lamps  (TRM Data)]]</f>
        <v>1</v>
      </c>
      <c r="N642" t="s">
        <v>186</v>
      </c>
      <c r="O642" t="s">
        <v>186</v>
      </c>
      <c r="R642" t="s">
        <v>2893</v>
      </c>
      <c r="S642"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(1) 200W screw-in lamp/base w/ permanent disk installed, any bulb shape</v>
      </c>
      <c r="T642" t="str">
        <f>Table_TRM_Fixtures[[#This Row],[Fixture code  (TRM Data)]]</f>
        <v>CF200/1-SCRW</v>
      </c>
      <c r="U642" t="s">
        <v>2882</v>
      </c>
      <c r="V642" t="s">
        <v>186</v>
      </c>
      <c r="W642" t="s">
        <v>3120</v>
      </c>
      <c r="X642" t="s">
        <v>186</v>
      </c>
      <c r="Y642" t="str">
        <f>_xlfn.CONCAT(Table_TRM_Fixtures[[#This Row],[Combined Lighting/Ballast Types]],":",Table_TRM_Fixtures[[#This Row],[No. of Lamps]], ":", Table_TRM_Fixtures[[#This Row],[Lamp Watts  (TRM Data)]])</f>
        <v>CFL:1:200</v>
      </c>
      <c r="Z642"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CFL:1:200</v>
      </c>
      <c r="AA642">
        <f>IF(Table_TRM_Fixtures[[#This Row],[Pre-EISA Baseline]]="Nominal", Table_TRM_Fixtures[[#This Row],[Fixture Watts  (TRM Data)]], Table_TRM_Fixtures[[#This Row],[Modified Baseline Fixture Watts]])</f>
        <v>200</v>
      </c>
    </row>
    <row r="643" spans="1:27" x14ac:dyDescent="0.2">
      <c r="A643" t="s">
        <v>5120</v>
      </c>
      <c r="B643" t="s">
        <v>5121</v>
      </c>
      <c r="C643" t="s">
        <v>5122</v>
      </c>
      <c r="D643" t="s">
        <v>5123</v>
      </c>
      <c r="E643" t="s">
        <v>187</v>
      </c>
      <c r="F643">
        <v>1</v>
      </c>
      <c r="G643">
        <v>2</v>
      </c>
      <c r="H643">
        <v>2</v>
      </c>
      <c r="I643" t="s">
        <v>186</v>
      </c>
      <c r="J643" s="110">
        <v>641</v>
      </c>
      <c r="K643" t="s">
        <v>2893</v>
      </c>
      <c r="L643">
        <f>IF(Table_TRM_Fixtures[[#This Row],[Technology]]="LED", Table_TRM_Fixtures[[#This Row],[Fixture Watts  (TRM Data)]], Table_TRM_Fixtures[[#This Row],[Lamp Watts  (TRM Data)]])</f>
        <v>2</v>
      </c>
      <c r="M643">
        <f>Table_TRM_Fixtures[[#This Row],[No. of Lamps  (TRM Data)]]</f>
        <v>1</v>
      </c>
      <c r="N643" t="s">
        <v>186</v>
      </c>
      <c r="O643" t="s">
        <v>186</v>
      </c>
      <c r="P643" t="s">
        <v>187</v>
      </c>
      <c r="S643"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Cold Cathode, (1) 2W screw-in lamp/base w/ permanent locking device, any bulb shape</v>
      </c>
      <c r="T643" t="str">
        <f>Table_TRM_Fixtures[[#This Row],[Fixture code  (TRM Data)]]</f>
        <v>CFC2/1-SCRW</v>
      </c>
      <c r="U643" t="s">
        <v>2883</v>
      </c>
      <c r="V643" t="s">
        <v>5124</v>
      </c>
      <c r="W643" t="s">
        <v>3120</v>
      </c>
      <c r="X643" t="s">
        <v>186</v>
      </c>
      <c r="AA643">
        <f>IF(Table_TRM_Fixtures[[#This Row],[Pre-EISA Baseline]]="Nominal", Table_TRM_Fixtures[[#This Row],[Fixture Watts  (TRM Data)]], Table_TRM_Fixtures[[#This Row],[Modified Baseline Fixture Watts]])</f>
        <v>2</v>
      </c>
    </row>
    <row r="644" spans="1:27" x14ac:dyDescent="0.2">
      <c r="A644" t="s">
        <v>5125</v>
      </c>
      <c r="B644" t="s">
        <v>5121</v>
      </c>
      <c r="C644" t="s">
        <v>5126</v>
      </c>
      <c r="D644" t="s">
        <v>5127</v>
      </c>
      <c r="E644" t="s">
        <v>187</v>
      </c>
      <c r="F644">
        <v>2</v>
      </c>
      <c r="G644">
        <v>2</v>
      </c>
      <c r="H644">
        <v>4</v>
      </c>
      <c r="I644" t="s">
        <v>186</v>
      </c>
      <c r="J644" s="110">
        <v>642</v>
      </c>
      <c r="K644" t="s">
        <v>2893</v>
      </c>
      <c r="L644">
        <f>IF(Table_TRM_Fixtures[[#This Row],[Technology]]="LED", Table_TRM_Fixtures[[#This Row],[Fixture Watts  (TRM Data)]], Table_TRM_Fixtures[[#This Row],[Lamp Watts  (TRM Data)]])</f>
        <v>2</v>
      </c>
      <c r="M644">
        <f>Table_TRM_Fixtures[[#This Row],[No. of Lamps  (TRM Data)]]</f>
        <v>2</v>
      </c>
      <c r="N644" t="s">
        <v>186</v>
      </c>
      <c r="O644" t="s">
        <v>186</v>
      </c>
      <c r="P644" t="s">
        <v>187</v>
      </c>
      <c r="S644"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Cold Cathode, (2) 2W screw-in lamp/base w/ permanent locking device, any bulb shape</v>
      </c>
      <c r="T644" t="str">
        <f>Table_TRM_Fixtures[[#This Row],[Fixture code  (TRM Data)]]</f>
        <v>CFC2/2-SCRW</v>
      </c>
      <c r="U644" t="s">
        <v>2883</v>
      </c>
      <c r="V644" t="s">
        <v>5124</v>
      </c>
      <c r="W644" t="s">
        <v>3120</v>
      </c>
      <c r="X644" t="s">
        <v>186</v>
      </c>
      <c r="AA644">
        <f>IF(Table_TRM_Fixtures[[#This Row],[Pre-EISA Baseline]]="Nominal", Table_TRM_Fixtures[[#This Row],[Fixture Watts  (TRM Data)]], Table_TRM_Fixtures[[#This Row],[Modified Baseline Fixture Watts]])</f>
        <v>4</v>
      </c>
    </row>
    <row r="645" spans="1:27" x14ac:dyDescent="0.2">
      <c r="A645" t="s">
        <v>5128</v>
      </c>
      <c r="B645" t="s">
        <v>5129</v>
      </c>
      <c r="C645" t="s">
        <v>5130</v>
      </c>
      <c r="D645" t="s">
        <v>5131</v>
      </c>
      <c r="E645" t="s">
        <v>187</v>
      </c>
      <c r="F645">
        <v>1</v>
      </c>
      <c r="G645">
        <v>3</v>
      </c>
      <c r="H645">
        <v>3</v>
      </c>
      <c r="I645" t="s">
        <v>186</v>
      </c>
      <c r="J645" s="110">
        <v>643</v>
      </c>
      <c r="K645" t="s">
        <v>2893</v>
      </c>
      <c r="L645">
        <f>IF(Table_TRM_Fixtures[[#This Row],[Technology]]="LED", Table_TRM_Fixtures[[#This Row],[Fixture Watts  (TRM Data)]], Table_TRM_Fixtures[[#This Row],[Lamp Watts  (TRM Data)]])</f>
        <v>3</v>
      </c>
      <c r="M645">
        <f>Table_TRM_Fixtures[[#This Row],[No. of Lamps  (TRM Data)]]</f>
        <v>1</v>
      </c>
      <c r="N645" t="s">
        <v>186</v>
      </c>
      <c r="O645" t="s">
        <v>186</v>
      </c>
      <c r="P645" t="s">
        <v>187</v>
      </c>
      <c r="S645"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Cold Cathode, (1) 3W screw-in lamp/base w/ permanent locking device, any bulb shape</v>
      </c>
      <c r="T645" t="str">
        <f>Table_TRM_Fixtures[[#This Row],[Fixture code  (TRM Data)]]</f>
        <v>CFC3/1-SCRW</v>
      </c>
      <c r="U645" t="s">
        <v>2883</v>
      </c>
      <c r="V645" t="s">
        <v>5124</v>
      </c>
      <c r="W645" t="s">
        <v>3120</v>
      </c>
      <c r="X645" t="s">
        <v>186</v>
      </c>
      <c r="AA645">
        <f>IF(Table_TRM_Fixtures[[#This Row],[Pre-EISA Baseline]]="Nominal", Table_TRM_Fixtures[[#This Row],[Fixture Watts  (TRM Data)]], Table_TRM_Fixtures[[#This Row],[Modified Baseline Fixture Watts]])</f>
        <v>3</v>
      </c>
    </row>
    <row r="646" spans="1:27" x14ac:dyDescent="0.2">
      <c r="A646" t="s">
        <v>5132</v>
      </c>
      <c r="B646" t="s">
        <v>5129</v>
      </c>
      <c r="C646" t="s">
        <v>5133</v>
      </c>
      <c r="D646" t="s">
        <v>5134</v>
      </c>
      <c r="E646" t="s">
        <v>187</v>
      </c>
      <c r="F646">
        <v>2</v>
      </c>
      <c r="G646">
        <v>3</v>
      </c>
      <c r="H646">
        <v>6</v>
      </c>
      <c r="I646" t="s">
        <v>186</v>
      </c>
      <c r="J646" s="110">
        <v>644</v>
      </c>
      <c r="K646" t="s">
        <v>2893</v>
      </c>
      <c r="L646">
        <f>IF(Table_TRM_Fixtures[[#This Row],[Technology]]="LED", Table_TRM_Fixtures[[#This Row],[Fixture Watts  (TRM Data)]], Table_TRM_Fixtures[[#This Row],[Lamp Watts  (TRM Data)]])</f>
        <v>3</v>
      </c>
      <c r="M646">
        <f>Table_TRM_Fixtures[[#This Row],[No. of Lamps  (TRM Data)]]</f>
        <v>2</v>
      </c>
      <c r="N646" t="s">
        <v>186</v>
      </c>
      <c r="O646" t="s">
        <v>186</v>
      </c>
      <c r="P646" t="s">
        <v>187</v>
      </c>
      <c r="S646"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Cold Cathode, (2) 3W screw-in lamp/base w/ permanent locking device, any bulb shape</v>
      </c>
      <c r="T646" t="str">
        <f>Table_TRM_Fixtures[[#This Row],[Fixture code  (TRM Data)]]</f>
        <v>CFC3/2-SCRW</v>
      </c>
      <c r="U646" t="s">
        <v>2883</v>
      </c>
      <c r="V646" t="s">
        <v>5124</v>
      </c>
      <c r="W646" t="s">
        <v>3120</v>
      </c>
      <c r="X646" t="s">
        <v>186</v>
      </c>
      <c r="AA646">
        <f>IF(Table_TRM_Fixtures[[#This Row],[Pre-EISA Baseline]]="Nominal", Table_TRM_Fixtures[[#This Row],[Fixture Watts  (TRM Data)]], Table_TRM_Fixtures[[#This Row],[Modified Baseline Fixture Watts]])</f>
        <v>6</v>
      </c>
    </row>
    <row r="647" spans="1:27" x14ac:dyDescent="0.2">
      <c r="A647" t="s">
        <v>5135</v>
      </c>
      <c r="B647" t="s">
        <v>5136</v>
      </c>
      <c r="C647" t="s">
        <v>5137</v>
      </c>
      <c r="D647" t="s">
        <v>5127</v>
      </c>
      <c r="E647" t="s">
        <v>187</v>
      </c>
      <c r="F647">
        <v>1</v>
      </c>
      <c r="G647">
        <v>4</v>
      </c>
      <c r="H647">
        <v>4</v>
      </c>
      <c r="I647" t="s">
        <v>186</v>
      </c>
      <c r="J647" s="110">
        <v>645</v>
      </c>
      <c r="K647" t="s">
        <v>2893</v>
      </c>
      <c r="L647">
        <f>IF(Table_TRM_Fixtures[[#This Row],[Technology]]="LED", Table_TRM_Fixtures[[#This Row],[Fixture Watts  (TRM Data)]], Table_TRM_Fixtures[[#This Row],[Lamp Watts  (TRM Data)]])</f>
        <v>4</v>
      </c>
      <c r="M647">
        <f>Table_TRM_Fixtures[[#This Row],[No. of Lamps  (TRM Data)]]</f>
        <v>1</v>
      </c>
      <c r="N647" t="s">
        <v>186</v>
      </c>
      <c r="O647" t="s">
        <v>186</v>
      </c>
      <c r="P647" t="s">
        <v>187</v>
      </c>
      <c r="S647"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Cold Cathode, (1) 4W screw-in lamp/base w/ permanent locking device, any bulb shape</v>
      </c>
      <c r="T647" t="str">
        <f>Table_TRM_Fixtures[[#This Row],[Fixture code  (TRM Data)]]</f>
        <v>CFC4/1-SCRW</v>
      </c>
      <c r="U647" t="s">
        <v>2883</v>
      </c>
      <c r="V647" t="s">
        <v>5124</v>
      </c>
      <c r="W647" t="s">
        <v>3120</v>
      </c>
      <c r="X647" t="s">
        <v>186</v>
      </c>
      <c r="AA647">
        <f>IF(Table_TRM_Fixtures[[#This Row],[Pre-EISA Baseline]]="Nominal", Table_TRM_Fixtures[[#This Row],[Fixture Watts  (TRM Data)]], Table_TRM_Fixtures[[#This Row],[Modified Baseline Fixture Watts]])</f>
        <v>4</v>
      </c>
    </row>
    <row r="648" spans="1:27" x14ac:dyDescent="0.2">
      <c r="A648" t="s">
        <v>5138</v>
      </c>
      <c r="B648" t="s">
        <v>5136</v>
      </c>
      <c r="C648" t="s">
        <v>5139</v>
      </c>
      <c r="D648" t="s">
        <v>5140</v>
      </c>
      <c r="E648" t="s">
        <v>187</v>
      </c>
      <c r="F648">
        <v>2</v>
      </c>
      <c r="G648">
        <v>4</v>
      </c>
      <c r="H648">
        <v>8</v>
      </c>
      <c r="I648" t="s">
        <v>186</v>
      </c>
      <c r="J648" s="110">
        <v>646</v>
      </c>
      <c r="K648" t="s">
        <v>2893</v>
      </c>
      <c r="L648">
        <f>IF(Table_TRM_Fixtures[[#This Row],[Technology]]="LED", Table_TRM_Fixtures[[#This Row],[Fixture Watts  (TRM Data)]], Table_TRM_Fixtures[[#This Row],[Lamp Watts  (TRM Data)]])</f>
        <v>4</v>
      </c>
      <c r="M648">
        <f>Table_TRM_Fixtures[[#This Row],[No. of Lamps  (TRM Data)]]</f>
        <v>2</v>
      </c>
      <c r="N648" t="s">
        <v>186</v>
      </c>
      <c r="O648" t="s">
        <v>186</v>
      </c>
      <c r="P648" t="s">
        <v>187</v>
      </c>
      <c r="S648"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Cold Cathode, (2) 4W screw-in lamp/base w/ permanent locking device, any bulb shape</v>
      </c>
      <c r="T648" t="str">
        <f>Table_TRM_Fixtures[[#This Row],[Fixture code  (TRM Data)]]</f>
        <v>CFC4/2-SCRW</v>
      </c>
      <c r="U648" t="s">
        <v>2883</v>
      </c>
      <c r="V648" t="s">
        <v>5124</v>
      </c>
      <c r="W648" t="s">
        <v>3120</v>
      </c>
      <c r="X648" t="s">
        <v>186</v>
      </c>
      <c r="AA648">
        <f>IF(Table_TRM_Fixtures[[#This Row],[Pre-EISA Baseline]]="Nominal", Table_TRM_Fixtures[[#This Row],[Fixture Watts  (TRM Data)]], Table_TRM_Fixtures[[#This Row],[Modified Baseline Fixture Watts]])</f>
        <v>8</v>
      </c>
    </row>
    <row r="649" spans="1:27" x14ac:dyDescent="0.2">
      <c r="A649" t="s">
        <v>5141</v>
      </c>
      <c r="B649" t="s">
        <v>5142</v>
      </c>
      <c r="C649" t="s">
        <v>5143</v>
      </c>
      <c r="D649" t="s">
        <v>5144</v>
      </c>
      <c r="E649" t="s">
        <v>187</v>
      </c>
      <c r="F649">
        <v>1</v>
      </c>
      <c r="G649">
        <v>5</v>
      </c>
      <c r="H649">
        <v>5</v>
      </c>
      <c r="I649" t="s">
        <v>186</v>
      </c>
      <c r="J649" s="110">
        <v>647</v>
      </c>
      <c r="K649" t="s">
        <v>2893</v>
      </c>
      <c r="L649">
        <f>IF(Table_TRM_Fixtures[[#This Row],[Technology]]="LED", Table_TRM_Fixtures[[#This Row],[Fixture Watts  (TRM Data)]], Table_TRM_Fixtures[[#This Row],[Lamp Watts  (TRM Data)]])</f>
        <v>5</v>
      </c>
      <c r="M649">
        <f>Table_TRM_Fixtures[[#This Row],[No. of Lamps  (TRM Data)]]</f>
        <v>1</v>
      </c>
      <c r="N649" t="s">
        <v>186</v>
      </c>
      <c r="O649" t="s">
        <v>186</v>
      </c>
      <c r="P649" t="s">
        <v>187</v>
      </c>
      <c r="S649"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Cold Cathode, (1) 5W screw-in lamp/base w/ permanent locking device, any bulb shape</v>
      </c>
      <c r="T649" t="str">
        <f>Table_TRM_Fixtures[[#This Row],[Fixture code  (TRM Data)]]</f>
        <v>CFC5/1-SCRW</v>
      </c>
      <c r="U649" t="s">
        <v>2883</v>
      </c>
      <c r="V649" t="s">
        <v>5124</v>
      </c>
      <c r="W649" t="s">
        <v>3120</v>
      </c>
      <c r="X649" t="s">
        <v>186</v>
      </c>
      <c r="AA649">
        <f>IF(Table_TRM_Fixtures[[#This Row],[Pre-EISA Baseline]]="Nominal", Table_TRM_Fixtures[[#This Row],[Fixture Watts  (TRM Data)]], Table_TRM_Fixtures[[#This Row],[Modified Baseline Fixture Watts]])</f>
        <v>5</v>
      </c>
    </row>
    <row r="650" spans="1:27" x14ac:dyDescent="0.2">
      <c r="A650" t="s">
        <v>5145</v>
      </c>
      <c r="B650" t="s">
        <v>5142</v>
      </c>
      <c r="C650" t="s">
        <v>5146</v>
      </c>
      <c r="D650" t="s">
        <v>5147</v>
      </c>
      <c r="E650" t="s">
        <v>187</v>
      </c>
      <c r="F650">
        <v>2</v>
      </c>
      <c r="G650">
        <v>5</v>
      </c>
      <c r="H650">
        <v>10</v>
      </c>
      <c r="I650" t="s">
        <v>186</v>
      </c>
      <c r="J650" s="110">
        <v>648</v>
      </c>
      <c r="K650" t="s">
        <v>2893</v>
      </c>
      <c r="L650">
        <f>IF(Table_TRM_Fixtures[[#This Row],[Technology]]="LED", Table_TRM_Fixtures[[#This Row],[Fixture Watts  (TRM Data)]], Table_TRM_Fixtures[[#This Row],[Lamp Watts  (TRM Data)]])</f>
        <v>5</v>
      </c>
      <c r="M650">
        <f>Table_TRM_Fixtures[[#This Row],[No. of Lamps  (TRM Data)]]</f>
        <v>2</v>
      </c>
      <c r="N650" t="s">
        <v>186</v>
      </c>
      <c r="O650" t="s">
        <v>186</v>
      </c>
      <c r="P650" t="s">
        <v>187</v>
      </c>
      <c r="S650"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Cold Cathode, (2) 5W screw-in lamp/base w/ permanent locking device, any bulb shape</v>
      </c>
      <c r="T650" t="str">
        <f>Table_TRM_Fixtures[[#This Row],[Fixture code  (TRM Data)]]</f>
        <v>CFC5/2-SCRW</v>
      </c>
      <c r="U650" t="s">
        <v>2883</v>
      </c>
      <c r="V650" t="s">
        <v>5124</v>
      </c>
      <c r="W650" t="s">
        <v>3120</v>
      </c>
      <c r="X650" t="s">
        <v>186</v>
      </c>
      <c r="AA650">
        <f>IF(Table_TRM_Fixtures[[#This Row],[Pre-EISA Baseline]]="Nominal", Table_TRM_Fixtures[[#This Row],[Fixture Watts  (TRM Data)]], Table_TRM_Fixtures[[#This Row],[Modified Baseline Fixture Watts]])</f>
        <v>10</v>
      </c>
    </row>
    <row r="651" spans="1:27" x14ac:dyDescent="0.2">
      <c r="A651" t="s">
        <v>5148</v>
      </c>
      <c r="B651" t="s">
        <v>5149</v>
      </c>
      <c r="C651" t="s">
        <v>5150</v>
      </c>
      <c r="D651" t="s">
        <v>5140</v>
      </c>
      <c r="E651" t="s">
        <v>187</v>
      </c>
      <c r="F651">
        <v>1</v>
      </c>
      <c r="G651">
        <v>8</v>
      </c>
      <c r="H651">
        <v>8</v>
      </c>
      <c r="I651" t="s">
        <v>186</v>
      </c>
      <c r="J651" s="110">
        <v>649</v>
      </c>
      <c r="K651" t="s">
        <v>2893</v>
      </c>
      <c r="L651">
        <f>IF(Table_TRM_Fixtures[[#This Row],[Technology]]="LED", Table_TRM_Fixtures[[#This Row],[Fixture Watts  (TRM Data)]], Table_TRM_Fixtures[[#This Row],[Lamp Watts  (TRM Data)]])</f>
        <v>8</v>
      </c>
      <c r="M651">
        <f>Table_TRM_Fixtures[[#This Row],[No. of Lamps  (TRM Data)]]</f>
        <v>1</v>
      </c>
      <c r="N651" t="s">
        <v>186</v>
      </c>
      <c r="O651" t="s">
        <v>186</v>
      </c>
      <c r="P651" t="s">
        <v>187</v>
      </c>
      <c r="S651"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Cold Cathode, (1) 8W screw-in lamp/base w/ permanent locking device, any bulb shape</v>
      </c>
      <c r="T651" t="str">
        <f>Table_TRM_Fixtures[[#This Row],[Fixture code  (TRM Data)]]</f>
        <v>CFC8/1-SCRW</v>
      </c>
      <c r="U651" t="s">
        <v>2883</v>
      </c>
      <c r="V651" t="s">
        <v>5124</v>
      </c>
      <c r="W651" t="s">
        <v>3120</v>
      </c>
      <c r="X651" t="s">
        <v>186</v>
      </c>
      <c r="AA651">
        <f>IF(Table_TRM_Fixtures[[#This Row],[Pre-EISA Baseline]]="Nominal", Table_TRM_Fixtures[[#This Row],[Fixture Watts  (TRM Data)]], Table_TRM_Fixtures[[#This Row],[Modified Baseline Fixture Watts]])</f>
        <v>8</v>
      </c>
    </row>
    <row r="652" spans="1:27" x14ac:dyDescent="0.2">
      <c r="A652" t="s">
        <v>5151</v>
      </c>
      <c r="B652" t="s">
        <v>5149</v>
      </c>
      <c r="C652" t="s">
        <v>5152</v>
      </c>
      <c r="D652" t="s">
        <v>5153</v>
      </c>
      <c r="E652" t="s">
        <v>187</v>
      </c>
      <c r="F652">
        <v>2</v>
      </c>
      <c r="G652">
        <v>8</v>
      </c>
      <c r="H652">
        <v>16</v>
      </c>
      <c r="I652" t="s">
        <v>186</v>
      </c>
      <c r="J652" s="110">
        <v>650</v>
      </c>
      <c r="K652" t="s">
        <v>2893</v>
      </c>
      <c r="L652">
        <f>IF(Table_TRM_Fixtures[[#This Row],[Technology]]="LED", Table_TRM_Fixtures[[#This Row],[Fixture Watts  (TRM Data)]], Table_TRM_Fixtures[[#This Row],[Lamp Watts  (TRM Data)]])</f>
        <v>8</v>
      </c>
      <c r="M652">
        <f>Table_TRM_Fixtures[[#This Row],[No. of Lamps  (TRM Data)]]</f>
        <v>2</v>
      </c>
      <c r="N652" t="s">
        <v>186</v>
      </c>
      <c r="O652" t="s">
        <v>186</v>
      </c>
      <c r="P652" t="s">
        <v>187</v>
      </c>
      <c r="S652"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Cold Cathode, (2) 8W screw-in lamp/base w/ permanent locking device, any bulb shape</v>
      </c>
      <c r="T652" t="str">
        <f>Table_TRM_Fixtures[[#This Row],[Fixture code  (TRM Data)]]</f>
        <v>CFC8/2-SCRW</v>
      </c>
      <c r="U652" t="s">
        <v>2883</v>
      </c>
      <c r="V652" t="s">
        <v>5124</v>
      </c>
      <c r="W652" t="s">
        <v>3120</v>
      </c>
      <c r="X652" t="s">
        <v>186</v>
      </c>
      <c r="AA652">
        <f>IF(Table_TRM_Fixtures[[#This Row],[Pre-EISA Baseline]]="Nominal", Table_TRM_Fixtures[[#This Row],[Fixture Watts  (TRM Data)]], Table_TRM_Fixtures[[#This Row],[Modified Baseline Fixture Watts]])</f>
        <v>16</v>
      </c>
    </row>
    <row r="653" spans="1:27" x14ac:dyDescent="0.2">
      <c r="A653" t="s">
        <v>5154</v>
      </c>
      <c r="B653" t="s">
        <v>5155</v>
      </c>
      <c r="C653" t="s">
        <v>5156</v>
      </c>
      <c r="D653" t="s">
        <v>5157</v>
      </c>
      <c r="E653" t="s">
        <v>187</v>
      </c>
      <c r="F653">
        <v>1</v>
      </c>
      <c r="G653">
        <v>13</v>
      </c>
      <c r="H653">
        <v>13</v>
      </c>
      <c r="I653" t="s">
        <v>186</v>
      </c>
      <c r="J653" s="110">
        <v>651</v>
      </c>
      <c r="K653" t="s">
        <v>2893</v>
      </c>
      <c r="L653">
        <f>IF(Table_TRM_Fixtures[[#This Row],[Technology]]="LED", Table_TRM_Fixtures[[#This Row],[Fixture Watts  (TRM Data)]], Table_TRM_Fixtures[[#This Row],[Lamp Watts  (TRM Data)]])</f>
        <v>13</v>
      </c>
      <c r="M653">
        <f>Table_TRM_Fixtures[[#This Row],[No. of Lamps  (TRM Data)]]</f>
        <v>1</v>
      </c>
      <c r="N653" t="s">
        <v>186</v>
      </c>
      <c r="O653" t="s">
        <v>186</v>
      </c>
      <c r="P653" t="s">
        <v>187</v>
      </c>
      <c r="S653"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Cold Cathode, (1) 13W screw-in lamp/base w/ permanent locking device, any bulb shape</v>
      </c>
      <c r="T653" t="str">
        <f>Table_TRM_Fixtures[[#This Row],[Fixture code  (TRM Data)]]</f>
        <v>CFC13/1-SCRW</v>
      </c>
      <c r="U653" t="s">
        <v>2883</v>
      </c>
      <c r="V653" t="s">
        <v>5124</v>
      </c>
      <c r="W653" t="s">
        <v>3120</v>
      </c>
      <c r="X653" t="s">
        <v>186</v>
      </c>
      <c r="AA653">
        <f>IF(Table_TRM_Fixtures[[#This Row],[Pre-EISA Baseline]]="Nominal", Table_TRM_Fixtures[[#This Row],[Fixture Watts  (TRM Data)]], Table_TRM_Fixtures[[#This Row],[Modified Baseline Fixture Watts]])</f>
        <v>13</v>
      </c>
    </row>
    <row r="654" spans="1:27" x14ac:dyDescent="0.2">
      <c r="A654" t="s">
        <v>5158</v>
      </c>
      <c r="B654" t="s">
        <v>5159</v>
      </c>
      <c r="C654" t="s">
        <v>5160</v>
      </c>
      <c r="D654" t="s">
        <v>5161</v>
      </c>
      <c r="E654" t="s">
        <v>187</v>
      </c>
      <c r="F654">
        <v>1</v>
      </c>
      <c r="G654">
        <v>18</v>
      </c>
      <c r="H654">
        <v>18</v>
      </c>
      <c r="I654" t="s">
        <v>186</v>
      </c>
      <c r="J654" s="110">
        <v>652</v>
      </c>
      <c r="K654" t="s">
        <v>2893</v>
      </c>
      <c r="L654">
        <f>IF(Table_TRM_Fixtures[[#This Row],[Technology]]="LED", Table_TRM_Fixtures[[#This Row],[Fixture Watts  (TRM Data)]], Table_TRM_Fixtures[[#This Row],[Lamp Watts  (TRM Data)]])</f>
        <v>18</v>
      </c>
      <c r="M654">
        <f>Table_TRM_Fixtures[[#This Row],[No. of Lamps  (TRM Data)]]</f>
        <v>1</v>
      </c>
      <c r="N654" t="s">
        <v>186</v>
      </c>
      <c r="O654" t="s">
        <v>186</v>
      </c>
      <c r="P654" t="s">
        <v>187</v>
      </c>
      <c r="S654"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Cold Cathode, (1) 18W screw-in lamp/base w/ permanent locking device, any bulb shape</v>
      </c>
      <c r="T654" t="str">
        <f>Table_TRM_Fixtures[[#This Row],[Fixture code  (TRM Data)]]</f>
        <v>CFC18/1-SCRW</v>
      </c>
      <c r="U654" t="s">
        <v>2883</v>
      </c>
      <c r="V654" t="s">
        <v>5124</v>
      </c>
      <c r="W654" t="s">
        <v>3120</v>
      </c>
      <c r="X654" t="s">
        <v>186</v>
      </c>
      <c r="AA654">
        <f>IF(Table_TRM_Fixtures[[#This Row],[Pre-EISA Baseline]]="Nominal", Table_TRM_Fixtures[[#This Row],[Fixture Watts  (TRM Data)]], Table_TRM_Fixtures[[#This Row],[Modified Baseline Fixture Watts]])</f>
        <v>18</v>
      </c>
    </row>
    <row r="655" spans="1:27" x14ac:dyDescent="0.2">
      <c r="A655" t="s">
        <v>5162</v>
      </c>
      <c r="B655" t="s">
        <v>5163</v>
      </c>
      <c r="C655" t="s">
        <v>5164</v>
      </c>
      <c r="D655" t="s">
        <v>5165</v>
      </c>
      <c r="E655" t="s">
        <v>1309</v>
      </c>
      <c r="F655">
        <v>1</v>
      </c>
      <c r="G655">
        <v>10</v>
      </c>
      <c r="H655">
        <v>16</v>
      </c>
      <c r="I655" t="s">
        <v>186</v>
      </c>
      <c r="J655" s="110">
        <v>653</v>
      </c>
      <c r="K655" t="s">
        <v>2893</v>
      </c>
      <c r="L655">
        <f>IF(Table_TRM_Fixtures[[#This Row],[Technology]]="LED", Table_TRM_Fixtures[[#This Row],[Fixture Watts  (TRM Data)]], Table_TRM_Fixtures[[#This Row],[Lamp Watts  (TRM Data)]])</f>
        <v>10</v>
      </c>
      <c r="M655">
        <f>Table_TRM_Fixtures[[#This Row],[No. of Lamps  (TRM Data)]]</f>
        <v>1</v>
      </c>
      <c r="N655" t="s">
        <v>186</v>
      </c>
      <c r="O655" t="s">
        <v>186</v>
      </c>
      <c r="R655" t="s">
        <v>2893</v>
      </c>
      <c r="S655"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2D, (1) 10W lamp</v>
      </c>
      <c r="T655" t="str">
        <f>Table_TRM_Fixtures[[#This Row],[Fixture code  (TRM Data)]]</f>
        <v>CFD10/1</v>
      </c>
      <c r="U655" t="s">
        <v>2882</v>
      </c>
      <c r="V655" t="s">
        <v>186</v>
      </c>
      <c r="W655" t="s">
        <v>3120</v>
      </c>
      <c r="X655" t="s">
        <v>186</v>
      </c>
      <c r="Y655" t="s">
        <v>4815</v>
      </c>
      <c r="Z655" t="s">
        <v>4815</v>
      </c>
      <c r="AA655">
        <f>IF(Table_TRM_Fixtures[[#This Row],[Pre-EISA Baseline]]="Nominal", Table_TRM_Fixtures[[#This Row],[Fixture Watts  (TRM Data)]], Table_TRM_Fixtures[[#This Row],[Modified Baseline Fixture Watts]])</f>
        <v>16</v>
      </c>
    </row>
    <row r="656" spans="1:27" x14ac:dyDescent="0.2">
      <c r="A656" t="s">
        <v>5166</v>
      </c>
      <c r="B656" t="s">
        <v>5163</v>
      </c>
      <c r="C656" t="s">
        <v>5164</v>
      </c>
      <c r="D656" t="s">
        <v>5165</v>
      </c>
      <c r="E656" t="s">
        <v>187</v>
      </c>
      <c r="F656">
        <v>1</v>
      </c>
      <c r="G656">
        <v>10</v>
      </c>
      <c r="H656">
        <v>14</v>
      </c>
      <c r="I656" t="s">
        <v>186</v>
      </c>
      <c r="J656" s="110">
        <v>654</v>
      </c>
      <c r="K656" t="s">
        <v>2893</v>
      </c>
      <c r="L656">
        <f>IF(Table_TRM_Fixtures[[#This Row],[Technology]]="LED", Table_TRM_Fixtures[[#This Row],[Fixture Watts  (TRM Data)]], Table_TRM_Fixtures[[#This Row],[Lamp Watts  (TRM Data)]])</f>
        <v>10</v>
      </c>
      <c r="M656">
        <f>Table_TRM_Fixtures[[#This Row],[No. of Lamps  (TRM Data)]]</f>
        <v>1</v>
      </c>
      <c r="N656" t="s">
        <v>186</v>
      </c>
      <c r="O656" t="s">
        <v>186</v>
      </c>
      <c r="R656" t="s">
        <v>2893</v>
      </c>
      <c r="S656"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2D, (1) 10W lamp</v>
      </c>
      <c r="T656" t="str">
        <f>Table_TRM_Fixtures[[#This Row],[Fixture code  (TRM Data)]]</f>
        <v>CFD10/1-L</v>
      </c>
      <c r="U656" t="s">
        <v>2882</v>
      </c>
      <c r="V656" t="s">
        <v>186</v>
      </c>
      <c r="W656" t="s">
        <v>3120</v>
      </c>
      <c r="X656" t="s">
        <v>186</v>
      </c>
      <c r="Y656" t="str">
        <f>_xlfn.CONCAT(Table_TRM_Fixtures[[#This Row],[Combined Lighting/Ballast Types]],":",Table_TRM_Fixtures[[#This Row],[No. of Lamps]], ":", Table_TRM_Fixtures[[#This Row],[Lamp Watts  (TRM Data)]])</f>
        <v>CFL:1:10</v>
      </c>
      <c r="Z656"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CFL:1:10</v>
      </c>
      <c r="AA656">
        <f>IF(Table_TRM_Fixtures[[#This Row],[Pre-EISA Baseline]]="Nominal", Table_TRM_Fixtures[[#This Row],[Fixture Watts  (TRM Data)]], Table_TRM_Fixtures[[#This Row],[Modified Baseline Fixture Watts]])</f>
        <v>14</v>
      </c>
    </row>
    <row r="657" spans="1:27" x14ac:dyDescent="0.2">
      <c r="A657" t="s">
        <v>5167</v>
      </c>
      <c r="B657" t="s">
        <v>5168</v>
      </c>
      <c r="C657" t="s">
        <v>5169</v>
      </c>
      <c r="D657" t="s">
        <v>5170</v>
      </c>
      <c r="E657" t="s">
        <v>1309</v>
      </c>
      <c r="F657">
        <v>1</v>
      </c>
      <c r="G657">
        <v>16</v>
      </c>
      <c r="H657">
        <v>26</v>
      </c>
      <c r="I657" t="s">
        <v>186</v>
      </c>
      <c r="J657" s="110">
        <v>655</v>
      </c>
      <c r="K657" t="s">
        <v>2893</v>
      </c>
      <c r="L657">
        <f>IF(Table_TRM_Fixtures[[#This Row],[Technology]]="LED", Table_TRM_Fixtures[[#This Row],[Fixture Watts  (TRM Data)]], Table_TRM_Fixtures[[#This Row],[Lamp Watts  (TRM Data)]])</f>
        <v>16</v>
      </c>
      <c r="M657">
        <f>Table_TRM_Fixtures[[#This Row],[No. of Lamps  (TRM Data)]]</f>
        <v>1</v>
      </c>
      <c r="N657" t="s">
        <v>186</v>
      </c>
      <c r="O657" t="s">
        <v>186</v>
      </c>
      <c r="R657" t="s">
        <v>2893</v>
      </c>
      <c r="S657"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2D, (1) 16W lamp</v>
      </c>
      <c r="T657" t="str">
        <f>Table_TRM_Fixtures[[#This Row],[Fixture code  (TRM Data)]]</f>
        <v>CFD16/1</v>
      </c>
      <c r="U657" t="s">
        <v>2882</v>
      </c>
      <c r="V657" t="s">
        <v>186</v>
      </c>
      <c r="W657" t="s">
        <v>3120</v>
      </c>
      <c r="X657" t="s">
        <v>186</v>
      </c>
      <c r="Y657" t="s">
        <v>4815</v>
      </c>
      <c r="Z657" t="s">
        <v>4815</v>
      </c>
      <c r="AA657">
        <f>IF(Table_TRM_Fixtures[[#This Row],[Pre-EISA Baseline]]="Nominal", Table_TRM_Fixtures[[#This Row],[Fixture Watts  (TRM Data)]], Table_TRM_Fixtures[[#This Row],[Modified Baseline Fixture Watts]])</f>
        <v>26</v>
      </c>
    </row>
    <row r="658" spans="1:27" x14ac:dyDescent="0.2">
      <c r="A658" t="s">
        <v>5171</v>
      </c>
      <c r="B658" t="s">
        <v>5168</v>
      </c>
      <c r="C658" t="s">
        <v>5169</v>
      </c>
      <c r="D658" t="s">
        <v>5170</v>
      </c>
      <c r="E658" t="s">
        <v>187</v>
      </c>
      <c r="F658">
        <v>1</v>
      </c>
      <c r="G658">
        <v>16</v>
      </c>
      <c r="H658">
        <v>18</v>
      </c>
      <c r="I658" t="s">
        <v>186</v>
      </c>
      <c r="J658" s="110">
        <v>656</v>
      </c>
      <c r="K658" t="s">
        <v>2893</v>
      </c>
      <c r="L658">
        <f>IF(Table_TRM_Fixtures[[#This Row],[Technology]]="LED", Table_TRM_Fixtures[[#This Row],[Fixture Watts  (TRM Data)]], Table_TRM_Fixtures[[#This Row],[Lamp Watts  (TRM Data)]])</f>
        <v>16</v>
      </c>
      <c r="M658">
        <f>Table_TRM_Fixtures[[#This Row],[No. of Lamps  (TRM Data)]]</f>
        <v>1</v>
      </c>
      <c r="N658" t="s">
        <v>186</v>
      </c>
      <c r="O658" t="s">
        <v>186</v>
      </c>
      <c r="R658" t="s">
        <v>2893</v>
      </c>
      <c r="S658"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2D, (1) 16W lamp</v>
      </c>
      <c r="T658" t="str">
        <f>Table_TRM_Fixtures[[#This Row],[Fixture code  (TRM Data)]]</f>
        <v>CFD16/1-L</v>
      </c>
      <c r="U658" t="s">
        <v>2882</v>
      </c>
      <c r="V658" t="s">
        <v>186</v>
      </c>
      <c r="W658" t="s">
        <v>3120</v>
      </c>
      <c r="X658" t="s">
        <v>186</v>
      </c>
      <c r="Y658" t="str">
        <f>_xlfn.CONCAT(Table_TRM_Fixtures[[#This Row],[Combined Lighting/Ballast Types]],":",Table_TRM_Fixtures[[#This Row],[No. of Lamps]], ":", Table_TRM_Fixtures[[#This Row],[Lamp Watts  (TRM Data)]])</f>
        <v>CFL:1:16</v>
      </c>
      <c r="Z658"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CFL:1:16</v>
      </c>
      <c r="AA658">
        <f>IF(Table_TRM_Fixtures[[#This Row],[Pre-EISA Baseline]]="Nominal", Table_TRM_Fixtures[[#This Row],[Fixture Watts  (TRM Data)]], Table_TRM_Fixtures[[#This Row],[Modified Baseline Fixture Watts]])</f>
        <v>18</v>
      </c>
    </row>
    <row r="659" spans="1:27" x14ac:dyDescent="0.2">
      <c r="A659" t="s">
        <v>5172</v>
      </c>
      <c r="B659" t="s">
        <v>5173</v>
      </c>
      <c r="C659" t="s">
        <v>5174</v>
      </c>
      <c r="D659" t="s">
        <v>5175</v>
      </c>
      <c r="E659" t="s">
        <v>1309</v>
      </c>
      <c r="F659">
        <v>1</v>
      </c>
      <c r="G659">
        <v>21</v>
      </c>
      <c r="H659">
        <v>26</v>
      </c>
      <c r="I659" t="s">
        <v>186</v>
      </c>
      <c r="J659" s="110">
        <v>657</v>
      </c>
      <c r="K659" t="s">
        <v>2893</v>
      </c>
      <c r="L659">
        <f>IF(Table_TRM_Fixtures[[#This Row],[Technology]]="LED", Table_TRM_Fixtures[[#This Row],[Fixture Watts  (TRM Data)]], Table_TRM_Fixtures[[#This Row],[Lamp Watts  (TRM Data)]])</f>
        <v>21</v>
      </c>
      <c r="M659">
        <f>Table_TRM_Fixtures[[#This Row],[No. of Lamps  (TRM Data)]]</f>
        <v>1</v>
      </c>
      <c r="N659" t="s">
        <v>186</v>
      </c>
      <c r="O659" t="s">
        <v>186</v>
      </c>
      <c r="R659" t="s">
        <v>2893</v>
      </c>
      <c r="S659"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2D, (1) 21W lamp</v>
      </c>
      <c r="T659" t="str">
        <f>Table_TRM_Fixtures[[#This Row],[Fixture code  (TRM Data)]]</f>
        <v>CFD21/1</v>
      </c>
      <c r="U659" t="s">
        <v>2882</v>
      </c>
      <c r="V659" t="s">
        <v>186</v>
      </c>
      <c r="W659" t="s">
        <v>3120</v>
      </c>
      <c r="X659" t="s">
        <v>186</v>
      </c>
      <c r="Y659" t="s">
        <v>4815</v>
      </c>
      <c r="Z659" t="s">
        <v>4815</v>
      </c>
      <c r="AA659">
        <f>IF(Table_TRM_Fixtures[[#This Row],[Pre-EISA Baseline]]="Nominal", Table_TRM_Fixtures[[#This Row],[Fixture Watts  (TRM Data)]], Table_TRM_Fixtures[[#This Row],[Modified Baseline Fixture Watts]])</f>
        <v>26</v>
      </c>
    </row>
    <row r="660" spans="1:27" x14ac:dyDescent="0.2">
      <c r="A660" t="s">
        <v>5176</v>
      </c>
      <c r="B660" t="s">
        <v>5173</v>
      </c>
      <c r="C660" t="s">
        <v>5174</v>
      </c>
      <c r="D660" t="s">
        <v>5175</v>
      </c>
      <c r="E660" t="s">
        <v>187</v>
      </c>
      <c r="F660">
        <v>1</v>
      </c>
      <c r="G660">
        <v>21</v>
      </c>
      <c r="H660">
        <v>22</v>
      </c>
      <c r="I660" t="s">
        <v>186</v>
      </c>
      <c r="J660" s="110">
        <v>658</v>
      </c>
      <c r="K660" t="s">
        <v>2893</v>
      </c>
      <c r="L660">
        <f>IF(Table_TRM_Fixtures[[#This Row],[Technology]]="LED", Table_TRM_Fixtures[[#This Row],[Fixture Watts  (TRM Data)]], Table_TRM_Fixtures[[#This Row],[Lamp Watts  (TRM Data)]])</f>
        <v>21</v>
      </c>
      <c r="M660">
        <f>Table_TRM_Fixtures[[#This Row],[No. of Lamps  (TRM Data)]]</f>
        <v>1</v>
      </c>
      <c r="N660" t="s">
        <v>186</v>
      </c>
      <c r="O660" t="s">
        <v>186</v>
      </c>
      <c r="R660" t="s">
        <v>2893</v>
      </c>
      <c r="S660"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2D, (1) 21W lamp</v>
      </c>
      <c r="T660" t="str">
        <f>Table_TRM_Fixtures[[#This Row],[Fixture code  (TRM Data)]]</f>
        <v>CFD21/1-L</v>
      </c>
      <c r="U660" t="s">
        <v>2882</v>
      </c>
      <c r="V660" t="s">
        <v>186</v>
      </c>
      <c r="W660" t="s">
        <v>3120</v>
      </c>
      <c r="X660" t="s">
        <v>186</v>
      </c>
      <c r="Y660" t="str">
        <f>_xlfn.CONCAT(Table_TRM_Fixtures[[#This Row],[Combined Lighting/Ballast Types]],":",Table_TRM_Fixtures[[#This Row],[No. of Lamps]], ":", Table_TRM_Fixtures[[#This Row],[Lamp Watts  (TRM Data)]])</f>
        <v>CFL:1:21</v>
      </c>
      <c r="Z660"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CFL:1:21</v>
      </c>
      <c r="AA660">
        <f>IF(Table_TRM_Fixtures[[#This Row],[Pre-EISA Baseline]]="Nominal", Table_TRM_Fixtures[[#This Row],[Fixture Watts  (TRM Data)]], Table_TRM_Fixtures[[#This Row],[Modified Baseline Fixture Watts]])</f>
        <v>22</v>
      </c>
    </row>
    <row r="661" spans="1:27" x14ac:dyDescent="0.2">
      <c r="A661" t="s">
        <v>5177</v>
      </c>
      <c r="B661" t="s">
        <v>5178</v>
      </c>
      <c r="C661" t="s">
        <v>5179</v>
      </c>
      <c r="D661" t="s">
        <v>5180</v>
      </c>
      <c r="E661" t="s">
        <v>1309</v>
      </c>
      <c r="F661">
        <v>1</v>
      </c>
      <c r="G661">
        <v>28</v>
      </c>
      <c r="H661">
        <v>35</v>
      </c>
      <c r="I661" t="s">
        <v>186</v>
      </c>
      <c r="J661" s="110">
        <v>659</v>
      </c>
      <c r="K661" t="s">
        <v>2893</v>
      </c>
      <c r="L661">
        <f>IF(Table_TRM_Fixtures[[#This Row],[Technology]]="LED", Table_TRM_Fixtures[[#This Row],[Fixture Watts  (TRM Data)]], Table_TRM_Fixtures[[#This Row],[Lamp Watts  (TRM Data)]])</f>
        <v>28</v>
      </c>
      <c r="M661">
        <f>Table_TRM_Fixtures[[#This Row],[No. of Lamps  (TRM Data)]]</f>
        <v>1</v>
      </c>
      <c r="N661" t="s">
        <v>186</v>
      </c>
      <c r="O661" t="s">
        <v>186</v>
      </c>
      <c r="R661" t="s">
        <v>2893</v>
      </c>
      <c r="S661"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2D, (1) 28W lamp</v>
      </c>
      <c r="T661" t="str">
        <f>Table_TRM_Fixtures[[#This Row],[Fixture code  (TRM Data)]]</f>
        <v>CFD28/1</v>
      </c>
      <c r="U661" t="s">
        <v>2882</v>
      </c>
      <c r="V661" t="s">
        <v>186</v>
      </c>
      <c r="W661" t="s">
        <v>3120</v>
      </c>
      <c r="X661" t="s">
        <v>186</v>
      </c>
      <c r="Y661" t="s">
        <v>4815</v>
      </c>
      <c r="Z661" t="s">
        <v>4815</v>
      </c>
      <c r="AA661">
        <f>IF(Table_TRM_Fixtures[[#This Row],[Pre-EISA Baseline]]="Nominal", Table_TRM_Fixtures[[#This Row],[Fixture Watts  (TRM Data)]], Table_TRM_Fixtures[[#This Row],[Modified Baseline Fixture Watts]])</f>
        <v>35</v>
      </c>
    </row>
    <row r="662" spans="1:27" x14ac:dyDescent="0.2">
      <c r="A662" t="s">
        <v>5181</v>
      </c>
      <c r="B662" t="s">
        <v>5178</v>
      </c>
      <c r="C662" t="s">
        <v>5179</v>
      </c>
      <c r="D662" t="s">
        <v>5180</v>
      </c>
      <c r="E662" t="s">
        <v>187</v>
      </c>
      <c r="F662">
        <v>1</v>
      </c>
      <c r="G662">
        <v>28</v>
      </c>
      <c r="H662">
        <v>29</v>
      </c>
      <c r="I662" t="s">
        <v>186</v>
      </c>
      <c r="J662" s="110">
        <v>660</v>
      </c>
      <c r="K662" t="s">
        <v>2893</v>
      </c>
      <c r="L662">
        <f>IF(Table_TRM_Fixtures[[#This Row],[Technology]]="LED", Table_TRM_Fixtures[[#This Row],[Fixture Watts  (TRM Data)]], Table_TRM_Fixtures[[#This Row],[Lamp Watts  (TRM Data)]])</f>
        <v>28</v>
      </c>
      <c r="M662">
        <f>Table_TRM_Fixtures[[#This Row],[No. of Lamps  (TRM Data)]]</f>
        <v>1</v>
      </c>
      <c r="N662" t="s">
        <v>186</v>
      </c>
      <c r="O662" t="s">
        <v>186</v>
      </c>
      <c r="R662" t="s">
        <v>2893</v>
      </c>
      <c r="S662"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2D, (1) 28W lamp</v>
      </c>
      <c r="T662" t="str">
        <f>Table_TRM_Fixtures[[#This Row],[Fixture code  (TRM Data)]]</f>
        <v>CFD28/1-L</v>
      </c>
      <c r="U662" t="s">
        <v>2882</v>
      </c>
      <c r="V662" t="s">
        <v>186</v>
      </c>
      <c r="W662" t="s">
        <v>3120</v>
      </c>
      <c r="X662" t="s">
        <v>186</v>
      </c>
      <c r="Y662" t="s">
        <v>4815</v>
      </c>
      <c r="Z662" t="s">
        <v>4815</v>
      </c>
      <c r="AA662">
        <f>IF(Table_TRM_Fixtures[[#This Row],[Pre-EISA Baseline]]="Nominal", Table_TRM_Fixtures[[#This Row],[Fixture Watts  (TRM Data)]], Table_TRM_Fixtures[[#This Row],[Modified Baseline Fixture Watts]])</f>
        <v>29</v>
      </c>
    </row>
    <row r="663" spans="1:27" x14ac:dyDescent="0.2">
      <c r="A663" t="s">
        <v>5182</v>
      </c>
      <c r="B663" t="s">
        <v>5183</v>
      </c>
      <c r="C663" t="s">
        <v>5184</v>
      </c>
      <c r="D663" t="s">
        <v>5185</v>
      </c>
      <c r="E663" t="s">
        <v>1309</v>
      </c>
      <c r="F663">
        <v>1</v>
      </c>
      <c r="G663">
        <v>38</v>
      </c>
      <c r="H663">
        <v>46</v>
      </c>
      <c r="I663" t="s">
        <v>186</v>
      </c>
      <c r="J663" s="110">
        <v>661</v>
      </c>
      <c r="K663" t="s">
        <v>2893</v>
      </c>
      <c r="L663">
        <f>IF(Table_TRM_Fixtures[[#This Row],[Technology]]="LED", Table_TRM_Fixtures[[#This Row],[Fixture Watts  (TRM Data)]], Table_TRM_Fixtures[[#This Row],[Lamp Watts  (TRM Data)]])</f>
        <v>38</v>
      </c>
      <c r="M663">
        <f>Table_TRM_Fixtures[[#This Row],[No. of Lamps  (TRM Data)]]</f>
        <v>1</v>
      </c>
      <c r="N663" t="s">
        <v>186</v>
      </c>
      <c r="O663" t="s">
        <v>186</v>
      </c>
      <c r="R663" t="s">
        <v>2893</v>
      </c>
      <c r="S663"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2D, (1) 38W lamp</v>
      </c>
      <c r="T663" t="str">
        <f>Table_TRM_Fixtures[[#This Row],[Fixture code  (TRM Data)]]</f>
        <v>CFD38/1</v>
      </c>
      <c r="U663" t="s">
        <v>2882</v>
      </c>
      <c r="V663" t="s">
        <v>186</v>
      </c>
      <c r="W663" t="s">
        <v>3120</v>
      </c>
      <c r="X663" t="s">
        <v>186</v>
      </c>
      <c r="Y663" t="s">
        <v>4815</v>
      </c>
      <c r="Z663" t="s">
        <v>4815</v>
      </c>
      <c r="AA663">
        <f>IF(Table_TRM_Fixtures[[#This Row],[Pre-EISA Baseline]]="Nominal", Table_TRM_Fixtures[[#This Row],[Fixture Watts  (TRM Data)]], Table_TRM_Fixtures[[#This Row],[Modified Baseline Fixture Watts]])</f>
        <v>46</v>
      </c>
    </row>
    <row r="664" spans="1:27" x14ac:dyDescent="0.2">
      <c r="A664" t="s">
        <v>5186</v>
      </c>
      <c r="B664" t="s">
        <v>5183</v>
      </c>
      <c r="C664" t="s">
        <v>5184</v>
      </c>
      <c r="D664" t="s">
        <v>5185</v>
      </c>
      <c r="E664" t="s">
        <v>187</v>
      </c>
      <c r="F664">
        <v>1</v>
      </c>
      <c r="G664">
        <v>38</v>
      </c>
      <c r="H664">
        <v>32</v>
      </c>
      <c r="I664" t="s">
        <v>186</v>
      </c>
      <c r="J664" s="110">
        <v>662</v>
      </c>
      <c r="K664" t="s">
        <v>2893</v>
      </c>
      <c r="L664">
        <f>IF(Table_TRM_Fixtures[[#This Row],[Technology]]="LED", Table_TRM_Fixtures[[#This Row],[Fixture Watts  (TRM Data)]], Table_TRM_Fixtures[[#This Row],[Lamp Watts  (TRM Data)]])</f>
        <v>38</v>
      </c>
      <c r="M664">
        <f>Table_TRM_Fixtures[[#This Row],[No. of Lamps  (TRM Data)]]</f>
        <v>1</v>
      </c>
      <c r="N664" t="s">
        <v>186</v>
      </c>
      <c r="O664" t="s">
        <v>186</v>
      </c>
      <c r="R664" t="s">
        <v>2893</v>
      </c>
      <c r="S664" t="str">
        <f>IF(ISNUMBER(SEARCH("Non-Integrated Ballast",Table_TRM_Fixtures[[#This Row],[Description  (TRM Data)]])), _xlfn.CONCAT("LED Fixture, ", Table_TRM_Fixtures[[#This Row],[Fixture Watts  (TRM Data)]], "W, any fixture shape"),
IF(ISNUMBER(SEARCH("Integrated Ballast", Table_TRM_Fixtures[[#This Row],[Description  (TRM Data)]])), _xlfn.CONCAT("LED Lamp, ", Table_TRM_Fixtures[[#This Row],[Fixture Watts  (TRM Data)]], "W, any lamp base, any lamp shape"), Table_TRM_Fixtures[[#This Row],[Description  (TRM Data)]]))</f>
        <v>Compact Fluorescent, 2D, (1) 38W lamp</v>
      </c>
      <c r="T664" t="str">
        <f>Table_TRM_Fixtures[[#This Row],[Fixture code  (TRM Data)]]</f>
        <v>CFD38/1-L</v>
      </c>
      <c r="U664" t="s">
        <v>2882</v>
      </c>
      <c r="V664" t="s">
        <v>186</v>
      </c>
      <c r="W664" t="s">
        <v>3120</v>
      </c>
      <c r="X664" t="s">
        <v>186</v>
      </c>
      <c r="Y664" t="str">
        <f>_xlfn.CONCAT(Table_TRM_Fixtures[[#This Row],[Combined Lighting/Ballast Types]],":",Table_TRM_Fixtures[[#This Row],[No. of Lamps]], ":", Table_TRM_Fixtures[[#This Row],[Lamp Watts  (TRM Data)]])</f>
        <v>CFL:1:38</v>
      </c>
      <c r="Z664"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CFL:1:38</v>
      </c>
      <c r="AA664">
        <f>IF(Table_TRM_Fixtures[[#This Row],[Pre-EISA Baseline]]="Nominal", Table_TRM_Fixtures[[#This Row],[Fixture Watts  (TRM Data)]], Table_TRM_Fixtures[[#This Row],[Modified Baseline Fixture Watts]])</f>
        <v>32</v>
      </c>
    </row>
    <row r="665" spans="1:27" x14ac:dyDescent="0.2">
      <c r="A665" t="s">
        <v>5187</v>
      </c>
      <c r="B665" t="s">
        <v>5188</v>
      </c>
      <c r="C665" t="s">
        <v>5189</v>
      </c>
      <c r="D665" t="s">
        <v>5190</v>
      </c>
      <c r="E665" t="s">
        <v>187</v>
      </c>
      <c r="F665">
        <v>1</v>
      </c>
      <c r="G665">
        <v>13</v>
      </c>
      <c r="H665">
        <v>13</v>
      </c>
      <c r="I665" t="s">
        <v>186</v>
      </c>
      <c r="J665" s="110">
        <v>663</v>
      </c>
      <c r="K665" t="s">
        <v>2893</v>
      </c>
      <c r="L665">
        <f>IF(Table_TRM_Fixtures[[#This Row],[Technology]]="LED", Table_TRM_Fixtures[[#This Row],[Fixture Watts  (TRM Data)]], Table_TRM_Fixtures[[#This Row],[Lamp Watts  (TRM Data)]])</f>
        <v>13</v>
      </c>
      <c r="M665">
        <f>Table_TRM_Fixtures[[#This Row],[No. of Lamps  (TRM Data)]]</f>
        <v>1</v>
      </c>
      <c r="N665" t="s">
        <v>186</v>
      </c>
      <c r="O665" t="s">
        <v>186</v>
      </c>
      <c r="R665" t="s">
        <v>2893</v>
      </c>
      <c r="S665" t="str">
        <f>Table_TRM_Fixtures[[#This Row],[Description  (TRM Data)]]</f>
        <v>Compact Fluorescent, Multi, GU24 with Integrated Ballast, (1) 13W lamp</v>
      </c>
      <c r="T665" t="str">
        <f>Table_TRM_Fixtures[[#This Row],[Fixture code  (TRM Data)]]</f>
        <v>CFG13/1-L</v>
      </c>
      <c r="U665" t="s">
        <v>2882</v>
      </c>
      <c r="V665" t="s">
        <v>186</v>
      </c>
      <c r="W665" t="s">
        <v>3120</v>
      </c>
      <c r="X665" t="s">
        <v>186</v>
      </c>
      <c r="Y665" t="s">
        <v>4815</v>
      </c>
      <c r="Z665" t="s">
        <v>4815</v>
      </c>
      <c r="AA665">
        <f>IF(Table_TRM_Fixtures[[#This Row],[Pre-EISA Baseline]]="Nominal", Table_TRM_Fixtures[[#This Row],[Fixture Watts  (TRM Data)]], Table_TRM_Fixtures[[#This Row],[Modified Baseline Fixture Watts]])</f>
        <v>13</v>
      </c>
    </row>
    <row r="666" spans="1:27" x14ac:dyDescent="0.2">
      <c r="A666" t="s">
        <v>5191</v>
      </c>
      <c r="B666" t="s">
        <v>5192</v>
      </c>
      <c r="C666" t="s">
        <v>5193</v>
      </c>
      <c r="D666" t="s">
        <v>5194</v>
      </c>
      <c r="E666" t="s">
        <v>187</v>
      </c>
      <c r="F666">
        <v>1</v>
      </c>
      <c r="G666">
        <v>18</v>
      </c>
      <c r="H666">
        <v>18</v>
      </c>
      <c r="I666" t="s">
        <v>186</v>
      </c>
      <c r="J666" s="110">
        <v>664</v>
      </c>
      <c r="K666" t="s">
        <v>2893</v>
      </c>
      <c r="L666">
        <f>IF(Table_TRM_Fixtures[[#This Row],[Technology]]="LED", Table_TRM_Fixtures[[#This Row],[Fixture Watts  (TRM Data)]], Table_TRM_Fixtures[[#This Row],[Lamp Watts  (TRM Data)]])</f>
        <v>18</v>
      </c>
      <c r="M666">
        <f>Table_TRM_Fixtures[[#This Row],[No. of Lamps  (TRM Data)]]</f>
        <v>1</v>
      </c>
      <c r="N666" t="s">
        <v>186</v>
      </c>
      <c r="O666" t="s">
        <v>186</v>
      </c>
      <c r="R666" t="s">
        <v>2893</v>
      </c>
      <c r="S666" t="str">
        <f>Table_TRM_Fixtures[[#This Row],[Description  (TRM Data)]]</f>
        <v>Compact Fluorescent, Multi, GU24 with Integrated Ballast, (1) 18W lamp</v>
      </c>
      <c r="T666" t="str">
        <f>Table_TRM_Fixtures[[#This Row],[Fixture code  (TRM Data)]]</f>
        <v>CFG18/1-L</v>
      </c>
      <c r="U666" t="s">
        <v>2882</v>
      </c>
      <c r="V666" t="s">
        <v>186</v>
      </c>
      <c r="W666" t="s">
        <v>3120</v>
      </c>
      <c r="X666" t="s">
        <v>186</v>
      </c>
      <c r="Y666" t="s">
        <v>4815</v>
      </c>
      <c r="Z666" t="s">
        <v>4815</v>
      </c>
      <c r="AA666">
        <f>IF(Table_TRM_Fixtures[[#This Row],[Pre-EISA Baseline]]="Nominal", Table_TRM_Fixtures[[#This Row],[Fixture Watts  (TRM Data)]], Table_TRM_Fixtures[[#This Row],[Modified Baseline Fixture Watts]])</f>
        <v>18</v>
      </c>
    </row>
    <row r="667" spans="1:27" x14ac:dyDescent="0.2">
      <c r="A667" t="s">
        <v>5195</v>
      </c>
      <c r="B667" t="s">
        <v>5196</v>
      </c>
      <c r="C667" t="s">
        <v>5197</v>
      </c>
      <c r="D667" t="s">
        <v>5198</v>
      </c>
      <c r="E667" t="s">
        <v>187</v>
      </c>
      <c r="F667">
        <v>1</v>
      </c>
      <c r="G667">
        <v>23</v>
      </c>
      <c r="H667">
        <v>23</v>
      </c>
      <c r="I667" t="s">
        <v>186</v>
      </c>
      <c r="J667" s="110">
        <v>665</v>
      </c>
      <c r="K667" t="s">
        <v>2893</v>
      </c>
      <c r="L667">
        <f>IF(Table_TRM_Fixtures[[#This Row],[Technology]]="LED", Table_TRM_Fixtures[[#This Row],[Fixture Watts  (TRM Data)]], Table_TRM_Fixtures[[#This Row],[Lamp Watts  (TRM Data)]])</f>
        <v>23</v>
      </c>
      <c r="M667">
        <f>Table_TRM_Fixtures[[#This Row],[No. of Lamps  (TRM Data)]]</f>
        <v>1</v>
      </c>
      <c r="N667" t="s">
        <v>186</v>
      </c>
      <c r="O667" t="s">
        <v>186</v>
      </c>
      <c r="R667" t="s">
        <v>2893</v>
      </c>
      <c r="S667" t="str">
        <f>Table_TRM_Fixtures[[#This Row],[Description  (TRM Data)]]</f>
        <v>Compact Fluorescent, Multi, GU24 with Integrated Ballast, (1) 23W lamp</v>
      </c>
      <c r="T667" t="str">
        <f>Table_TRM_Fixtures[[#This Row],[Fixture code  (TRM Data)]]</f>
        <v>CFG23/1-L</v>
      </c>
      <c r="U667" t="s">
        <v>2882</v>
      </c>
      <c r="V667" t="s">
        <v>186</v>
      </c>
      <c r="W667" t="s">
        <v>3120</v>
      </c>
      <c r="X667" t="s">
        <v>186</v>
      </c>
      <c r="Y667" t="s">
        <v>4815</v>
      </c>
      <c r="Z667" t="s">
        <v>4815</v>
      </c>
      <c r="AA667">
        <f>IF(Table_TRM_Fixtures[[#This Row],[Pre-EISA Baseline]]="Nominal", Table_TRM_Fixtures[[#This Row],[Fixture Watts  (TRM Data)]], Table_TRM_Fixtures[[#This Row],[Modified Baseline Fixture Watts]])</f>
        <v>23</v>
      </c>
    </row>
    <row r="668" spans="1:27" x14ac:dyDescent="0.2">
      <c r="A668" t="s">
        <v>5199</v>
      </c>
      <c r="B668" t="s">
        <v>5200</v>
      </c>
      <c r="C668" t="s">
        <v>5201</v>
      </c>
      <c r="D668" t="s">
        <v>5202</v>
      </c>
      <c r="E668" t="s">
        <v>187</v>
      </c>
      <c r="F668">
        <v>1</v>
      </c>
      <c r="G668">
        <v>26</v>
      </c>
      <c r="H668">
        <v>26</v>
      </c>
      <c r="I668" t="s">
        <v>186</v>
      </c>
      <c r="J668" s="110">
        <v>666</v>
      </c>
      <c r="K668" t="s">
        <v>2893</v>
      </c>
      <c r="L668">
        <f>IF(Table_TRM_Fixtures[[#This Row],[Technology]]="LED", Table_TRM_Fixtures[[#This Row],[Fixture Watts  (TRM Data)]], Table_TRM_Fixtures[[#This Row],[Lamp Watts  (TRM Data)]])</f>
        <v>26</v>
      </c>
      <c r="M668">
        <f>Table_TRM_Fixtures[[#This Row],[No. of Lamps  (TRM Data)]]</f>
        <v>1</v>
      </c>
      <c r="N668" t="s">
        <v>186</v>
      </c>
      <c r="O668" t="s">
        <v>186</v>
      </c>
      <c r="R668" t="s">
        <v>2893</v>
      </c>
      <c r="S668" t="str">
        <f>Table_TRM_Fixtures[[#This Row],[Description  (TRM Data)]]</f>
        <v>Compact Fluorescent, Multi, GU24 with Integrated Ballast, (1) 26W lamp</v>
      </c>
      <c r="T668" t="str">
        <f>Table_TRM_Fixtures[[#This Row],[Fixture code  (TRM Data)]]</f>
        <v>CFG26/1-L</v>
      </c>
      <c r="U668" t="s">
        <v>2882</v>
      </c>
      <c r="V668" t="s">
        <v>186</v>
      </c>
      <c r="W668" t="s">
        <v>3120</v>
      </c>
      <c r="X668" t="s">
        <v>186</v>
      </c>
      <c r="Y668" t="s">
        <v>4815</v>
      </c>
      <c r="Z668" t="s">
        <v>4815</v>
      </c>
      <c r="AA668">
        <f>IF(Table_TRM_Fixtures[[#This Row],[Pre-EISA Baseline]]="Nominal", Table_TRM_Fixtures[[#This Row],[Fixture Watts  (TRM Data)]], Table_TRM_Fixtures[[#This Row],[Modified Baseline Fixture Watts]])</f>
        <v>26</v>
      </c>
    </row>
    <row r="669" spans="1:27" x14ac:dyDescent="0.2">
      <c r="A669" t="s">
        <v>5203</v>
      </c>
      <c r="B669" t="s">
        <v>5204</v>
      </c>
      <c r="C669" t="s">
        <v>5205</v>
      </c>
      <c r="D669" t="s">
        <v>5206</v>
      </c>
      <c r="E669" t="s">
        <v>187</v>
      </c>
      <c r="F669">
        <v>1</v>
      </c>
      <c r="G669">
        <v>32</v>
      </c>
      <c r="H669">
        <v>32</v>
      </c>
      <c r="I669" t="s">
        <v>186</v>
      </c>
      <c r="J669" s="110">
        <v>667</v>
      </c>
      <c r="K669" t="s">
        <v>2893</v>
      </c>
      <c r="L669">
        <f>IF(Table_TRM_Fixtures[[#This Row],[Technology]]="LED", Table_TRM_Fixtures[[#This Row],[Fixture Watts  (TRM Data)]], Table_TRM_Fixtures[[#This Row],[Lamp Watts  (TRM Data)]])</f>
        <v>32</v>
      </c>
      <c r="M669">
        <f>Table_TRM_Fixtures[[#This Row],[No. of Lamps  (TRM Data)]]</f>
        <v>1</v>
      </c>
      <c r="N669" t="s">
        <v>186</v>
      </c>
      <c r="O669" t="s">
        <v>186</v>
      </c>
      <c r="R669" t="s">
        <v>2893</v>
      </c>
      <c r="S669" t="str">
        <f>Table_TRM_Fixtures[[#This Row],[Description  (TRM Data)]]</f>
        <v>Compact Fluorescent, Multi, GU24 with Integrated Ballast, (1) 32W lamp</v>
      </c>
      <c r="T669" t="str">
        <f>Table_TRM_Fixtures[[#This Row],[Fixture code  (TRM Data)]]</f>
        <v>CFG32/1-L</v>
      </c>
      <c r="U669" t="s">
        <v>2882</v>
      </c>
      <c r="V669" t="s">
        <v>186</v>
      </c>
      <c r="W669" t="s">
        <v>3120</v>
      </c>
      <c r="X669" t="s">
        <v>186</v>
      </c>
      <c r="Y669" t="s">
        <v>4815</v>
      </c>
      <c r="Z669" t="s">
        <v>4815</v>
      </c>
      <c r="AA669">
        <f>IF(Table_TRM_Fixtures[[#This Row],[Pre-EISA Baseline]]="Nominal", Table_TRM_Fixtures[[#This Row],[Fixture Watts  (TRM Data)]], Table_TRM_Fixtures[[#This Row],[Modified Baseline Fixture Watts]])</f>
        <v>32</v>
      </c>
    </row>
    <row r="670" spans="1:27" x14ac:dyDescent="0.2">
      <c r="A670" t="s">
        <v>5207</v>
      </c>
      <c r="B670" t="s">
        <v>5208</v>
      </c>
      <c r="C670" t="s">
        <v>5209</v>
      </c>
      <c r="D670" t="s">
        <v>5210</v>
      </c>
      <c r="E670" t="s">
        <v>187</v>
      </c>
      <c r="F670">
        <v>1</v>
      </c>
      <c r="G670">
        <v>42</v>
      </c>
      <c r="H670">
        <v>42</v>
      </c>
      <c r="I670" t="s">
        <v>186</v>
      </c>
      <c r="J670" s="110">
        <v>668</v>
      </c>
      <c r="K670" t="s">
        <v>2893</v>
      </c>
      <c r="L670">
        <f>IF(Table_TRM_Fixtures[[#This Row],[Technology]]="LED", Table_TRM_Fixtures[[#This Row],[Fixture Watts  (TRM Data)]], Table_TRM_Fixtures[[#This Row],[Lamp Watts  (TRM Data)]])</f>
        <v>42</v>
      </c>
      <c r="M670">
        <f>Table_TRM_Fixtures[[#This Row],[No. of Lamps  (TRM Data)]]</f>
        <v>1</v>
      </c>
      <c r="N670" t="s">
        <v>186</v>
      </c>
      <c r="O670" t="s">
        <v>186</v>
      </c>
      <c r="R670" t="s">
        <v>2893</v>
      </c>
      <c r="S670" t="str">
        <f>Table_TRM_Fixtures[[#This Row],[Description  (TRM Data)]]</f>
        <v>Compact Fluorescent, Multi, GU24 with Integrated Ballast, (1) 42W lamp</v>
      </c>
      <c r="T670" t="str">
        <f>Table_TRM_Fixtures[[#This Row],[Fixture code  (TRM Data)]]</f>
        <v>CFG42/1-L</v>
      </c>
      <c r="U670" t="s">
        <v>2882</v>
      </c>
      <c r="V670" t="s">
        <v>186</v>
      </c>
      <c r="W670" t="s">
        <v>3120</v>
      </c>
      <c r="X670" t="s">
        <v>186</v>
      </c>
      <c r="Y670" t="s">
        <v>4815</v>
      </c>
      <c r="Z670" t="s">
        <v>4815</v>
      </c>
      <c r="AA670">
        <f>IF(Table_TRM_Fixtures[[#This Row],[Pre-EISA Baseline]]="Nominal", Table_TRM_Fixtures[[#This Row],[Fixture Watts  (TRM Data)]], Table_TRM_Fixtures[[#This Row],[Modified Baseline Fixture Watts]])</f>
        <v>42</v>
      </c>
    </row>
    <row r="671" spans="1:27" x14ac:dyDescent="0.2">
      <c r="A671" t="s">
        <v>5211</v>
      </c>
      <c r="B671" t="s">
        <v>5212</v>
      </c>
      <c r="C671" t="s">
        <v>5213</v>
      </c>
      <c r="D671" t="s">
        <v>5214</v>
      </c>
      <c r="E671" t="s">
        <v>187</v>
      </c>
      <c r="F671">
        <v>1</v>
      </c>
      <c r="G671">
        <v>13</v>
      </c>
      <c r="H671">
        <v>16</v>
      </c>
      <c r="I671" t="s">
        <v>186</v>
      </c>
      <c r="J671" s="110">
        <v>669</v>
      </c>
      <c r="K671" t="s">
        <v>2893</v>
      </c>
      <c r="L671">
        <f>IF(Table_TRM_Fixtures[[#This Row],[Technology]]="LED", Table_TRM_Fixtures[[#This Row],[Fixture Watts  (TRM Data)]], Table_TRM_Fixtures[[#This Row],[Lamp Watts  (TRM Data)]])</f>
        <v>13</v>
      </c>
      <c r="M671">
        <f>Table_TRM_Fixtures[[#This Row],[No. of Lamps  (TRM Data)]]</f>
        <v>1</v>
      </c>
      <c r="N671" t="s">
        <v>186</v>
      </c>
      <c r="O671" t="s">
        <v>186</v>
      </c>
      <c r="R671" t="s">
        <v>2893</v>
      </c>
      <c r="S671" t="str">
        <f>Table_TRM_Fixtures[[#This Row],[Description  (TRM Data)]]</f>
        <v>Compact Fluorescent, Multi, 4-pin, (1) 13W lamp</v>
      </c>
      <c r="T671" t="str">
        <f>Table_TRM_Fixtures[[#This Row],[Fixture code  (TRM Data)]]</f>
        <v>CFM13/1-L</v>
      </c>
      <c r="U671" t="s">
        <v>2882</v>
      </c>
      <c r="V671" t="s">
        <v>186</v>
      </c>
      <c r="W671" t="s">
        <v>3120</v>
      </c>
      <c r="X671" t="s">
        <v>186</v>
      </c>
      <c r="Y671" t="s">
        <v>4815</v>
      </c>
      <c r="Z671" t="s">
        <v>4815</v>
      </c>
      <c r="AA671">
        <f>IF(Table_TRM_Fixtures[[#This Row],[Pre-EISA Baseline]]="Nominal", Table_TRM_Fixtures[[#This Row],[Fixture Watts  (TRM Data)]], Table_TRM_Fixtures[[#This Row],[Modified Baseline Fixture Watts]])</f>
        <v>16</v>
      </c>
    </row>
    <row r="672" spans="1:27" x14ac:dyDescent="0.2">
      <c r="A672" t="s">
        <v>5215</v>
      </c>
      <c r="B672" t="s">
        <v>5212</v>
      </c>
      <c r="C672" t="s">
        <v>5216</v>
      </c>
      <c r="D672" t="s">
        <v>5217</v>
      </c>
      <c r="E672" t="s">
        <v>187</v>
      </c>
      <c r="F672">
        <v>2</v>
      </c>
      <c r="G672">
        <v>13</v>
      </c>
      <c r="H672">
        <v>30</v>
      </c>
      <c r="I672" t="s">
        <v>186</v>
      </c>
      <c r="J672" s="110">
        <v>670</v>
      </c>
      <c r="K672" t="s">
        <v>2893</v>
      </c>
      <c r="L672">
        <f>IF(Table_TRM_Fixtures[[#This Row],[Technology]]="LED", Table_TRM_Fixtures[[#This Row],[Fixture Watts  (TRM Data)]], Table_TRM_Fixtures[[#This Row],[Lamp Watts  (TRM Data)]])</f>
        <v>13</v>
      </c>
      <c r="M672">
        <f>Table_TRM_Fixtures[[#This Row],[No. of Lamps  (TRM Data)]]</f>
        <v>2</v>
      </c>
      <c r="N672" t="s">
        <v>186</v>
      </c>
      <c r="O672" t="s">
        <v>186</v>
      </c>
      <c r="R672" t="s">
        <v>2893</v>
      </c>
      <c r="S672" t="str">
        <f>Table_TRM_Fixtures[[#This Row],[Description  (TRM Data)]]</f>
        <v>Compact Fluorescent, Multi, 4-pin, (2) 13W lamps</v>
      </c>
      <c r="T672" t="str">
        <f>Table_TRM_Fixtures[[#This Row],[Fixture code  (TRM Data)]]</f>
        <v>CFM13/2-L</v>
      </c>
      <c r="U672" t="s">
        <v>2882</v>
      </c>
      <c r="V672" t="s">
        <v>186</v>
      </c>
      <c r="W672" t="s">
        <v>3120</v>
      </c>
      <c r="X672" t="s">
        <v>186</v>
      </c>
      <c r="Y672" t="s">
        <v>4815</v>
      </c>
      <c r="Z672" t="s">
        <v>4815</v>
      </c>
      <c r="AA672">
        <f>IF(Table_TRM_Fixtures[[#This Row],[Pre-EISA Baseline]]="Nominal", Table_TRM_Fixtures[[#This Row],[Fixture Watts  (TRM Data)]], Table_TRM_Fixtures[[#This Row],[Modified Baseline Fixture Watts]])</f>
        <v>30</v>
      </c>
    </row>
    <row r="673" spans="1:27" x14ac:dyDescent="0.2">
      <c r="A673" t="s">
        <v>5218</v>
      </c>
      <c r="B673" t="s">
        <v>5219</v>
      </c>
      <c r="C673" t="s">
        <v>5220</v>
      </c>
      <c r="D673" t="s">
        <v>5221</v>
      </c>
      <c r="E673" t="s">
        <v>187</v>
      </c>
      <c r="F673">
        <v>1</v>
      </c>
      <c r="G673">
        <v>15</v>
      </c>
      <c r="H673">
        <v>18</v>
      </c>
      <c r="I673" t="s">
        <v>186</v>
      </c>
      <c r="J673" s="110">
        <v>671</v>
      </c>
      <c r="K673" t="s">
        <v>2893</v>
      </c>
      <c r="L673">
        <f>IF(Table_TRM_Fixtures[[#This Row],[Technology]]="LED", Table_TRM_Fixtures[[#This Row],[Fixture Watts  (TRM Data)]], Table_TRM_Fixtures[[#This Row],[Lamp Watts  (TRM Data)]])</f>
        <v>15</v>
      </c>
      <c r="M673">
        <f>Table_TRM_Fixtures[[#This Row],[No. of Lamps  (TRM Data)]]</f>
        <v>1</v>
      </c>
      <c r="N673" t="s">
        <v>186</v>
      </c>
      <c r="O673" t="s">
        <v>186</v>
      </c>
      <c r="R673" t="s">
        <v>2893</v>
      </c>
      <c r="S673" t="str">
        <f>Table_TRM_Fixtures[[#This Row],[Description  (TRM Data)]]</f>
        <v>Compact Fluorescent, Multi, 4-pin, (1) 15W lamp</v>
      </c>
      <c r="T673" t="str">
        <f>Table_TRM_Fixtures[[#This Row],[Fixture code  (TRM Data)]]</f>
        <v>CFM15/1-L</v>
      </c>
      <c r="U673" t="s">
        <v>2882</v>
      </c>
      <c r="V673" t="s">
        <v>186</v>
      </c>
      <c r="W673" t="s">
        <v>3120</v>
      </c>
      <c r="X673" t="s">
        <v>186</v>
      </c>
      <c r="Y673" t="s">
        <v>4815</v>
      </c>
      <c r="Z673" t="s">
        <v>4815</v>
      </c>
      <c r="AA673">
        <f>IF(Table_TRM_Fixtures[[#This Row],[Pre-EISA Baseline]]="Nominal", Table_TRM_Fixtures[[#This Row],[Fixture Watts  (TRM Data)]], Table_TRM_Fixtures[[#This Row],[Modified Baseline Fixture Watts]])</f>
        <v>18</v>
      </c>
    </row>
    <row r="674" spans="1:27" x14ac:dyDescent="0.2">
      <c r="A674" t="s">
        <v>5222</v>
      </c>
      <c r="B674" t="s">
        <v>5223</v>
      </c>
      <c r="C674" t="s">
        <v>5224</v>
      </c>
      <c r="D674" t="s">
        <v>5225</v>
      </c>
      <c r="E674" t="s">
        <v>187</v>
      </c>
      <c r="F674">
        <v>1</v>
      </c>
      <c r="G674">
        <v>18</v>
      </c>
      <c r="H674">
        <v>20</v>
      </c>
      <c r="I674" t="s">
        <v>186</v>
      </c>
      <c r="J674" s="110">
        <v>672</v>
      </c>
      <c r="K674" t="s">
        <v>2893</v>
      </c>
      <c r="L674">
        <f>IF(Table_TRM_Fixtures[[#This Row],[Technology]]="LED", Table_TRM_Fixtures[[#This Row],[Fixture Watts  (TRM Data)]], Table_TRM_Fixtures[[#This Row],[Lamp Watts  (TRM Data)]])</f>
        <v>18</v>
      </c>
      <c r="M674">
        <f>Table_TRM_Fixtures[[#This Row],[No. of Lamps  (TRM Data)]]</f>
        <v>1</v>
      </c>
      <c r="N674" t="s">
        <v>186</v>
      </c>
      <c r="O674" t="s">
        <v>186</v>
      </c>
      <c r="R674" t="s">
        <v>2893</v>
      </c>
      <c r="S674" t="str">
        <f>Table_TRM_Fixtures[[#This Row],[Description  (TRM Data)]]</f>
        <v>Compact Fluorescent, Multi, 4-pin, (1) 18W lamp</v>
      </c>
      <c r="T674" t="str">
        <f>Table_TRM_Fixtures[[#This Row],[Fixture code  (TRM Data)]]</f>
        <v>CFM18/1-L</v>
      </c>
      <c r="U674" t="s">
        <v>2882</v>
      </c>
      <c r="V674" t="s">
        <v>186</v>
      </c>
      <c r="W674" t="s">
        <v>3120</v>
      </c>
      <c r="X674" t="s">
        <v>186</v>
      </c>
      <c r="Y674" t="s">
        <v>4815</v>
      </c>
      <c r="Z674" t="s">
        <v>4815</v>
      </c>
      <c r="AA674">
        <f>IF(Table_TRM_Fixtures[[#This Row],[Pre-EISA Baseline]]="Nominal", Table_TRM_Fixtures[[#This Row],[Fixture Watts  (TRM Data)]], Table_TRM_Fixtures[[#This Row],[Modified Baseline Fixture Watts]])</f>
        <v>20</v>
      </c>
    </row>
    <row r="675" spans="1:27" x14ac:dyDescent="0.2">
      <c r="A675" t="s">
        <v>5226</v>
      </c>
      <c r="B675" t="s">
        <v>5223</v>
      </c>
      <c r="C675" t="s">
        <v>5227</v>
      </c>
      <c r="D675" t="s">
        <v>5228</v>
      </c>
      <c r="E675" t="s">
        <v>187</v>
      </c>
      <c r="F675">
        <v>2</v>
      </c>
      <c r="G675">
        <v>18</v>
      </c>
      <c r="H675">
        <v>40</v>
      </c>
      <c r="I675" t="s">
        <v>186</v>
      </c>
      <c r="J675" s="110">
        <v>673</v>
      </c>
      <c r="K675" t="s">
        <v>2893</v>
      </c>
      <c r="L675">
        <f>IF(Table_TRM_Fixtures[[#This Row],[Technology]]="LED", Table_TRM_Fixtures[[#This Row],[Fixture Watts  (TRM Data)]], Table_TRM_Fixtures[[#This Row],[Lamp Watts  (TRM Data)]])</f>
        <v>18</v>
      </c>
      <c r="M675">
        <f>Table_TRM_Fixtures[[#This Row],[No. of Lamps  (TRM Data)]]</f>
        <v>2</v>
      </c>
      <c r="N675" t="s">
        <v>186</v>
      </c>
      <c r="O675" t="s">
        <v>186</v>
      </c>
      <c r="R675" t="s">
        <v>2893</v>
      </c>
      <c r="S675" t="str">
        <f>Table_TRM_Fixtures[[#This Row],[Description  (TRM Data)]]</f>
        <v>Compact Fluorescent, Multi, 4-pin, (2) 18W lamps</v>
      </c>
      <c r="T675" t="str">
        <f>Table_TRM_Fixtures[[#This Row],[Fixture code  (TRM Data)]]</f>
        <v>CFM18/2-L</v>
      </c>
      <c r="U675" t="s">
        <v>2882</v>
      </c>
      <c r="V675" t="s">
        <v>186</v>
      </c>
      <c r="W675" t="s">
        <v>3120</v>
      </c>
      <c r="X675" t="s">
        <v>186</v>
      </c>
      <c r="Y675" t="s">
        <v>4815</v>
      </c>
      <c r="Z675" t="s">
        <v>4815</v>
      </c>
      <c r="AA675">
        <f>IF(Table_TRM_Fixtures[[#This Row],[Pre-EISA Baseline]]="Nominal", Table_TRM_Fixtures[[#This Row],[Fixture Watts  (TRM Data)]], Table_TRM_Fixtures[[#This Row],[Modified Baseline Fixture Watts]])</f>
        <v>40</v>
      </c>
    </row>
    <row r="676" spans="1:27" x14ac:dyDescent="0.2">
      <c r="A676" t="s">
        <v>5229</v>
      </c>
      <c r="B676" t="s">
        <v>5230</v>
      </c>
      <c r="C676" t="s">
        <v>5231</v>
      </c>
      <c r="D676" t="s">
        <v>5232</v>
      </c>
      <c r="E676" t="s">
        <v>187</v>
      </c>
      <c r="F676">
        <v>1</v>
      </c>
      <c r="G676">
        <v>21</v>
      </c>
      <c r="H676">
        <v>23</v>
      </c>
      <c r="I676" t="s">
        <v>186</v>
      </c>
      <c r="J676" s="110">
        <v>674</v>
      </c>
      <c r="K676" t="s">
        <v>2893</v>
      </c>
      <c r="L676">
        <f>IF(Table_TRM_Fixtures[[#This Row],[Technology]]="LED", Table_TRM_Fixtures[[#This Row],[Fixture Watts  (TRM Data)]], Table_TRM_Fixtures[[#This Row],[Lamp Watts  (TRM Data)]])</f>
        <v>21</v>
      </c>
      <c r="M676">
        <f>Table_TRM_Fixtures[[#This Row],[No. of Lamps  (TRM Data)]]</f>
        <v>1</v>
      </c>
      <c r="N676" t="s">
        <v>186</v>
      </c>
      <c r="O676" t="s">
        <v>186</v>
      </c>
      <c r="R676" t="s">
        <v>2893</v>
      </c>
      <c r="S676" t="str">
        <f>Table_TRM_Fixtures[[#This Row],[Description  (TRM Data)]]</f>
        <v>Compact Fluorescent, Multi, 4-pin, (1) 21W lamp</v>
      </c>
      <c r="T676" t="str">
        <f>Table_TRM_Fixtures[[#This Row],[Fixture code  (TRM Data)]]</f>
        <v>CFM21/1-L</v>
      </c>
      <c r="U676" t="s">
        <v>2882</v>
      </c>
      <c r="V676" t="s">
        <v>186</v>
      </c>
      <c r="W676" t="s">
        <v>3120</v>
      </c>
      <c r="X676" t="s">
        <v>186</v>
      </c>
      <c r="Y676" t="s">
        <v>4815</v>
      </c>
      <c r="Z676" t="s">
        <v>4815</v>
      </c>
      <c r="AA676">
        <f>IF(Table_TRM_Fixtures[[#This Row],[Pre-EISA Baseline]]="Nominal", Table_TRM_Fixtures[[#This Row],[Fixture Watts  (TRM Data)]], Table_TRM_Fixtures[[#This Row],[Modified Baseline Fixture Watts]])</f>
        <v>23</v>
      </c>
    </row>
    <row r="677" spans="1:27" x14ac:dyDescent="0.2">
      <c r="A677" t="s">
        <v>5233</v>
      </c>
      <c r="B677" t="s">
        <v>5234</v>
      </c>
      <c r="C677" t="s">
        <v>5235</v>
      </c>
      <c r="D677" t="s">
        <v>5236</v>
      </c>
      <c r="E677" t="s">
        <v>187</v>
      </c>
      <c r="F677">
        <v>1</v>
      </c>
      <c r="G677">
        <v>26</v>
      </c>
      <c r="H677">
        <v>29</v>
      </c>
      <c r="I677" t="s">
        <v>186</v>
      </c>
      <c r="J677" s="110">
        <v>675</v>
      </c>
      <c r="K677" t="s">
        <v>2893</v>
      </c>
      <c r="L677">
        <f>IF(Table_TRM_Fixtures[[#This Row],[Technology]]="LED", Table_TRM_Fixtures[[#This Row],[Fixture Watts  (TRM Data)]], Table_TRM_Fixtures[[#This Row],[Lamp Watts  (TRM Data)]])</f>
        <v>26</v>
      </c>
      <c r="M677">
        <f>Table_TRM_Fixtures[[#This Row],[No. of Lamps  (TRM Data)]]</f>
        <v>1</v>
      </c>
      <c r="N677" t="s">
        <v>186</v>
      </c>
      <c r="O677" t="s">
        <v>186</v>
      </c>
      <c r="R677" t="s">
        <v>2893</v>
      </c>
      <c r="S677" t="str">
        <f>Table_TRM_Fixtures[[#This Row],[Description  (TRM Data)]]</f>
        <v>Compact Fluorescent, Multi, 4-pin, (1) 26W lamp</v>
      </c>
      <c r="T677" t="str">
        <f>Table_TRM_Fixtures[[#This Row],[Fixture code  (TRM Data)]]</f>
        <v>CFM26/1-L</v>
      </c>
      <c r="U677" t="s">
        <v>2882</v>
      </c>
      <c r="V677" t="s">
        <v>186</v>
      </c>
      <c r="W677" t="s">
        <v>3120</v>
      </c>
      <c r="X677" t="s">
        <v>186</v>
      </c>
      <c r="Y677" t="s">
        <v>4815</v>
      </c>
      <c r="Z677" t="s">
        <v>4815</v>
      </c>
      <c r="AA677">
        <f>IF(Table_TRM_Fixtures[[#This Row],[Pre-EISA Baseline]]="Nominal", Table_TRM_Fixtures[[#This Row],[Fixture Watts  (TRM Data)]], Table_TRM_Fixtures[[#This Row],[Modified Baseline Fixture Watts]])</f>
        <v>29</v>
      </c>
    </row>
    <row r="678" spans="1:27" x14ac:dyDescent="0.2">
      <c r="A678" t="s">
        <v>5237</v>
      </c>
      <c r="B678" t="s">
        <v>5234</v>
      </c>
      <c r="C678" t="s">
        <v>5238</v>
      </c>
      <c r="D678" t="s">
        <v>5239</v>
      </c>
      <c r="E678" t="s">
        <v>187</v>
      </c>
      <c r="F678">
        <v>2</v>
      </c>
      <c r="G678">
        <v>26</v>
      </c>
      <c r="H678">
        <v>51</v>
      </c>
      <c r="I678" t="s">
        <v>186</v>
      </c>
      <c r="J678" s="110">
        <v>676</v>
      </c>
      <c r="K678" t="s">
        <v>2893</v>
      </c>
      <c r="L678">
        <f>IF(Table_TRM_Fixtures[[#This Row],[Technology]]="LED", Table_TRM_Fixtures[[#This Row],[Fixture Watts  (TRM Data)]], Table_TRM_Fixtures[[#This Row],[Lamp Watts  (TRM Data)]])</f>
        <v>26</v>
      </c>
      <c r="M678">
        <f>Table_TRM_Fixtures[[#This Row],[No. of Lamps  (TRM Data)]]</f>
        <v>2</v>
      </c>
      <c r="N678" t="s">
        <v>186</v>
      </c>
      <c r="O678" t="s">
        <v>186</v>
      </c>
      <c r="R678" t="s">
        <v>2893</v>
      </c>
      <c r="S678" t="str">
        <f>Table_TRM_Fixtures[[#This Row],[Description  (TRM Data)]]</f>
        <v>Compact Fluorescent, Multi, 4-pin, (2) 26W lamps</v>
      </c>
      <c r="T678" t="str">
        <f>Table_TRM_Fixtures[[#This Row],[Fixture code  (TRM Data)]]</f>
        <v>CFM26/2-L</v>
      </c>
      <c r="U678" t="s">
        <v>2882</v>
      </c>
      <c r="V678" t="s">
        <v>186</v>
      </c>
      <c r="W678" t="s">
        <v>3120</v>
      </c>
      <c r="X678" t="s">
        <v>186</v>
      </c>
      <c r="Y678" t="s">
        <v>4815</v>
      </c>
      <c r="Z678" t="s">
        <v>4815</v>
      </c>
      <c r="AA678">
        <f>IF(Table_TRM_Fixtures[[#This Row],[Pre-EISA Baseline]]="Nominal", Table_TRM_Fixtures[[#This Row],[Fixture Watts  (TRM Data)]], Table_TRM_Fixtures[[#This Row],[Modified Baseline Fixture Watts]])</f>
        <v>51</v>
      </c>
    </row>
    <row r="679" spans="1:27" x14ac:dyDescent="0.2">
      <c r="A679" t="s">
        <v>5240</v>
      </c>
      <c r="B679" t="s">
        <v>5241</v>
      </c>
      <c r="C679" t="s">
        <v>5242</v>
      </c>
      <c r="D679" t="s">
        <v>5243</v>
      </c>
      <c r="E679" t="s">
        <v>187</v>
      </c>
      <c r="F679">
        <v>1</v>
      </c>
      <c r="G679">
        <v>28</v>
      </c>
      <c r="H679">
        <v>31</v>
      </c>
      <c r="I679" t="s">
        <v>186</v>
      </c>
      <c r="J679" s="110">
        <v>677</v>
      </c>
      <c r="K679" t="s">
        <v>2893</v>
      </c>
      <c r="L679">
        <f>IF(Table_TRM_Fixtures[[#This Row],[Technology]]="LED", Table_TRM_Fixtures[[#This Row],[Fixture Watts  (TRM Data)]], Table_TRM_Fixtures[[#This Row],[Lamp Watts  (TRM Data)]])</f>
        <v>28</v>
      </c>
      <c r="M679">
        <f>Table_TRM_Fixtures[[#This Row],[No. of Lamps  (TRM Data)]]</f>
        <v>1</v>
      </c>
      <c r="N679" t="s">
        <v>186</v>
      </c>
      <c r="O679" t="s">
        <v>186</v>
      </c>
      <c r="R679" t="s">
        <v>2893</v>
      </c>
      <c r="S679" t="str">
        <f>Table_TRM_Fixtures[[#This Row],[Description  (TRM Data)]]</f>
        <v>Compact Fluorescent, Multi, 4-pin, (1) 28W lamp</v>
      </c>
      <c r="T679" t="str">
        <f>Table_TRM_Fixtures[[#This Row],[Fixture code  (TRM Data)]]</f>
        <v>CFM28/1-L</v>
      </c>
      <c r="U679" t="s">
        <v>2882</v>
      </c>
      <c r="V679" t="s">
        <v>186</v>
      </c>
      <c r="W679" t="s">
        <v>3120</v>
      </c>
      <c r="X679" t="s">
        <v>186</v>
      </c>
      <c r="Y679" t="s">
        <v>4815</v>
      </c>
      <c r="Z679" t="s">
        <v>4815</v>
      </c>
      <c r="AA679">
        <f>IF(Table_TRM_Fixtures[[#This Row],[Pre-EISA Baseline]]="Nominal", Table_TRM_Fixtures[[#This Row],[Fixture Watts  (TRM Data)]], Table_TRM_Fixtures[[#This Row],[Modified Baseline Fixture Watts]])</f>
        <v>31</v>
      </c>
    </row>
    <row r="680" spans="1:27" x14ac:dyDescent="0.2">
      <c r="A680" t="s">
        <v>5244</v>
      </c>
      <c r="B680" t="s">
        <v>5245</v>
      </c>
      <c r="C680" t="s">
        <v>5246</v>
      </c>
      <c r="D680" t="s">
        <v>5247</v>
      </c>
      <c r="E680" t="s">
        <v>187</v>
      </c>
      <c r="F680">
        <v>1</v>
      </c>
      <c r="G680">
        <v>32</v>
      </c>
      <c r="H680">
        <v>35</v>
      </c>
      <c r="I680" t="s">
        <v>186</v>
      </c>
      <c r="J680" s="110">
        <v>678</v>
      </c>
      <c r="K680" t="s">
        <v>2893</v>
      </c>
      <c r="L680">
        <f>IF(Table_TRM_Fixtures[[#This Row],[Technology]]="LED", Table_TRM_Fixtures[[#This Row],[Fixture Watts  (TRM Data)]], Table_TRM_Fixtures[[#This Row],[Lamp Watts  (TRM Data)]])</f>
        <v>32</v>
      </c>
      <c r="M680">
        <f>Table_TRM_Fixtures[[#This Row],[No. of Lamps  (TRM Data)]]</f>
        <v>1</v>
      </c>
      <c r="N680" t="s">
        <v>186</v>
      </c>
      <c r="O680" t="s">
        <v>186</v>
      </c>
      <c r="R680" t="s">
        <v>2893</v>
      </c>
      <c r="S680" t="str">
        <f>Table_TRM_Fixtures[[#This Row],[Description  (TRM Data)]]</f>
        <v>Compact Fluorescent, Multi, 4-pin, (1) 32W lamp</v>
      </c>
      <c r="T680" t="str">
        <f>Table_TRM_Fixtures[[#This Row],[Fixture code  (TRM Data)]]</f>
        <v>CFM32/1-L</v>
      </c>
      <c r="U680" t="s">
        <v>2882</v>
      </c>
      <c r="V680" t="s">
        <v>186</v>
      </c>
      <c r="W680" t="s">
        <v>3120</v>
      </c>
      <c r="X680" t="s">
        <v>186</v>
      </c>
      <c r="Y680" t="s">
        <v>4815</v>
      </c>
      <c r="Z680" t="s">
        <v>4815</v>
      </c>
      <c r="AA680">
        <f>IF(Table_TRM_Fixtures[[#This Row],[Pre-EISA Baseline]]="Nominal", Table_TRM_Fixtures[[#This Row],[Fixture Watts  (TRM Data)]], Table_TRM_Fixtures[[#This Row],[Modified Baseline Fixture Watts]])</f>
        <v>35</v>
      </c>
    </row>
    <row r="681" spans="1:27" x14ac:dyDescent="0.2">
      <c r="A681" t="s">
        <v>5248</v>
      </c>
      <c r="B681" t="s">
        <v>5249</v>
      </c>
      <c r="C681" t="s">
        <v>5250</v>
      </c>
      <c r="D681" t="s">
        <v>5251</v>
      </c>
      <c r="E681" t="s">
        <v>187</v>
      </c>
      <c r="F681">
        <v>1</v>
      </c>
      <c r="G681">
        <v>42</v>
      </c>
      <c r="H681">
        <v>46</v>
      </c>
      <c r="I681" t="s">
        <v>186</v>
      </c>
      <c r="J681" s="110">
        <v>679</v>
      </c>
      <c r="K681" t="s">
        <v>2893</v>
      </c>
      <c r="L681">
        <f>IF(Table_TRM_Fixtures[[#This Row],[Technology]]="LED", Table_TRM_Fixtures[[#This Row],[Fixture Watts  (TRM Data)]], Table_TRM_Fixtures[[#This Row],[Lamp Watts  (TRM Data)]])</f>
        <v>42</v>
      </c>
      <c r="M681">
        <f>Table_TRM_Fixtures[[#This Row],[No. of Lamps  (TRM Data)]]</f>
        <v>1</v>
      </c>
      <c r="N681" t="s">
        <v>186</v>
      </c>
      <c r="O681" t="s">
        <v>186</v>
      </c>
      <c r="R681" t="s">
        <v>2893</v>
      </c>
      <c r="S681" t="str">
        <f>Table_TRM_Fixtures[[#This Row],[Description  (TRM Data)]]</f>
        <v>Compact Fluorescent, Multi, 4-pin, (1) 42W lamp</v>
      </c>
      <c r="T681" t="str">
        <f>Table_TRM_Fixtures[[#This Row],[Fixture code  (TRM Data)]]</f>
        <v>CFM42/1-L</v>
      </c>
      <c r="U681" t="s">
        <v>2882</v>
      </c>
      <c r="V681" t="s">
        <v>186</v>
      </c>
      <c r="W681" t="s">
        <v>3120</v>
      </c>
      <c r="X681" t="s">
        <v>186</v>
      </c>
      <c r="Y681" t="s">
        <v>4815</v>
      </c>
      <c r="Z681" t="s">
        <v>4815</v>
      </c>
      <c r="AA681">
        <f>IF(Table_TRM_Fixtures[[#This Row],[Pre-EISA Baseline]]="Nominal", Table_TRM_Fixtures[[#This Row],[Fixture Watts  (TRM Data)]], Table_TRM_Fixtures[[#This Row],[Modified Baseline Fixture Watts]])</f>
        <v>46</v>
      </c>
    </row>
    <row r="682" spans="1:27" x14ac:dyDescent="0.2">
      <c r="A682" t="s">
        <v>5252</v>
      </c>
      <c r="B682" t="s">
        <v>5249</v>
      </c>
      <c r="C682" t="s">
        <v>5253</v>
      </c>
      <c r="D682" t="s">
        <v>5254</v>
      </c>
      <c r="E682" t="s">
        <v>187</v>
      </c>
      <c r="F682">
        <v>2</v>
      </c>
      <c r="G682">
        <v>42</v>
      </c>
      <c r="H682">
        <v>93</v>
      </c>
      <c r="I682" t="s">
        <v>186</v>
      </c>
      <c r="J682" s="110">
        <v>680</v>
      </c>
      <c r="K682" t="s">
        <v>2893</v>
      </c>
      <c r="L682">
        <f>IF(Table_TRM_Fixtures[[#This Row],[Technology]]="LED", Table_TRM_Fixtures[[#This Row],[Fixture Watts  (TRM Data)]], Table_TRM_Fixtures[[#This Row],[Lamp Watts  (TRM Data)]])</f>
        <v>42</v>
      </c>
      <c r="M682">
        <f>Table_TRM_Fixtures[[#This Row],[No. of Lamps  (TRM Data)]]</f>
        <v>2</v>
      </c>
      <c r="N682" t="s">
        <v>186</v>
      </c>
      <c r="O682" t="s">
        <v>186</v>
      </c>
      <c r="R682" t="s">
        <v>2893</v>
      </c>
      <c r="S682" t="str">
        <f>Table_TRM_Fixtures[[#This Row],[Description  (TRM Data)]]</f>
        <v>Compact Fluorescent, Multi, 4-pin, (2) 42W lamps</v>
      </c>
      <c r="T682" t="str">
        <f>Table_TRM_Fixtures[[#This Row],[Fixture code  (TRM Data)]]</f>
        <v>CFM42/2-L</v>
      </c>
      <c r="U682" t="s">
        <v>2882</v>
      </c>
      <c r="V682" t="s">
        <v>186</v>
      </c>
      <c r="W682" t="s">
        <v>3120</v>
      </c>
      <c r="X682" t="s">
        <v>186</v>
      </c>
      <c r="Y682" t="str">
        <f>_xlfn.CONCAT(Table_TRM_Fixtures[[#This Row],[Combined Lighting/Ballast Types]],":",Table_TRM_Fixtures[[#This Row],[No. of Lamps]], ":", Table_TRM_Fixtures[[#This Row],[Lamp Watts  (TRM Data)]])</f>
        <v>CFL:2:42</v>
      </c>
      <c r="Z682"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CFL:2:42</v>
      </c>
      <c r="AA682">
        <f>IF(Table_TRM_Fixtures[[#This Row],[Pre-EISA Baseline]]="Nominal", Table_TRM_Fixtures[[#This Row],[Fixture Watts  (TRM Data)]], Table_TRM_Fixtures[[#This Row],[Modified Baseline Fixture Watts]])</f>
        <v>93</v>
      </c>
    </row>
    <row r="683" spans="1:27" x14ac:dyDescent="0.2">
      <c r="A683" t="s">
        <v>5255</v>
      </c>
      <c r="B683" t="s">
        <v>5249</v>
      </c>
      <c r="C683" t="s">
        <v>5256</v>
      </c>
      <c r="D683" t="s">
        <v>5257</v>
      </c>
      <c r="E683" t="s">
        <v>187</v>
      </c>
      <c r="F683">
        <v>8</v>
      </c>
      <c r="G683">
        <v>42</v>
      </c>
      <c r="H683">
        <v>372</v>
      </c>
      <c r="I683" t="s">
        <v>186</v>
      </c>
      <c r="J683" s="110">
        <v>681</v>
      </c>
      <c r="K683" t="s">
        <v>2893</v>
      </c>
      <c r="L683">
        <f>IF(Table_TRM_Fixtures[[#This Row],[Technology]]="LED", Table_TRM_Fixtures[[#This Row],[Fixture Watts  (TRM Data)]], Table_TRM_Fixtures[[#This Row],[Lamp Watts  (TRM Data)]])</f>
        <v>42</v>
      </c>
      <c r="M683">
        <f>Table_TRM_Fixtures[[#This Row],[No. of Lamps  (TRM Data)]]</f>
        <v>8</v>
      </c>
      <c r="N683" t="s">
        <v>186</v>
      </c>
      <c r="O683" t="s">
        <v>186</v>
      </c>
      <c r="R683" t="s">
        <v>2893</v>
      </c>
      <c r="S683" t="str">
        <f>Table_TRM_Fixtures[[#This Row],[Description  (TRM Data)]]</f>
        <v>Compact Fluorescent, Multi, 4-pin, (8) 42W lamps, (4) 2-lamp ballasts</v>
      </c>
      <c r="T683" t="str">
        <f>Table_TRM_Fixtures[[#This Row],[Fixture code  (TRM Data)]]</f>
        <v>CFM42/8-L</v>
      </c>
      <c r="U683" t="s">
        <v>2882</v>
      </c>
      <c r="V683" t="s">
        <v>186</v>
      </c>
      <c r="W683" t="s">
        <v>3120</v>
      </c>
      <c r="X683" t="s">
        <v>186</v>
      </c>
      <c r="Y683" t="str">
        <f>_xlfn.CONCAT(Table_TRM_Fixtures[[#This Row],[Combined Lighting/Ballast Types]],":",Table_TRM_Fixtures[[#This Row],[No. of Lamps]], ":", Table_TRM_Fixtures[[#This Row],[Lamp Watts  (TRM Data)]])</f>
        <v>CFL:8:42</v>
      </c>
      <c r="Z683"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CFL:8:42</v>
      </c>
      <c r="AA683">
        <f>IF(Table_TRM_Fixtures[[#This Row],[Pre-EISA Baseline]]="Nominal", Table_TRM_Fixtures[[#This Row],[Fixture Watts  (TRM Data)]], Table_TRM_Fixtures[[#This Row],[Modified Baseline Fixture Watts]])</f>
        <v>372</v>
      </c>
    </row>
    <row r="684" spans="1:27" x14ac:dyDescent="0.2">
      <c r="A684" t="s">
        <v>5258</v>
      </c>
      <c r="B684" t="s">
        <v>5259</v>
      </c>
      <c r="C684" t="s">
        <v>5260</v>
      </c>
      <c r="D684" t="s">
        <v>5261</v>
      </c>
      <c r="E684" t="s">
        <v>187</v>
      </c>
      <c r="F684">
        <v>1</v>
      </c>
      <c r="G684">
        <v>57</v>
      </c>
      <c r="H684">
        <v>59</v>
      </c>
      <c r="I684" t="s">
        <v>186</v>
      </c>
      <c r="J684" s="110">
        <v>682</v>
      </c>
      <c r="K684" t="s">
        <v>2893</v>
      </c>
      <c r="L684">
        <f>IF(Table_TRM_Fixtures[[#This Row],[Technology]]="LED", Table_TRM_Fixtures[[#This Row],[Fixture Watts  (TRM Data)]], Table_TRM_Fixtures[[#This Row],[Lamp Watts  (TRM Data)]])</f>
        <v>57</v>
      </c>
      <c r="M684">
        <f>Table_TRM_Fixtures[[#This Row],[No. of Lamps  (TRM Data)]]</f>
        <v>1</v>
      </c>
      <c r="N684" t="s">
        <v>186</v>
      </c>
      <c r="O684" t="s">
        <v>186</v>
      </c>
      <c r="R684" t="s">
        <v>2893</v>
      </c>
      <c r="S684" t="str">
        <f>Table_TRM_Fixtures[[#This Row],[Description  (TRM Data)]]</f>
        <v>Compact Fluorescent, Multi, 4-pin, (1) 57W lamp</v>
      </c>
      <c r="T684" t="str">
        <f>Table_TRM_Fixtures[[#This Row],[Fixture code  (TRM Data)]]</f>
        <v>CFM57/1-L</v>
      </c>
      <c r="U684" t="s">
        <v>2882</v>
      </c>
      <c r="V684" t="s">
        <v>186</v>
      </c>
      <c r="W684" t="s">
        <v>3120</v>
      </c>
      <c r="X684" t="s">
        <v>186</v>
      </c>
      <c r="Y684" t="s">
        <v>4815</v>
      </c>
      <c r="Z684" t="s">
        <v>4815</v>
      </c>
      <c r="AA684">
        <f>IF(Table_TRM_Fixtures[[#This Row],[Pre-EISA Baseline]]="Nominal", Table_TRM_Fixtures[[#This Row],[Fixture Watts  (TRM Data)]], Table_TRM_Fixtures[[#This Row],[Modified Baseline Fixture Watts]])</f>
        <v>59</v>
      </c>
    </row>
    <row r="685" spans="1:27" x14ac:dyDescent="0.2">
      <c r="A685" t="s">
        <v>5262</v>
      </c>
      <c r="B685" t="s">
        <v>5263</v>
      </c>
      <c r="C685" t="s">
        <v>5264</v>
      </c>
      <c r="D685" t="s">
        <v>5265</v>
      </c>
      <c r="E685" t="s">
        <v>187</v>
      </c>
      <c r="F685">
        <v>1</v>
      </c>
      <c r="G685">
        <v>60</v>
      </c>
      <c r="H685">
        <v>70</v>
      </c>
      <c r="I685" t="s">
        <v>186</v>
      </c>
      <c r="J685" s="110">
        <v>683</v>
      </c>
      <c r="K685" t="s">
        <v>2893</v>
      </c>
      <c r="L685">
        <f>IF(Table_TRM_Fixtures[[#This Row],[Technology]]="LED", Table_TRM_Fixtures[[#This Row],[Fixture Watts  (TRM Data)]], Table_TRM_Fixtures[[#This Row],[Lamp Watts  (TRM Data)]])</f>
        <v>60</v>
      </c>
      <c r="M685">
        <f>Table_TRM_Fixtures[[#This Row],[No. of Lamps  (TRM Data)]]</f>
        <v>1</v>
      </c>
      <c r="N685" t="s">
        <v>186</v>
      </c>
      <c r="O685" t="s">
        <v>186</v>
      </c>
      <c r="R685" t="s">
        <v>2893</v>
      </c>
      <c r="S685" t="str">
        <f>Table_TRM_Fixtures[[#This Row],[Description  (TRM Data)]]</f>
        <v>Compact Fluorescent, Multi, 4-pin, (1) 60W lamp</v>
      </c>
      <c r="T685" t="str">
        <f>Table_TRM_Fixtures[[#This Row],[Fixture code  (TRM Data)]]</f>
        <v>CFM60/1-L</v>
      </c>
      <c r="U685" t="s">
        <v>2882</v>
      </c>
      <c r="V685" t="s">
        <v>186</v>
      </c>
      <c r="W685" t="s">
        <v>3120</v>
      </c>
      <c r="X685" t="s">
        <v>186</v>
      </c>
      <c r="Y685" t="s">
        <v>4815</v>
      </c>
      <c r="Z685" t="s">
        <v>4815</v>
      </c>
      <c r="AA685">
        <f>IF(Table_TRM_Fixtures[[#This Row],[Pre-EISA Baseline]]="Nominal", Table_TRM_Fixtures[[#This Row],[Fixture Watts  (TRM Data)]], Table_TRM_Fixtures[[#This Row],[Modified Baseline Fixture Watts]])</f>
        <v>70</v>
      </c>
    </row>
    <row r="686" spans="1:27" x14ac:dyDescent="0.2">
      <c r="A686" t="s">
        <v>5266</v>
      </c>
      <c r="B686" t="s">
        <v>5267</v>
      </c>
      <c r="C686" t="s">
        <v>5268</v>
      </c>
      <c r="D686" t="s">
        <v>5269</v>
      </c>
      <c r="E686" t="s">
        <v>187</v>
      </c>
      <c r="F686">
        <v>1</v>
      </c>
      <c r="G686">
        <v>70</v>
      </c>
      <c r="H686">
        <v>73</v>
      </c>
      <c r="I686" t="s">
        <v>186</v>
      </c>
      <c r="J686" s="110">
        <v>684</v>
      </c>
      <c r="K686" t="s">
        <v>2893</v>
      </c>
      <c r="L686">
        <f>IF(Table_TRM_Fixtures[[#This Row],[Technology]]="LED", Table_TRM_Fixtures[[#This Row],[Fixture Watts  (TRM Data)]], Table_TRM_Fixtures[[#This Row],[Lamp Watts  (TRM Data)]])</f>
        <v>70</v>
      </c>
      <c r="M686">
        <f>Table_TRM_Fixtures[[#This Row],[No. of Lamps  (TRM Data)]]</f>
        <v>1</v>
      </c>
      <c r="N686" t="s">
        <v>186</v>
      </c>
      <c r="O686" t="s">
        <v>186</v>
      </c>
      <c r="R686" t="s">
        <v>2893</v>
      </c>
      <c r="S686" t="str">
        <f>Table_TRM_Fixtures[[#This Row],[Description  (TRM Data)]]</f>
        <v>Compact Fluorescent, Multi, 4-pin, (1) 70W lamp</v>
      </c>
      <c r="T686" t="str">
        <f>Table_TRM_Fixtures[[#This Row],[Fixture code  (TRM Data)]]</f>
        <v>CFM70/1-L</v>
      </c>
      <c r="U686" t="s">
        <v>2882</v>
      </c>
      <c r="V686" t="s">
        <v>186</v>
      </c>
      <c r="W686" t="s">
        <v>3120</v>
      </c>
      <c r="X686" t="s">
        <v>186</v>
      </c>
      <c r="Y686" t="s">
        <v>4815</v>
      </c>
      <c r="Z686" t="s">
        <v>4815</v>
      </c>
      <c r="AA686">
        <f>IF(Table_TRM_Fixtures[[#This Row],[Pre-EISA Baseline]]="Nominal", Table_TRM_Fixtures[[#This Row],[Fixture Watts  (TRM Data)]], Table_TRM_Fixtures[[#This Row],[Modified Baseline Fixture Watts]])</f>
        <v>73</v>
      </c>
    </row>
    <row r="687" spans="1:27" x14ac:dyDescent="0.2">
      <c r="A687" t="s">
        <v>5270</v>
      </c>
      <c r="B687" t="s">
        <v>5271</v>
      </c>
      <c r="C687" t="s">
        <v>5272</v>
      </c>
      <c r="D687" t="s">
        <v>5273</v>
      </c>
      <c r="E687" t="s">
        <v>187</v>
      </c>
      <c r="F687">
        <v>1</v>
      </c>
      <c r="G687">
        <v>85</v>
      </c>
      <c r="H687">
        <v>96</v>
      </c>
      <c r="I687" t="s">
        <v>186</v>
      </c>
      <c r="J687" s="110">
        <v>685</v>
      </c>
      <c r="K687" t="s">
        <v>2893</v>
      </c>
      <c r="L687">
        <f>IF(Table_TRM_Fixtures[[#This Row],[Technology]]="LED", Table_TRM_Fixtures[[#This Row],[Fixture Watts  (TRM Data)]], Table_TRM_Fixtures[[#This Row],[Lamp Watts  (TRM Data)]])</f>
        <v>85</v>
      </c>
      <c r="M687">
        <f>Table_TRM_Fixtures[[#This Row],[No. of Lamps  (TRM Data)]]</f>
        <v>1</v>
      </c>
      <c r="N687" t="s">
        <v>186</v>
      </c>
      <c r="O687" t="s">
        <v>186</v>
      </c>
      <c r="R687" t="s">
        <v>2893</v>
      </c>
      <c r="S687" t="str">
        <f>Table_TRM_Fixtures[[#This Row],[Description  (TRM Data)]]</f>
        <v>Compact Fluorescent, Multi, 4-pin, (1) 85W lamp</v>
      </c>
      <c r="T687" t="str">
        <f>Table_TRM_Fixtures[[#This Row],[Fixture code  (TRM Data)]]</f>
        <v>CFM85/1-L</v>
      </c>
      <c r="U687" t="s">
        <v>2882</v>
      </c>
      <c r="V687" t="s">
        <v>186</v>
      </c>
      <c r="W687" t="s">
        <v>3120</v>
      </c>
      <c r="X687" t="s">
        <v>186</v>
      </c>
      <c r="Y687" t="s">
        <v>4815</v>
      </c>
      <c r="Z687" t="s">
        <v>4815</v>
      </c>
      <c r="AA687">
        <f>IF(Table_TRM_Fixtures[[#This Row],[Pre-EISA Baseline]]="Nominal", Table_TRM_Fixtures[[#This Row],[Fixture Watts  (TRM Data)]], Table_TRM_Fixtures[[#This Row],[Modified Baseline Fixture Watts]])</f>
        <v>96</v>
      </c>
    </row>
    <row r="688" spans="1:27" x14ac:dyDescent="0.2">
      <c r="A688" t="s">
        <v>5274</v>
      </c>
      <c r="B688" t="s">
        <v>5275</v>
      </c>
      <c r="C688" t="s">
        <v>5276</v>
      </c>
      <c r="D688" t="s">
        <v>5277</v>
      </c>
      <c r="E688" t="s">
        <v>187</v>
      </c>
      <c r="F688">
        <v>1</v>
      </c>
      <c r="G688">
        <v>120</v>
      </c>
      <c r="H688">
        <v>135</v>
      </c>
      <c r="I688" t="s">
        <v>186</v>
      </c>
      <c r="J688" s="110">
        <v>686</v>
      </c>
      <c r="K688" t="s">
        <v>2893</v>
      </c>
      <c r="L688">
        <f>IF(Table_TRM_Fixtures[[#This Row],[Technology]]="LED", Table_TRM_Fixtures[[#This Row],[Fixture Watts  (TRM Data)]], Table_TRM_Fixtures[[#This Row],[Lamp Watts  (TRM Data)]])</f>
        <v>120</v>
      </c>
      <c r="M688">
        <f>Table_TRM_Fixtures[[#This Row],[No. of Lamps  (TRM Data)]]</f>
        <v>1</v>
      </c>
      <c r="N688" t="s">
        <v>186</v>
      </c>
      <c r="O688" t="s">
        <v>186</v>
      </c>
      <c r="R688" t="s">
        <v>2893</v>
      </c>
      <c r="S688" t="str">
        <f>Table_TRM_Fixtures[[#This Row],[Description  (TRM Data)]]</f>
        <v>Compact Fluorescent, Multi, 4-pin, (1) 120W lamp</v>
      </c>
      <c r="T688" t="str">
        <f>Table_TRM_Fixtures[[#This Row],[Fixture code  (TRM Data)]]</f>
        <v>CFM120/1-L</v>
      </c>
      <c r="U688" t="s">
        <v>2882</v>
      </c>
      <c r="V688" t="s">
        <v>186</v>
      </c>
      <c r="W688" t="s">
        <v>3120</v>
      </c>
      <c r="X688" t="s">
        <v>186</v>
      </c>
      <c r="Y688" t="str">
        <f>_xlfn.CONCAT(Table_TRM_Fixtures[[#This Row],[Combined Lighting/Ballast Types]],":",Table_TRM_Fixtures[[#This Row],[No. of Lamps]], ":", Table_TRM_Fixtures[[#This Row],[Lamp Watts  (TRM Data)]])</f>
        <v>CFL:1:120</v>
      </c>
      <c r="Z688"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CFL:1:120</v>
      </c>
      <c r="AA688">
        <f>IF(Table_TRM_Fixtures[[#This Row],[Pre-EISA Baseline]]="Nominal", Table_TRM_Fixtures[[#This Row],[Fixture Watts  (TRM Data)]], Table_TRM_Fixtures[[#This Row],[Modified Baseline Fixture Watts]])</f>
        <v>135</v>
      </c>
    </row>
    <row r="689" spans="1:27" x14ac:dyDescent="0.2">
      <c r="A689" t="s">
        <v>5278</v>
      </c>
      <c r="B689" t="s">
        <v>5279</v>
      </c>
      <c r="C689" t="s">
        <v>5280</v>
      </c>
      <c r="D689" t="s">
        <v>5281</v>
      </c>
      <c r="E689" t="s">
        <v>1309</v>
      </c>
      <c r="F689">
        <v>1</v>
      </c>
      <c r="G689">
        <v>9</v>
      </c>
      <c r="H689">
        <v>14</v>
      </c>
      <c r="I689" t="s">
        <v>186</v>
      </c>
      <c r="J689" s="110">
        <v>687</v>
      </c>
      <c r="K689" t="s">
        <v>2893</v>
      </c>
      <c r="L689">
        <f>IF(Table_TRM_Fixtures[[#This Row],[Technology]]="LED", Table_TRM_Fixtures[[#This Row],[Fixture Watts  (TRM Data)]], Table_TRM_Fixtures[[#This Row],[Lamp Watts  (TRM Data)]])</f>
        <v>9</v>
      </c>
      <c r="M689">
        <f>Table_TRM_Fixtures[[#This Row],[No. of Lamps  (TRM Data)]]</f>
        <v>1</v>
      </c>
      <c r="N689" t="s">
        <v>186</v>
      </c>
      <c r="O689" t="s">
        <v>186</v>
      </c>
      <c r="R689" t="s">
        <v>2893</v>
      </c>
      <c r="S689" t="str">
        <f>Table_TRM_Fixtures[[#This Row],[Description  (TRM Data)]]</f>
        <v>Compact Fluorescent, Quad, (1) 9W lamp</v>
      </c>
      <c r="T689" t="str">
        <f>Table_TRM_Fixtures[[#This Row],[Fixture code  (TRM Data)]]</f>
        <v>CFQ9/1</v>
      </c>
      <c r="U689" t="s">
        <v>2882</v>
      </c>
      <c r="V689" t="s">
        <v>186</v>
      </c>
      <c r="W689" t="s">
        <v>3120</v>
      </c>
      <c r="X689" t="s">
        <v>186</v>
      </c>
      <c r="Y689" t="s">
        <v>4815</v>
      </c>
      <c r="Z689" t="s">
        <v>4815</v>
      </c>
      <c r="AA689">
        <f>IF(Table_TRM_Fixtures[[#This Row],[Pre-EISA Baseline]]="Nominal", Table_TRM_Fixtures[[#This Row],[Fixture Watts  (TRM Data)]], Table_TRM_Fixtures[[#This Row],[Modified Baseline Fixture Watts]])</f>
        <v>14</v>
      </c>
    </row>
    <row r="690" spans="1:27" x14ac:dyDescent="0.2">
      <c r="A690" t="s">
        <v>5282</v>
      </c>
      <c r="B690" t="s">
        <v>5279</v>
      </c>
      <c r="C690" t="s">
        <v>5283</v>
      </c>
      <c r="D690" t="s">
        <v>5284</v>
      </c>
      <c r="E690" t="s">
        <v>1309</v>
      </c>
      <c r="F690">
        <v>2</v>
      </c>
      <c r="G690">
        <v>9</v>
      </c>
      <c r="H690">
        <v>23</v>
      </c>
      <c r="I690" t="s">
        <v>186</v>
      </c>
      <c r="J690" s="110">
        <v>688</v>
      </c>
      <c r="K690" t="s">
        <v>2893</v>
      </c>
      <c r="L690">
        <f>IF(Table_TRM_Fixtures[[#This Row],[Technology]]="LED", Table_TRM_Fixtures[[#This Row],[Fixture Watts  (TRM Data)]], Table_TRM_Fixtures[[#This Row],[Lamp Watts  (TRM Data)]])</f>
        <v>9</v>
      </c>
      <c r="M690">
        <f>Table_TRM_Fixtures[[#This Row],[No. of Lamps  (TRM Data)]]</f>
        <v>2</v>
      </c>
      <c r="N690" t="s">
        <v>186</v>
      </c>
      <c r="O690" t="s">
        <v>186</v>
      </c>
      <c r="R690" t="s">
        <v>2893</v>
      </c>
      <c r="S690" t="str">
        <f>Table_TRM_Fixtures[[#This Row],[Description  (TRM Data)]]</f>
        <v>Compact Fluorescent, Quad, (2) 9W lamps</v>
      </c>
      <c r="T690" t="str">
        <f>Table_TRM_Fixtures[[#This Row],[Fixture code  (TRM Data)]]</f>
        <v>CFQ9/2</v>
      </c>
      <c r="U690" t="s">
        <v>2882</v>
      </c>
      <c r="V690" t="s">
        <v>186</v>
      </c>
      <c r="W690" t="s">
        <v>3120</v>
      </c>
      <c r="X690" t="s">
        <v>186</v>
      </c>
      <c r="Y690" t="s">
        <v>4815</v>
      </c>
      <c r="Z690" t="s">
        <v>4815</v>
      </c>
      <c r="AA690">
        <f>IF(Table_TRM_Fixtures[[#This Row],[Pre-EISA Baseline]]="Nominal", Table_TRM_Fixtures[[#This Row],[Fixture Watts  (TRM Data)]], Table_TRM_Fixtures[[#This Row],[Modified Baseline Fixture Watts]])</f>
        <v>23</v>
      </c>
    </row>
    <row r="691" spans="1:27" x14ac:dyDescent="0.2">
      <c r="A691" t="s">
        <v>5285</v>
      </c>
      <c r="B691" t="s">
        <v>5286</v>
      </c>
      <c r="C691" t="s">
        <v>5287</v>
      </c>
      <c r="D691" t="s">
        <v>5288</v>
      </c>
      <c r="E691" t="s">
        <v>1309</v>
      </c>
      <c r="F691">
        <v>1</v>
      </c>
      <c r="G691">
        <v>10</v>
      </c>
      <c r="H691">
        <v>15</v>
      </c>
      <c r="I691" t="s">
        <v>186</v>
      </c>
      <c r="J691" s="110">
        <v>689</v>
      </c>
      <c r="K691" t="s">
        <v>2893</v>
      </c>
      <c r="L691">
        <f>IF(Table_TRM_Fixtures[[#This Row],[Technology]]="LED", Table_TRM_Fixtures[[#This Row],[Fixture Watts  (TRM Data)]], Table_TRM_Fixtures[[#This Row],[Lamp Watts  (TRM Data)]])</f>
        <v>10</v>
      </c>
      <c r="M691">
        <f>Table_TRM_Fixtures[[#This Row],[No. of Lamps  (TRM Data)]]</f>
        <v>1</v>
      </c>
      <c r="N691" t="s">
        <v>186</v>
      </c>
      <c r="O691" t="s">
        <v>186</v>
      </c>
      <c r="R691" t="s">
        <v>2893</v>
      </c>
      <c r="S691" t="str">
        <f>Table_TRM_Fixtures[[#This Row],[Description  (TRM Data)]]</f>
        <v>Compact Fluorescent, quad, (1) 10W lamp</v>
      </c>
      <c r="T691" t="str">
        <f>Table_TRM_Fixtures[[#This Row],[Fixture code  (TRM Data)]]</f>
        <v>CFQ10/1</v>
      </c>
      <c r="U691" t="s">
        <v>2882</v>
      </c>
      <c r="V691" t="s">
        <v>186</v>
      </c>
      <c r="W691" t="s">
        <v>3120</v>
      </c>
      <c r="X691" t="s">
        <v>186</v>
      </c>
      <c r="Y691" t="s">
        <v>4815</v>
      </c>
      <c r="Z691" t="s">
        <v>4815</v>
      </c>
      <c r="AA691">
        <f>IF(Table_TRM_Fixtures[[#This Row],[Pre-EISA Baseline]]="Nominal", Table_TRM_Fixtures[[#This Row],[Fixture Watts  (TRM Data)]], Table_TRM_Fixtures[[#This Row],[Modified Baseline Fixture Watts]])</f>
        <v>15</v>
      </c>
    </row>
    <row r="692" spans="1:27" x14ac:dyDescent="0.2">
      <c r="A692" t="s">
        <v>5289</v>
      </c>
      <c r="B692" t="s">
        <v>5290</v>
      </c>
      <c r="C692" t="s">
        <v>5291</v>
      </c>
      <c r="D692" t="s">
        <v>5292</v>
      </c>
      <c r="E692" t="s">
        <v>1309</v>
      </c>
      <c r="F692">
        <v>1</v>
      </c>
      <c r="G692">
        <v>13</v>
      </c>
      <c r="H692">
        <v>17</v>
      </c>
      <c r="I692" t="s">
        <v>186</v>
      </c>
      <c r="J692" s="110">
        <v>690</v>
      </c>
      <c r="K692" t="s">
        <v>2893</v>
      </c>
      <c r="L692">
        <f>IF(Table_TRM_Fixtures[[#This Row],[Technology]]="LED", Table_TRM_Fixtures[[#This Row],[Fixture Watts  (TRM Data)]], Table_TRM_Fixtures[[#This Row],[Lamp Watts  (TRM Data)]])</f>
        <v>13</v>
      </c>
      <c r="M692">
        <f>Table_TRM_Fixtures[[#This Row],[No. of Lamps  (TRM Data)]]</f>
        <v>1</v>
      </c>
      <c r="N692" t="s">
        <v>186</v>
      </c>
      <c r="O692" t="s">
        <v>186</v>
      </c>
      <c r="R692" t="s">
        <v>2893</v>
      </c>
      <c r="S692" t="str">
        <f>Table_TRM_Fixtures[[#This Row],[Description  (TRM Data)]]</f>
        <v>Compact Fluorescent, quad, (1) 13W lamp</v>
      </c>
      <c r="T692" t="str">
        <f>Table_TRM_Fixtures[[#This Row],[Fixture code  (TRM Data)]]</f>
        <v>CFQ13/1</v>
      </c>
      <c r="U692" t="s">
        <v>2882</v>
      </c>
      <c r="V692" t="s">
        <v>186</v>
      </c>
      <c r="W692" t="s">
        <v>3120</v>
      </c>
      <c r="X692" t="s">
        <v>186</v>
      </c>
      <c r="Y692" t="s">
        <v>4815</v>
      </c>
      <c r="Z692" t="s">
        <v>4815</v>
      </c>
      <c r="AA692">
        <f>IF(Table_TRM_Fixtures[[#This Row],[Pre-EISA Baseline]]="Nominal", Table_TRM_Fixtures[[#This Row],[Fixture Watts  (TRM Data)]], Table_TRM_Fixtures[[#This Row],[Modified Baseline Fixture Watts]])</f>
        <v>17</v>
      </c>
    </row>
    <row r="693" spans="1:27" x14ac:dyDescent="0.2">
      <c r="A693" t="s">
        <v>5293</v>
      </c>
      <c r="B693" t="s">
        <v>5290</v>
      </c>
      <c r="C693" t="s">
        <v>5294</v>
      </c>
      <c r="D693" t="s">
        <v>5292</v>
      </c>
      <c r="E693" t="s">
        <v>187</v>
      </c>
      <c r="F693">
        <v>1</v>
      </c>
      <c r="G693">
        <v>13</v>
      </c>
      <c r="H693">
        <v>15</v>
      </c>
      <c r="I693" t="s">
        <v>186</v>
      </c>
      <c r="J693" s="110">
        <v>691</v>
      </c>
      <c r="K693" t="s">
        <v>2893</v>
      </c>
      <c r="L693">
        <f>IF(Table_TRM_Fixtures[[#This Row],[Technology]]="LED", Table_TRM_Fixtures[[#This Row],[Fixture Watts  (TRM Data)]], Table_TRM_Fixtures[[#This Row],[Lamp Watts  (TRM Data)]])</f>
        <v>13</v>
      </c>
      <c r="M693">
        <f>Table_TRM_Fixtures[[#This Row],[No. of Lamps  (TRM Data)]]</f>
        <v>1</v>
      </c>
      <c r="N693" t="s">
        <v>186</v>
      </c>
      <c r="O693" t="s">
        <v>186</v>
      </c>
      <c r="R693" t="s">
        <v>2893</v>
      </c>
      <c r="S693" t="str">
        <f>Table_TRM_Fixtures[[#This Row],[Description  (TRM Data)]]</f>
        <v>Compact Fluorescent, quad, (1) 13W lamp, BF=1.05</v>
      </c>
      <c r="T693" t="str">
        <f>Table_TRM_Fixtures[[#This Row],[Fixture code  (TRM Data)]]</f>
        <v>CFQ13/1-L</v>
      </c>
      <c r="U693" t="s">
        <v>2882</v>
      </c>
      <c r="V693" t="s">
        <v>186</v>
      </c>
      <c r="W693" t="s">
        <v>3120</v>
      </c>
      <c r="X693" t="s">
        <v>186</v>
      </c>
      <c r="Y693" t="s">
        <v>4815</v>
      </c>
      <c r="Z693" t="s">
        <v>4815</v>
      </c>
      <c r="AA693">
        <f>IF(Table_TRM_Fixtures[[#This Row],[Pre-EISA Baseline]]="Nominal", Table_TRM_Fixtures[[#This Row],[Fixture Watts  (TRM Data)]], Table_TRM_Fixtures[[#This Row],[Modified Baseline Fixture Watts]])</f>
        <v>15</v>
      </c>
    </row>
    <row r="694" spans="1:27" x14ac:dyDescent="0.2">
      <c r="A694" t="s">
        <v>5295</v>
      </c>
      <c r="B694" t="s">
        <v>5290</v>
      </c>
      <c r="C694" t="s">
        <v>5296</v>
      </c>
      <c r="D694" t="s">
        <v>5297</v>
      </c>
      <c r="E694" t="s">
        <v>1309</v>
      </c>
      <c r="F694">
        <v>2</v>
      </c>
      <c r="G694">
        <v>13</v>
      </c>
      <c r="H694">
        <v>31</v>
      </c>
      <c r="I694" t="s">
        <v>186</v>
      </c>
      <c r="J694" s="110">
        <v>692</v>
      </c>
      <c r="K694" t="s">
        <v>2893</v>
      </c>
      <c r="L694">
        <f>IF(Table_TRM_Fixtures[[#This Row],[Technology]]="LED", Table_TRM_Fixtures[[#This Row],[Fixture Watts  (TRM Data)]], Table_TRM_Fixtures[[#This Row],[Lamp Watts  (TRM Data)]])</f>
        <v>13</v>
      </c>
      <c r="M694">
        <f>Table_TRM_Fixtures[[#This Row],[No. of Lamps  (TRM Data)]]</f>
        <v>2</v>
      </c>
      <c r="N694" t="s">
        <v>186</v>
      </c>
      <c r="O694" t="s">
        <v>186</v>
      </c>
      <c r="R694" t="s">
        <v>2893</v>
      </c>
      <c r="S694" t="str">
        <f>Table_TRM_Fixtures[[#This Row],[Description  (TRM Data)]]</f>
        <v>Compact Fluorescent, quad, (2) 13W lamps</v>
      </c>
      <c r="T694" t="str">
        <f>Table_TRM_Fixtures[[#This Row],[Fixture code  (TRM Data)]]</f>
        <v>CFQ13/2</v>
      </c>
      <c r="U694" t="s">
        <v>2882</v>
      </c>
      <c r="V694" t="s">
        <v>186</v>
      </c>
      <c r="W694" t="s">
        <v>3120</v>
      </c>
      <c r="X694" t="s">
        <v>186</v>
      </c>
      <c r="Y694" t="s">
        <v>4815</v>
      </c>
      <c r="Z694" t="s">
        <v>4815</v>
      </c>
      <c r="AA694">
        <f>IF(Table_TRM_Fixtures[[#This Row],[Pre-EISA Baseline]]="Nominal", Table_TRM_Fixtures[[#This Row],[Fixture Watts  (TRM Data)]], Table_TRM_Fixtures[[#This Row],[Modified Baseline Fixture Watts]])</f>
        <v>31</v>
      </c>
    </row>
    <row r="695" spans="1:27" x14ac:dyDescent="0.2">
      <c r="A695" t="s">
        <v>5298</v>
      </c>
      <c r="B695" t="s">
        <v>5290</v>
      </c>
      <c r="C695" t="s">
        <v>5299</v>
      </c>
      <c r="D695" t="s">
        <v>5297</v>
      </c>
      <c r="E695" t="s">
        <v>187</v>
      </c>
      <c r="F695">
        <v>2</v>
      </c>
      <c r="G695">
        <v>13</v>
      </c>
      <c r="H695">
        <v>28</v>
      </c>
      <c r="I695" t="s">
        <v>186</v>
      </c>
      <c r="J695" s="110">
        <v>693</v>
      </c>
      <c r="K695" t="s">
        <v>2893</v>
      </c>
      <c r="L695">
        <f>IF(Table_TRM_Fixtures[[#This Row],[Technology]]="LED", Table_TRM_Fixtures[[#This Row],[Fixture Watts  (TRM Data)]], Table_TRM_Fixtures[[#This Row],[Lamp Watts  (TRM Data)]])</f>
        <v>13</v>
      </c>
      <c r="M695">
        <f>Table_TRM_Fixtures[[#This Row],[No. of Lamps  (TRM Data)]]</f>
        <v>2</v>
      </c>
      <c r="N695" t="s">
        <v>186</v>
      </c>
      <c r="O695" t="s">
        <v>186</v>
      </c>
      <c r="R695" t="s">
        <v>2893</v>
      </c>
      <c r="S695" t="str">
        <f>Table_TRM_Fixtures[[#This Row],[Description  (TRM Data)]]</f>
        <v>Compact Fluorescent, quad, (2) 13W lamps, BF=1.0</v>
      </c>
      <c r="T695" t="str">
        <f>Table_TRM_Fixtures[[#This Row],[Fixture code  (TRM Data)]]</f>
        <v>CFQ13/2-L</v>
      </c>
      <c r="U695" t="s">
        <v>2882</v>
      </c>
      <c r="V695" t="s">
        <v>186</v>
      </c>
      <c r="W695" t="s">
        <v>3120</v>
      </c>
      <c r="X695" t="s">
        <v>186</v>
      </c>
      <c r="Y695" t="str">
        <f>_xlfn.CONCAT(Table_TRM_Fixtures[[#This Row],[Combined Lighting/Ballast Types]],":",Table_TRM_Fixtures[[#This Row],[No. of Lamps]], ":", Table_TRM_Fixtures[[#This Row],[Lamp Watts  (TRM Data)]])</f>
        <v>CFL:2:13</v>
      </c>
      <c r="Z695"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CFL:2:13</v>
      </c>
      <c r="AA695">
        <f>IF(Table_TRM_Fixtures[[#This Row],[Pre-EISA Baseline]]="Nominal", Table_TRM_Fixtures[[#This Row],[Fixture Watts  (TRM Data)]], Table_TRM_Fixtures[[#This Row],[Modified Baseline Fixture Watts]])</f>
        <v>28</v>
      </c>
    </row>
    <row r="696" spans="1:27" x14ac:dyDescent="0.2">
      <c r="A696" t="s">
        <v>5300</v>
      </c>
      <c r="B696" t="s">
        <v>5290</v>
      </c>
      <c r="C696" t="s">
        <v>5301</v>
      </c>
      <c r="D696" t="s">
        <v>5302</v>
      </c>
      <c r="E696" t="s">
        <v>1309</v>
      </c>
      <c r="F696">
        <v>3</v>
      </c>
      <c r="G696">
        <v>13</v>
      </c>
      <c r="H696">
        <v>48</v>
      </c>
      <c r="I696" t="s">
        <v>186</v>
      </c>
      <c r="J696" s="110">
        <v>694</v>
      </c>
      <c r="K696" t="s">
        <v>2893</v>
      </c>
      <c r="L696">
        <f>IF(Table_TRM_Fixtures[[#This Row],[Technology]]="LED", Table_TRM_Fixtures[[#This Row],[Fixture Watts  (TRM Data)]], Table_TRM_Fixtures[[#This Row],[Lamp Watts  (TRM Data)]])</f>
        <v>13</v>
      </c>
      <c r="M696">
        <f>Table_TRM_Fixtures[[#This Row],[No. of Lamps  (TRM Data)]]</f>
        <v>3</v>
      </c>
      <c r="N696" t="s">
        <v>186</v>
      </c>
      <c r="O696" t="s">
        <v>186</v>
      </c>
      <c r="R696" t="s">
        <v>2893</v>
      </c>
      <c r="S696" t="str">
        <f>Table_TRM_Fixtures[[#This Row],[Description  (TRM Data)]]</f>
        <v>Compact Fluorescent, quad, (3) 13W lamps</v>
      </c>
      <c r="T696" t="str">
        <f>Table_TRM_Fixtures[[#This Row],[Fixture code  (TRM Data)]]</f>
        <v>CFQ13/3</v>
      </c>
      <c r="U696" t="s">
        <v>2882</v>
      </c>
      <c r="V696" t="s">
        <v>186</v>
      </c>
      <c r="W696" t="s">
        <v>3120</v>
      </c>
      <c r="X696" t="s">
        <v>186</v>
      </c>
      <c r="Y696" t="s">
        <v>4815</v>
      </c>
      <c r="Z696" t="s">
        <v>4815</v>
      </c>
      <c r="AA696">
        <f>IF(Table_TRM_Fixtures[[#This Row],[Pre-EISA Baseline]]="Nominal", Table_TRM_Fixtures[[#This Row],[Fixture Watts  (TRM Data)]], Table_TRM_Fixtures[[#This Row],[Modified Baseline Fixture Watts]])</f>
        <v>48</v>
      </c>
    </row>
    <row r="697" spans="1:27" x14ac:dyDescent="0.2">
      <c r="A697" t="s">
        <v>5303</v>
      </c>
      <c r="B697" t="s">
        <v>5304</v>
      </c>
      <c r="C697" t="s">
        <v>5305</v>
      </c>
      <c r="D697" t="s">
        <v>5306</v>
      </c>
      <c r="E697" t="s">
        <v>1309</v>
      </c>
      <c r="F697">
        <v>1</v>
      </c>
      <c r="G697">
        <v>15</v>
      </c>
      <c r="H697">
        <v>20</v>
      </c>
      <c r="I697" t="s">
        <v>186</v>
      </c>
      <c r="J697" s="110">
        <v>695</v>
      </c>
      <c r="K697" t="s">
        <v>2893</v>
      </c>
      <c r="L697">
        <f>IF(Table_TRM_Fixtures[[#This Row],[Technology]]="LED", Table_TRM_Fixtures[[#This Row],[Fixture Watts  (TRM Data)]], Table_TRM_Fixtures[[#This Row],[Lamp Watts  (TRM Data)]])</f>
        <v>15</v>
      </c>
      <c r="M697">
        <f>Table_TRM_Fixtures[[#This Row],[No. of Lamps  (TRM Data)]]</f>
        <v>1</v>
      </c>
      <c r="N697" t="s">
        <v>186</v>
      </c>
      <c r="O697" t="s">
        <v>186</v>
      </c>
      <c r="R697" t="s">
        <v>2893</v>
      </c>
      <c r="S697" t="str">
        <f>Table_TRM_Fixtures[[#This Row],[Description  (TRM Data)]]</f>
        <v>Compact Fluorescent, quad, (1) 15W lamp</v>
      </c>
      <c r="T697" t="str">
        <f>Table_TRM_Fixtures[[#This Row],[Fixture code  (TRM Data)]]</f>
        <v>CFQ15/1</v>
      </c>
      <c r="U697" t="s">
        <v>2882</v>
      </c>
      <c r="V697" t="s">
        <v>186</v>
      </c>
      <c r="W697" t="s">
        <v>3120</v>
      </c>
      <c r="X697" t="s">
        <v>186</v>
      </c>
      <c r="Y697" t="str">
        <f>_xlfn.CONCAT(Table_TRM_Fixtures[[#This Row],[Combined Lighting/Ballast Types]],":",Table_TRM_Fixtures[[#This Row],[No. of Lamps]], ":", Table_TRM_Fixtures[[#This Row],[Lamp Watts  (TRM Data)]])</f>
        <v>CFL:1:15</v>
      </c>
      <c r="Z697"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CFL:1:15</v>
      </c>
      <c r="AA697">
        <f>IF(Table_TRM_Fixtures[[#This Row],[Pre-EISA Baseline]]="Nominal", Table_TRM_Fixtures[[#This Row],[Fixture Watts  (TRM Data)]], Table_TRM_Fixtures[[#This Row],[Modified Baseline Fixture Watts]])</f>
        <v>20</v>
      </c>
    </row>
    <row r="698" spans="1:27" x14ac:dyDescent="0.2">
      <c r="A698" t="s">
        <v>5307</v>
      </c>
      <c r="B698" t="s">
        <v>5308</v>
      </c>
      <c r="C698" t="s">
        <v>5309</v>
      </c>
      <c r="D698" t="s">
        <v>5310</v>
      </c>
      <c r="E698" t="s">
        <v>1309</v>
      </c>
      <c r="F698">
        <v>1</v>
      </c>
      <c r="G698">
        <v>17</v>
      </c>
      <c r="H698">
        <v>24</v>
      </c>
      <c r="I698" t="s">
        <v>186</v>
      </c>
      <c r="J698" s="110">
        <v>696</v>
      </c>
      <c r="K698" t="s">
        <v>2893</v>
      </c>
      <c r="L698">
        <f>IF(Table_TRM_Fixtures[[#This Row],[Technology]]="LED", Table_TRM_Fixtures[[#This Row],[Fixture Watts  (TRM Data)]], Table_TRM_Fixtures[[#This Row],[Lamp Watts  (TRM Data)]])</f>
        <v>17</v>
      </c>
      <c r="M698">
        <f>Table_TRM_Fixtures[[#This Row],[No. of Lamps  (TRM Data)]]</f>
        <v>1</v>
      </c>
      <c r="N698" t="s">
        <v>186</v>
      </c>
      <c r="O698" t="s">
        <v>186</v>
      </c>
      <c r="R698" t="s">
        <v>2893</v>
      </c>
      <c r="S698" t="str">
        <f>Table_TRM_Fixtures[[#This Row],[Description  (TRM Data)]]</f>
        <v>Compact Fluorescent, quad, (1) 17W lamp</v>
      </c>
      <c r="T698" t="str">
        <f>Table_TRM_Fixtures[[#This Row],[Fixture code  (TRM Data)]]</f>
        <v>CFQ17/1</v>
      </c>
      <c r="U698" t="s">
        <v>2882</v>
      </c>
      <c r="V698" t="s">
        <v>186</v>
      </c>
      <c r="W698" t="s">
        <v>3120</v>
      </c>
      <c r="X698" t="s">
        <v>186</v>
      </c>
      <c r="Y698" t="s">
        <v>4815</v>
      </c>
      <c r="Z698" t="s">
        <v>4815</v>
      </c>
      <c r="AA698">
        <f>IF(Table_TRM_Fixtures[[#This Row],[Pre-EISA Baseline]]="Nominal", Table_TRM_Fixtures[[#This Row],[Fixture Watts  (TRM Data)]], Table_TRM_Fixtures[[#This Row],[Modified Baseline Fixture Watts]])</f>
        <v>24</v>
      </c>
    </row>
    <row r="699" spans="1:27" x14ac:dyDescent="0.2">
      <c r="A699" t="s">
        <v>5311</v>
      </c>
      <c r="B699" t="s">
        <v>5308</v>
      </c>
      <c r="C699" t="s">
        <v>5312</v>
      </c>
      <c r="D699" t="s">
        <v>5313</v>
      </c>
      <c r="E699" t="s">
        <v>1309</v>
      </c>
      <c r="F699">
        <v>2</v>
      </c>
      <c r="G699">
        <v>17</v>
      </c>
      <c r="H699">
        <v>48</v>
      </c>
      <c r="I699" t="s">
        <v>186</v>
      </c>
      <c r="J699" s="110">
        <v>697</v>
      </c>
      <c r="K699" t="s">
        <v>2893</v>
      </c>
      <c r="L699">
        <f>IF(Table_TRM_Fixtures[[#This Row],[Technology]]="LED", Table_TRM_Fixtures[[#This Row],[Fixture Watts  (TRM Data)]], Table_TRM_Fixtures[[#This Row],[Lamp Watts  (TRM Data)]])</f>
        <v>17</v>
      </c>
      <c r="M699">
        <f>Table_TRM_Fixtures[[#This Row],[No. of Lamps  (TRM Data)]]</f>
        <v>2</v>
      </c>
      <c r="N699" t="s">
        <v>186</v>
      </c>
      <c r="O699" t="s">
        <v>186</v>
      </c>
      <c r="R699" t="s">
        <v>2893</v>
      </c>
      <c r="S699" t="str">
        <f>Table_TRM_Fixtures[[#This Row],[Description  (TRM Data)]]</f>
        <v>Compact Fluorescent, quad, (2) 17W lamps</v>
      </c>
      <c r="T699" t="str">
        <f>Table_TRM_Fixtures[[#This Row],[Fixture code  (TRM Data)]]</f>
        <v>CFQ17/2</v>
      </c>
      <c r="U699" t="s">
        <v>2882</v>
      </c>
      <c r="V699" t="s">
        <v>186</v>
      </c>
      <c r="W699" t="s">
        <v>3120</v>
      </c>
      <c r="X699" t="s">
        <v>186</v>
      </c>
      <c r="Y699" t="str">
        <f>_xlfn.CONCAT(Table_TRM_Fixtures[[#This Row],[Combined Lighting/Ballast Types]],":",Table_TRM_Fixtures[[#This Row],[No. of Lamps]], ":", Table_TRM_Fixtures[[#This Row],[Lamp Watts  (TRM Data)]])</f>
        <v>CFL:2:17</v>
      </c>
      <c r="Z699"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CFL:2:17</v>
      </c>
      <c r="AA699">
        <f>IF(Table_TRM_Fixtures[[#This Row],[Pre-EISA Baseline]]="Nominal", Table_TRM_Fixtures[[#This Row],[Fixture Watts  (TRM Data)]], Table_TRM_Fixtures[[#This Row],[Modified Baseline Fixture Watts]])</f>
        <v>48</v>
      </c>
    </row>
    <row r="700" spans="1:27" x14ac:dyDescent="0.2">
      <c r="A700" t="s">
        <v>5314</v>
      </c>
      <c r="B700" t="s">
        <v>5315</v>
      </c>
      <c r="C700" t="s">
        <v>5316</v>
      </c>
      <c r="D700" t="s">
        <v>5317</v>
      </c>
      <c r="E700" t="s">
        <v>1309</v>
      </c>
      <c r="F700">
        <v>1</v>
      </c>
      <c r="G700">
        <v>18</v>
      </c>
      <c r="H700">
        <v>26</v>
      </c>
      <c r="I700" t="s">
        <v>186</v>
      </c>
      <c r="J700" s="110">
        <v>698</v>
      </c>
      <c r="K700" t="s">
        <v>2893</v>
      </c>
      <c r="L700">
        <f>IF(Table_TRM_Fixtures[[#This Row],[Technology]]="LED", Table_TRM_Fixtures[[#This Row],[Fixture Watts  (TRM Data)]], Table_TRM_Fixtures[[#This Row],[Lamp Watts  (TRM Data)]])</f>
        <v>18</v>
      </c>
      <c r="M700">
        <f>Table_TRM_Fixtures[[#This Row],[No. of Lamps  (TRM Data)]]</f>
        <v>1</v>
      </c>
      <c r="N700" t="s">
        <v>186</v>
      </c>
      <c r="O700" t="s">
        <v>186</v>
      </c>
      <c r="R700" t="s">
        <v>2893</v>
      </c>
      <c r="S700" t="str">
        <f>Table_TRM_Fixtures[[#This Row],[Description  (TRM Data)]]</f>
        <v>Compact Fluorescent, quad, (1) 18W lamp</v>
      </c>
      <c r="T700" t="str">
        <f>Table_TRM_Fixtures[[#This Row],[Fixture code  (TRM Data)]]</f>
        <v>CFQ18/1</v>
      </c>
      <c r="U700" t="s">
        <v>2882</v>
      </c>
      <c r="V700" t="s">
        <v>186</v>
      </c>
      <c r="W700" t="s">
        <v>3120</v>
      </c>
      <c r="X700" t="s">
        <v>186</v>
      </c>
      <c r="Y700" t="s">
        <v>4815</v>
      </c>
      <c r="Z700" t="s">
        <v>4815</v>
      </c>
      <c r="AA700">
        <f>IF(Table_TRM_Fixtures[[#This Row],[Pre-EISA Baseline]]="Nominal", Table_TRM_Fixtures[[#This Row],[Fixture Watts  (TRM Data)]], Table_TRM_Fixtures[[#This Row],[Modified Baseline Fixture Watts]])</f>
        <v>26</v>
      </c>
    </row>
    <row r="701" spans="1:27" x14ac:dyDescent="0.2">
      <c r="A701" t="s">
        <v>5318</v>
      </c>
      <c r="B701" t="s">
        <v>5315</v>
      </c>
      <c r="C701" t="s">
        <v>5319</v>
      </c>
      <c r="D701" t="s">
        <v>5317</v>
      </c>
      <c r="E701" t="s">
        <v>187</v>
      </c>
      <c r="F701">
        <v>1</v>
      </c>
      <c r="G701">
        <v>18</v>
      </c>
      <c r="H701">
        <v>20</v>
      </c>
      <c r="I701" t="s">
        <v>186</v>
      </c>
      <c r="J701" s="110">
        <v>699</v>
      </c>
      <c r="K701" t="s">
        <v>2893</v>
      </c>
      <c r="L701">
        <f>IF(Table_TRM_Fixtures[[#This Row],[Technology]]="LED", Table_TRM_Fixtures[[#This Row],[Fixture Watts  (TRM Data)]], Table_TRM_Fixtures[[#This Row],[Lamp Watts  (TRM Data)]])</f>
        <v>18</v>
      </c>
      <c r="M701">
        <f>Table_TRM_Fixtures[[#This Row],[No. of Lamps  (TRM Data)]]</f>
        <v>1</v>
      </c>
      <c r="N701" t="s">
        <v>186</v>
      </c>
      <c r="O701" t="s">
        <v>186</v>
      </c>
      <c r="R701" t="s">
        <v>2893</v>
      </c>
      <c r="S701" t="str">
        <f>Table_TRM_Fixtures[[#This Row],[Description  (TRM Data)]]</f>
        <v>Compact Fluorescent, quad, (1) 18W lamp, BF=1.0</v>
      </c>
      <c r="T701" t="str">
        <f>Table_TRM_Fixtures[[#This Row],[Fixture code  (TRM Data)]]</f>
        <v>CFQ18/1-L</v>
      </c>
      <c r="U701" t="s">
        <v>2882</v>
      </c>
      <c r="V701" t="s">
        <v>186</v>
      </c>
      <c r="W701" t="s">
        <v>3120</v>
      </c>
      <c r="X701" t="s">
        <v>186</v>
      </c>
      <c r="Y701" t="str">
        <f>_xlfn.CONCAT(Table_TRM_Fixtures[[#This Row],[Combined Lighting/Ballast Types]],":",Table_TRM_Fixtures[[#This Row],[No. of Lamps]], ":", Table_TRM_Fixtures[[#This Row],[Lamp Watts  (TRM Data)]])</f>
        <v>CFL:1:18</v>
      </c>
      <c r="Z701"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CFL:1:18</v>
      </c>
      <c r="AA701">
        <f>IF(Table_TRM_Fixtures[[#This Row],[Pre-EISA Baseline]]="Nominal", Table_TRM_Fixtures[[#This Row],[Fixture Watts  (TRM Data)]], Table_TRM_Fixtures[[#This Row],[Modified Baseline Fixture Watts]])</f>
        <v>20</v>
      </c>
    </row>
    <row r="702" spans="1:27" x14ac:dyDescent="0.2">
      <c r="A702" t="s">
        <v>5320</v>
      </c>
      <c r="B702" t="s">
        <v>5315</v>
      </c>
      <c r="C702" t="s">
        <v>5321</v>
      </c>
      <c r="D702" t="s">
        <v>5322</v>
      </c>
      <c r="E702" t="s">
        <v>1309</v>
      </c>
      <c r="F702">
        <v>2</v>
      </c>
      <c r="G702">
        <v>18</v>
      </c>
      <c r="H702">
        <v>45</v>
      </c>
      <c r="I702" t="s">
        <v>186</v>
      </c>
      <c r="J702" s="110">
        <v>700</v>
      </c>
      <c r="K702" t="s">
        <v>2893</v>
      </c>
      <c r="L702">
        <f>IF(Table_TRM_Fixtures[[#This Row],[Technology]]="LED", Table_TRM_Fixtures[[#This Row],[Fixture Watts  (TRM Data)]], Table_TRM_Fixtures[[#This Row],[Lamp Watts  (TRM Data)]])</f>
        <v>18</v>
      </c>
      <c r="M702">
        <f>Table_TRM_Fixtures[[#This Row],[No. of Lamps  (TRM Data)]]</f>
        <v>2</v>
      </c>
      <c r="N702" t="s">
        <v>186</v>
      </c>
      <c r="O702" t="s">
        <v>186</v>
      </c>
      <c r="R702" t="s">
        <v>2893</v>
      </c>
      <c r="S702" t="str">
        <f>Table_TRM_Fixtures[[#This Row],[Description  (TRM Data)]]</f>
        <v>Compact Fluorescent, quad, (2) 18W lamps</v>
      </c>
      <c r="T702" t="str">
        <f>Table_TRM_Fixtures[[#This Row],[Fixture code  (TRM Data)]]</f>
        <v>CFQ18/2</v>
      </c>
      <c r="U702" t="s">
        <v>2882</v>
      </c>
      <c r="V702" t="s">
        <v>186</v>
      </c>
      <c r="W702" t="s">
        <v>3120</v>
      </c>
      <c r="X702" t="s">
        <v>186</v>
      </c>
      <c r="Y702" t="s">
        <v>4815</v>
      </c>
      <c r="Z702" t="s">
        <v>4815</v>
      </c>
      <c r="AA702">
        <f>IF(Table_TRM_Fixtures[[#This Row],[Pre-EISA Baseline]]="Nominal", Table_TRM_Fixtures[[#This Row],[Fixture Watts  (TRM Data)]], Table_TRM_Fixtures[[#This Row],[Modified Baseline Fixture Watts]])</f>
        <v>45</v>
      </c>
    </row>
    <row r="703" spans="1:27" x14ac:dyDescent="0.2">
      <c r="A703" t="s">
        <v>5323</v>
      </c>
      <c r="B703" t="s">
        <v>5315</v>
      </c>
      <c r="C703" t="s">
        <v>5324</v>
      </c>
      <c r="D703" t="s">
        <v>5322</v>
      </c>
      <c r="E703" t="s">
        <v>187</v>
      </c>
      <c r="F703">
        <v>2</v>
      </c>
      <c r="G703">
        <v>18</v>
      </c>
      <c r="H703">
        <v>38</v>
      </c>
      <c r="I703" t="s">
        <v>186</v>
      </c>
      <c r="J703" s="110">
        <v>701</v>
      </c>
      <c r="K703" t="s">
        <v>2893</v>
      </c>
      <c r="L703">
        <f>IF(Table_TRM_Fixtures[[#This Row],[Technology]]="LED", Table_TRM_Fixtures[[#This Row],[Fixture Watts  (TRM Data)]], Table_TRM_Fixtures[[#This Row],[Lamp Watts  (TRM Data)]])</f>
        <v>18</v>
      </c>
      <c r="M703">
        <f>Table_TRM_Fixtures[[#This Row],[No. of Lamps  (TRM Data)]]</f>
        <v>2</v>
      </c>
      <c r="N703" t="s">
        <v>186</v>
      </c>
      <c r="O703" t="s">
        <v>186</v>
      </c>
      <c r="R703" t="s">
        <v>2893</v>
      </c>
      <c r="S703" t="str">
        <f>Table_TRM_Fixtures[[#This Row],[Description  (TRM Data)]]</f>
        <v>Compact Fluorescent, quad, (2) 18W lamp, BF=1.0</v>
      </c>
      <c r="T703" t="str">
        <f>Table_TRM_Fixtures[[#This Row],[Fixture code  (TRM Data)]]</f>
        <v>CFQ18/2-L</v>
      </c>
      <c r="U703" t="s">
        <v>2882</v>
      </c>
      <c r="V703" t="s">
        <v>186</v>
      </c>
      <c r="W703" t="s">
        <v>3120</v>
      </c>
      <c r="X703" t="s">
        <v>186</v>
      </c>
      <c r="Y703" t="str">
        <f>_xlfn.CONCAT(Table_TRM_Fixtures[[#This Row],[Combined Lighting/Ballast Types]],":",Table_TRM_Fixtures[[#This Row],[No. of Lamps]], ":", Table_TRM_Fixtures[[#This Row],[Lamp Watts  (TRM Data)]])</f>
        <v>CFL:2:18</v>
      </c>
      <c r="Z703"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CFL:2:18</v>
      </c>
      <c r="AA703">
        <f>IF(Table_TRM_Fixtures[[#This Row],[Pre-EISA Baseline]]="Nominal", Table_TRM_Fixtures[[#This Row],[Fixture Watts  (TRM Data)]], Table_TRM_Fixtures[[#This Row],[Modified Baseline Fixture Watts]])</f>
        <v>38</v>
      </c>
    </row>
    <row r="704" spans="1:27" x14ac:dyDescent="0.2">
      <c r="A704" t="s">
        <v>5325</v>
      </c>
      <c r="B704" t="s">
        <v>5315</v>
      </c>
      <c r="C704" t="s">
        <v>5326</v>
      </c>
      <c r="D704" t="s">
        <v>5327</v>
      </c>
      <c r="E704" t="s">
        <v>1309</v>
      </c>
      <c r="F704">
        <v>2</v>
      </c>
      <c r="G704">
        <v>18</v>
      </c>
      <c r="H704">
        <v>90</v>
      </c>
      <c r="I704" t="s">
        <v>186</v>
      </c>
      <c r="J704" s="110">
        <v>702</v>
      </c>
      <c r="K704" t="s">
        <v>2893</v>
      </c>
      <c r="L704">
        <f>IF(Table_TRM_Fixtures[[#This Row],[Technology]]="LED", Table_TRM_Fixtures[[#This Row],[Fixture Watts  (TRM Data)]], Table_TRM_Fixtures[[#This Row],[Lamp Watts  (TRM Data)]])</f>
        <v>18</v>
      </c>
      <c r="M704">
        <f>Table_TRM_Fixtures[[#This Row],[No. of Lamps  (TRM Data)]]</f>
        <v>2</v>
      </c>
      <c r="N704" t="s">
        <v>186</v>
      </c>
      <c r="O704" t="s">
        <v>186</v>
      </c>
      <c r="R704" t="s">
        <v>2893</v>
      </c>
      <c r="S704" t="str">
        <f>Table_TRM_Fixtures[[#This Row],[Description  (TRM Data)]]</f>
        <v>Compact Fluorescent, quad, (4) 18W lamps</v>
      </c>
      <c r="T704" t="str">
        <f>Table_TRM_Fixtures[[#This Row],[Fixture code  (TRM Data)]]</f>
        <v>CFQ18/4</v>
      </c>
      <c r="U704" t="s">
        <v>2882</v>
      </c>
      <c r="V704" t="s">
        <v>186</v>
      </c>
      <c r="W704" t="s">
        <v>3120</v>
      </c>
      <c r="X704" t="s">
        <v>186</v>
      </c>
      <c r="Y704" t="s">
        <v>4815</v>
      </c>
      <c r="Z704" t="s">
        <v>4815</v>
      </c>
      <c r="AA704">
        <f>IF(Table_TRM_Fixtures[[#This Row],[Pre-EISA Baseline]]="Nominal", Table_TRM_Fixtures[[#This Row],[Fixture Watts  (TRM Data)]], Table_TRM_Fixtures[[#This Row],[Modified Baseline Fixture Watts]])</f>
        <v>90</v>
      </c>
    </row>
    <row r="705" spans="1:27" x14ac:dyDescent="0.2">
      <c r="A705" t="s">
        <v>5328</v>
      </c>
      <c r="B705" t="s">
        <v>5329</v>
      </c>
      <c r="C705" t="s">
        <v>5330</v>
      </c>
      <c r="D705" t="s">
        <v>5331</v>
      </c>
      <c r="E705" t="s">
        <v>1309</v>
      </c>
      <c r="F705">
        <v>1</v>
      </c>
      <c r="G705">
        <v>20</v>
      </c>
      <c r="H705">
        <v>23</v>
      </c>
      <c r="I705" t="s">
        <v>186</v>
      </c>
      <c r="J705" s="110">
        <v>703</v>
      </c>
      <c r="K705" t="s">
        <v>2893</v>
      </c>
      <c r="L705">
        <f>IF(Table_TRM_Fixtures[[#This Row],[Technology]]="LED", Table_TRM_Fixtures[[#This Row],[Fixture Watts  (TRM Data)]], Table_TRM_Fixtures[[#This Row],[Lamp Watts  (TRM Data)]])</f>
        <v>20</v>
      </c>
      <c r="M705">
        <f>Table_TRM_Fixtures[[#This Row],[No. of Lamps  (TRM Data)]]</f>
        <v>1</v>
      </c>
      <c r="N705" t="s">
        <v>186</v>
      </c>
      <c r="O705" t="s">
        <v>186</v>
      </c>
      <c r="R705" t="s">
        <v>2893</v>
      </c>
      <c r="S705" t="str">
        <f>Table_TRM_Fixtures[[#This Row],[Description  (TRM Data)]]</f>
        <v>Compact Fluorescent, quad, (1) 20W lamp</v>
      </c>
      <c r="T705" t="str">
        <f>Table_TRM_Fixtures[[#This Row],[Fixture code  (TRM Data)]]</f>
        <v>CFQ20/1</v>
      </c>
      <c r="U705" t="s">
        <v>2882</v>
      </c>
      <c r="V705" t="s">
        <v>186</v>
      </c>
      <c r="W705" t="s">
        <v>3120</v>
      </c>
      <c r="X705" t="s">
        <v>186</v>
      </c>
      <c r="Y705" t="str">
        <f>_xlfn.CONCAT(Table_TRM_Fixtures[[#This Row],[Combined Lighting/Ballast Types]],":",Table_TRM_Fixtures[[#This Row],[No. of Lamps]], ":", Table_TRM_Fixtures[[#This Row],[Lamp Watts  (TRM Data)]])</f>
        <v>CFL:1:20</v>
      </c>
      <c r="Z705"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CFL:1:20</v>
      </c>
      <c r="AA705">
        <f>IF(Table_TRM_Fixtures[[#This Row],[Pre-EISA Baseline]]="Nominal", Table_TRM_Fixtures[[#This Row],[Fixture Watts  (TRM Data)]], Table_TRM_Fixtures[[#This Row],[Modified Baseline Fixture Watts]])</f>
        <v>23</v>
      </c>
    </row>
    <row r="706" spans="1:27" x14ac:dyDescent="0.2">
      <c r="A706" t="s">
        <v>5332</v>
      </c>
      <c r="B706" t="s">
        <v>5329</v>
      </c>
      <c r="C706" t="s">
        <v>5333</v>
      </c>
      <c r="D706" t="s">
        <v>5334</v>
      </c>
      <c r="E706" t="s">
        <v>1309</v>
      </c>
      <c r="F706">
        <v>2</v>
      </c>
      <c r="G706">
        <v>20</v>
      </c>
      <c r="H706">
        <v>46</v>
      </c>
      <c r="I706" t="s">
        <v>186</v>
      </c>
      <c r="J706" s="110">
        <v>704</v>
      </c>
      <c r="K706" t="s">
        <v>2893</v>
      </c>
      <c r="L706">
        <f>IF(Table_TRM_Fixtures[[#This Row],[Technology]]="LED", Table_TRM_Fixtures[[#This Row],[Fixture Watts  (TRM Data)]], Table_TRM_Fixtures[[#This Row],[Lamp Watts  (TRM Data)]])</f>
        <v>20</v>
      </c>
      <c r="M706">
        <f>Table_TRM_Fixtures[[#This Row],[No. of Lamps  (TRM Data)]]</f>
        <v>2</v>
      </c>
      <c r="N706" t="s">
        <v>186</v>
      </c>
      <c r="O706" t="s">
        <v>186</v>
      </c>
      <c r="R706" t="s">
        <v>2893</v>
      </c>
      <c r="S706" t="str">
        <f>Table_TRM_Fixtures[[#This Row],[Description  (TRM Data)]]</f>
        <v>Compact Fluorescent, quad, (2) 20W lamps</v>
      </c>
      <c r="T706" t="str">
        <f>Table_TRM_Fixtures[[#This Row],[Fixture code  (TRM Data)]]</f>
        <v>CFQ20/2</v>
      </c>
      <c r="U706" t="s">
        <v>2882</v>
      </c>
      <c r="V706" t="s">
        <v>186</v>
      </c>
      <c r="W706" t="s">
        <v>3120</v>
      </c>
      <c r="X706" t="s">
        <v>186</v>
      </c>
      <c r="Y706" t="str">
        <f>_xlfn.CONCAT(Table_TRM_Fixtures[[#This Row],[Combined Lighting/Ballast Types]],":",Table_TRM_Fixtures[[#This Row],[No. of Lamps]], ":", Table_TRM_Fixtures[[#This Row],[Lamp Watts  (TRM Data)]])</f>
        <v>CFL:2:20</v>
      </c>
      <c r="Z706"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CFL:2:20</v>
      </c>
      <c r="AA706">
        <f>IF(Table_TRM_Fixtures[[#This Row],[Pre-EISA Baseline]]="Nominal", Table_TRM_Fixtures[[#This Row],[Fixture Watts  (TRM Data)]], Table_TRM_Fixtures[[#This Row],[Modified Baseline Fixture Watts]])</f>
        <v>46</v>
      </c>
    </row>
    <row r="707" spans="1:27" x14ac:dyDescent="0.2">
      <c r="A707" t="s">
        <v>5335</v>
      </c>
      <c r="B707" t="s">
        <v>5336</v>
      </c>
      <c r="C707" t="s">
        <v>5337</v>
      </c>
      <c r="D707" t="s">
        <v>5338</v>
      </c>
      <c r="E707" t="s">
        <v>1309</v>
      </c>
      <c r="F707">
        <v>1</v>
      </c>
      <c r="G707">
        <v>22</v>
      </c>
      <c r="H707">
        <v>24</v>
      </c>
      <c r="I707" t="s">
        <v>186</v>
      </c>
      <c r="J707" s="110">
        <v>705</v>
      </c>
      <c r="K707" t="s">
        <v>2893</v>
      </c>
      <c r="L707">
        <f>IF(Table_TRM_Fixtures[[#This Row],[Technology]]="LED", Table_TRM_Fixtures[[#This Row],[Fixture Watts  (TRM Data)]], Table_TRM_Fixtures[[#This Row],[Lamp Watts  (TRM Data)]])</f>
        <v>22</v>
      </c>
      <c r="M707">
        <f>Table_TRM_Fixtures[[#This Row],[No. of Lamps  (TRM Data)]]</f>
        <v>1</v>
      </c>
      <c r="N707" t="s">
        <v>186</v>
      </c>
      <c r="O707" t="s">
        <v>186</v>
      </c>
      <c r="R707" t="s">
        <v>2893</v>
      </c>
      <c r="S707" t="str">
        <f>Table_TRM_Fixtures[[#This Row],[Description  (TRM Data)]]</f>
        <v>Compact Fluorescent, Quad, (1) 22W lamp</v>
      </c>
      <c r="T707" t="str">
        <f>Table_TRM_Fixtures[[#This Row],[Fixture code  (TRM Data)]]</f>
        <v>CFQ22/1</v>
      </c>
      <c r="U707" t="s">
        <v>2882</v>
      </c>
      <c r="V707" t="s">
        <v>186</v>
      </c>
      <c r="W707" t="s">
        <v>3120</v>
      </c>
      <c r="X707" t="s">
        <v>186</v>
      </c>
      <c r="Y707" t="str">
        <f>_xlfn.CONCAT(Table_TRM_Fixtures[[#This Row],[Combined Lighting/Ballast Types]],":",Table_TRM_Fixtures[[#This Row],[No. of Lamps]], ":", Table_TRM_Fixtures[[#This Row],[Lamp Watts  (TRM Data)]])</f>
        <v>CFL:1:22</v>
      </c>
      <c r="Z707"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CFL:1:22</v>
      </c>
      <c r="AA707">
        <f>IF(Table_TRM_Fixtures[[#This Row],[Pre-EISA Baseline]]="Nominal", Table_TRM_Fixtures[[#This Row],[Fixture Watts  (TRM Data)]], Table_TRM_Fixtures[[#This Row],[Modified Baseline Fixture Watts]])</f>
        <v>24</v>
      </c>
    </row>
    <row r="708" spans="1:27" x14ac:dyDescent="0.2">
      <c r="A708" t="s">
        <v>5339</v>
      </c>
      <c r="B708" t="s">
        <v>5336</v>
      </c>
      <c r="C708" t="s">
        <v>5340</v>
      </c>
      <c r="D708" t="s">
        <v>5341</v>
      </c>
      <c r="E708" t="s">
        <v>1309</v>
      </c>
      <c r="F708">
        <v>2</v>
      </c>
      <c r="G708">
        <v>22</v>
      </c>
      <c r="H708">
        <v>48</v>
      </c>
      <c r="I708" t="s">
        <v>186</v>
      </c>
      <c r="J708" s="110">
        <v>706</v>
      </c>
      <c r="K708" t="s">
        <v>2893</v>
      </c>
      <c r="L708">
        <f>IF(Table_TRM_Fixtures[[#This Row],[Technology]]="LED", Table_TRM_Fixtures[[#This Row],[Fixture Watts  (TRM Data)]], Table_TRM_Fixtures[[#This Row],[Lamp Watts  (TRM Data)]])</f>
        <v>22</v>
      </c>
      <c r="M708">
        <f>Table_TRM_Fixtures[[#This Row],[No. of Lamps  (TRM Data)]]</f>
        <v>2</v>
      </c>
      <c r="N708" t="s">
        <v>186</v>
      </c>
      <c r="O708" t="s">
        <v>186</v>
      </c>
      <c r="R708" t="s">
        <v>2893</v>
      </c>
      <c r="S708" t="str">
        <f>Table_TRM_Fixtures[[#This Row],[Description  (TRM Data)]]</f>
        <v>Compact Fluorescent, Quad, (2) 22W lamps</v>
      </c>
      <c r="T708" t="str">
        <f>Table_TRM_Fixtures[[#This Row],[Fixture code  (TRM Data)]]</f>
        <v>CFQ22/2</v>
      </c>
      <c r="U708" t="s">
        <v>2882</v>
      </c>
      <c r="V708" t="s">
        <v>186</v>
      </c>
      <c r="W708" t="s">
        <v>3120</v>
      </c>
      <c r="X708" t="s">
        <v>186</v>
      </c>
      <c r="Y708" t="s">
        <v>4815</v>
      </c>
      <c r="Z708" t="s">
        <v>4815</v>
      </c>
      <c r="AA708">
        <f>IF(Table_TRM_Fixtures[[#This Row],[Pre-EISA Baseline]]="Nominal", Table_TRM_Fixtures[[#This Row],[Fixture Watts  (TRM Data)]], Table_TRM_Fixtures[[#This Row],[Modified Baseline Fixture Watts]])</f>
        <v>48</v>
      </c>
    </row>
    <row r="709" spans="1:27" x14ac:dyDescent="0.2">
      <c r="A709" t="s">
        <v>5342</v>
      </c>
      <c r="B709" t="s">
        <v>5336</v>
      </c>
      <c r="C709" t="s">
        <v>5343</v>
      </c>
      <c r="D709" t="s">
        <v>5344</v>
      </c>
      <c r="E709" t="s">
        <v>1309</v>
      </c>
      <c r="F709">
        <v>3</v>
      </c>
      <c r="G709">
        <v>22</v>
      </c>
      <c r="H709">
        <v>72</v>
      </c>
      <c r="I709" t="s">
        <v>186</v>
      </c>
      <c r="J709" s="110">
        <v>707</v>
      </c>
      <c r="K709" t="s">
        <v>2893</v>
      </c>
      <c r="L709">
        <f>IF(Table_TRM_Fixtures[[#This Row],[Technology]]="LED", Table_TRM_Fixtures[[#This Row],[Fixture Watts  (TRM Data)]], Table_TRM_Fixtures[[#This Row],[Lamp Watts  (TRM Data)]])</f>
        <v>22</v>
      </c>
      <c r="M709">
        <f>Table_TRM_Fixtures[[#This Row],[No. of Lamps  (TRM Data)]]</f>
        <v>3</v>
      </c>
      <c r="N709" t="s">
        <v>186</v>
      </c>
      <c r="O709" t="s">
        <v>186</v>
      </c>
      <c r="R709" t="s">
        <v>2893</v>
      </c>
      <c r="S709" t="str">
        <f>Table_TRM_Fixtures[[#This Row],[Description  (TRM Data)]]</f>
        <v>Compact Fluorescent, Quad, (3) 22W lamps</v>
      </c>
      <c r="T709" t="str">
        <f>Table_TRM_Fixtures[[#This Row],[Fixture code  (TRM Data)]]</f>
        <v>CFQ22/3</v>
      </c>
      <c r="U709" t="s">
        <v>2882</v>
      </c>
      <c r="V709" t="s">
        <v>186</v>
      </c>
      <c r="W709" t="s">
        <v>3120</v>
      </c>
      <c r="X709" t="s">
        <v>186</v>
      </c>
      <c r="Y709" t="str">
        <f>_xlfn.CONCAT(Table_TRM_Fixtures[[#This Row],[Combined Lighting/Ballast Types]],":",Table_TRM_Fixtures[[#This Row],[No. of Lamps]], ":", Table_TRM_Fixtures[[#This Row],[Lamp Watts  (TRM Data)]])</f>
        <v>CFL:3:22</v>
      </c>
      <c r="Z709"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CFL:3:22</v>
      </c>
      <c r="AA709">
        <f>IF(Table_TRM_Fixtures[[#This Row],[Pre-EISA Baseline]]="Nominal", Table_TRM_Fixtures[[#This Row],[Fixture Watts  (TRM Data)]], Table_TRM_Fixtures[[#This Row],[Modified Baseline Fixture Watts]])</f>
        <v>72</v>
      </c>
    </row>
    <row r="710" spans="1:27" x14ac:dyDescent="0.2">
      <c r="A710" t="s">
        <v>5345</v>
      </c>
      <c r="B710" t="s">
        <v>5346</v>
      </c>
      <c r="C710" t="s">
        <v>5347</v>
      </c>
      <c r="D710" t="s">
        <v>5348</v>
      </c>
      <c r="E710" t="s">
        <v>1309</v>
      </c>
      <c r="F710">
        <v>1</v>
      </c>
      <c r="G710">
        <v>23</v>
      </c>
      <c r="H710">
        <v>27</v>
      </c>
      <c r="I710" t="s">
        <v>186</v>
      </c>
      <c r="J710" s="110">
        <v>708</v>
      </c>
      <c r="K710" t="s">
        <v>2893</v>
      </c>
      <c r="L710">
        <f>IF(Table_TRM_Fixtures[[#This Row],[Technology]]="LED", Table_TRM_Fixtures[[#This Row],[Fixture Watts  (TRM Data)]], Table_TRM_Fixtures[[#This Row],[Lamp Watts  (TRM Data)]])</f>
        <v>23</v>
      </c>
      <c r="M710">
        <f>Table_TRM_Fixtures[[#This Row],[No. of Lamps  (TRM Data)]]</f>
        <v>1</v>
      </c>
      <c r="N710" t="s">
        <v>186</v>
      </c>
      <c r="O710" t="s">
        <v>186</v>
      </c>
      <c r="R710" t="s">
        <v>2893</v>
      </c>
      <c r="S710" t="str">
        <f>Table_TRM_Fixtures[[#This Row],[Description  (TRM Data)]]</f>
        <v>Compact Fluorescent, Quad, (1) 23W lamp</v>
      </c>
      <c r="T710" t="str">
        <f>Table_TRM_Fixtures[[#This Row],[Fixture code  (TRM Data)]]</f>
        <v>CFQ23/1</v>
      </c>
      <c r="U710" t="s">
        <v>2882</v>
      </c>
      <c r="V710" t="s">
        <v>186</v>
      </c>
      <c r="W710" t="s">
        <v>3120</v>
      </c>
      <c r="X710" t="s">
        <v>186</v>
      </c>
      <c r="Y710" t="str">
        <f>_xlfn.CONCAT(Table_TRM_Fixtures[[#This Row],[Combined Lighting/Ballast Types]],":",Table_TRM_Fixtures[[#This Row],[No. of Lamps]], ":", Table_TRM_Fixtures[[#This Row],[Lamp Watts  (TRM Data)]])</f>
        <v>CFL:1:23</v>
      </c>
      <c r="Z710"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CFL:1:23</v>
      </c>
      <c r="AA710">
        <f>IF(Table_TRM_Fixtures[[#This Row],[Pre-EISA Baseline]]="Nominal", Table_TRM_Fixtures[[#This Row],[Fixture Watts  (TRM Data)]], Table_TRM_Fixtures[[#This Row],[Modified Baseline Fixture Watts]])</f>
        <v>27</v>
      </c>
    </row>
    <row r="711" spans="1:27" x14ac:dyDescent="0.2">
      <c r="A711" t="s">
        <v>5349</v>
      </c>
      <c r="B711" t="s">
        <v>5350</v>
      </c>
      <c r="C711" t="s">
        <v>5351</v>
      </c>
      <c r="D711" t="s">
        <v>5352</v>
      </c>
      <c r="E711" t="s">
        <v>1309</v>
      </c>
      <c r="F711">
        <v>1</v>
      </c>
      <c r="G711">
        <v>25</v>
      </c>
      <c r="H711">
        <v>33</v>
      </c>
      <c r="I711" t="s">
        <v>186</v>
      </c>
      <c r="J711" s="110">
        <v>709</v>
      </c>
      <c r="K711" t="s">
        <v>2893</v>
      </c>
      <c r="L711">
        <f>IF(Table_TRM_Fixtures[[#This Row],[Technology]]="LED", Table_TRM_Fixtures[[#This Row],[Fixture Watts  (TRM Data)]], Table_TRM_Fixtures[[#This Row],[Lamp Watts  (TRM Data)]])</f>
        <v>25</v>
      </c>
      <c r="M711">
        <f>Table_TRM_Fixtures[[#This Row],[No. of Lamps  (TRM Data)]]</f>
        <v>1</v>
      </c>
      <c r="N711" t="s">
        <v>186</v>
      </c>
      <c r="O711" t="s">
        <v>186</v>
      </c>
      <c r="R711" t="s">
        <v>2893</v>
      </c>
      <c r="S711" t="str">
        <f>Table_TRM_Fixtures[[#This Row],[Description  (TRM Data)]]</f>
        <v>Compact Fluorescent, Quad, (1) 25W lamp</v>
      </c>
      <c r="T711" t="str">
        <f>Table_TRM_Fixtures[[#This Row],[Fixture code  (TRM Data)]]</f>
        <v>CFQ25/1</v>
      </c>
      <c r="U711" t="s">
        <v>2882</v>
      </c>
      <c r="V711" t="s">
        <v>186</v>
      </c>
      <c r="W711" t="s">
        <v>3120</v>
      </c>
      <c r="X711" t="s">
        <v>186</v>
      </c>
      <c r="Y711" t="str">
        <f>_xlfn.CONCAT(Table_TRM_Fixtures[[#This Row],[Combined Lighting/Ballast Types]],":",Table_TRM_Fixtures[[#This Row],[No. of Lamps]], ":", Table_TRM_Fixtures[[#This Row],[Lamp Watts  (TRM Data)]])</f>
        <v>CFL:1:25</v>
      </c>
      <c r="Z711"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CFL:1:25</v>
      </c>
      <c r="AA711">
        <f>IF(Table_TRM_Fixtures[[#This Row],[Pre-EISA Baseline]]="Nominal", Table_TRM_Fixtures[[#This Row],[Fixture Watts  (TRM Data)]], Table_TRM_Fixtures[[#This Row],[Modified Baseline Fixture Watts]])</f>
        <v>33</v>
      </c>
    </row>
    <row r="712" spans="1:27" x14ac:dyDescent="0.2">
      <c r="A712" t="s">
        <v>5353</v>
      </c>
      <c r="B712" t="s">
        <v>5350</v>
      </c>
      <c r="C712" t="s">
        <v>5354</v>
      </c>
      <c r="D712" t="s">
        <v>5355</v>
      </c>
      <c r="E712" t="s">
        <v>1309</v>
      </c>
      <c r="F712">
        <v>2</v>
      </c>
      <c r="G712">
        <v>25</v>
      </c>
      <c r="H712">
        <v>66</v>
      </c>
      <c r="I712" t="s">
        <v>186</v>
      </c>
      <c r="J712" s="110">
        <v>710</v>
      </c>
      <c r="K712" t="s">
        <v>2893</v>
      </c>
      <c r="L712">
        <f>IF(Table_TRM_Fixtures[[#This Row],[Technology]]="LED", Table_TRM_Fixtures[[#This Row],[Fixture Watts  (TRM Data)]], Table_TRM_Fixtures[[#This Row],[Lamp Watts  (TRM Data)]])</f>
        <v>25</v>
      </c>
      <c r="M712">
        <f>Table_TRM_Fixtures[[#This Row],[No. of Lamps  (TRM Data)]]</f>
        <v>2</v>
      </c>
      <c r="N712" t="s">
        <v>186</v>
      </c>
      <c r="O712" t="s">
        <v>186</v>
      </c>
      <c r="R712" t="s">
        <v>2893</v>
      </c>
      <c r="S712" t="str">
        <f>Table_TRM_Fixtures[[#This Row],[Description  (TRM Data)]]</f>
        <v>Compact Fluorescent, Quad, (2) 25W lamps</v>
      </c>
      <c r="T712" t="str">
        <f>Table_TRM_Fixtures[[#This Row],[Fixture code  (TRM Data)]]</f>
        <v>CFQ25/2</v>
      </c>
      <c r="U712" t="s">
        <v>2882</v>
      </c>
      <c r="V712" t="s">
        <v>186</v>
      </c>
      <c r="W712" t="s">
        <v>3120</v>
      </c>
      <c r="X712" t="s">
        <v>186</v>
      </c>
      <c r="Y712" t="str">
        <f>_xlfn.CONCAT(Table_TRM_Fixtures[[#This Row],[Combined Lighting/Ballast Types]],":",Table_TRM_Fixtures[[#This Row],[No. of Lamps]], ":", Table_TRM_Fixtures[[#This Row],[Lamp Watts  (TRM Data)]])</f>
        <v>CFL:2:25</v>
      </c>
      <c r="Z712"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CFL:2:25</v>
      </c>
      <c r="AA712">
        <f>IF(Table_TRM_Fixtures[[#This Row],[Pre-EISA Baseline]]="Nominal", Table_TRM_Fixtures[[#This Row],[Fixture Watts  (TRM Data)]], Table_TRM_Fixtures[[#This Row],[Modified Baseline Fixture Watts]])</f>
        <v>66</v>
      </c>
    </row>
    <row r="713" spans="1:27" x14ac:dyDescent="0.2">
      <c r="A713" t="s">
        <v>5356</v>
      </c>
      <c r="B713" t="s">
        <v>5357</v>
      </c>
      <c r="C713" t="s">
        <v>5358</v>
      </c>
      <c r="D713" t="s">
        <v>5359</v>
      </c>
      <c r="E713" t="s">
        <v>1309</v>
      </c>
      <c r="F713">
        <v>1</v>
      </c>
      <c r="G713">
        <v>26</v>
      </c>
      <c r="H713">
        <v>33</v>
      </c>
      <c r="I713" t="s">
        <v>186</v>
      </c>
      <c r="J713" s="110">
        <v>711</v>
      </c>
      <c r="K713" t="s">
        <v>2893</v>
      </c>
      <c r="L713">
        <f>IF(Table_TRM_Fixtures[[#This Row],[Technology]]="LED", Table_TRM_Fixtures[[#This Row],[Fixture Watts  (TRM Data)]], Table_TRM_Fixtures[[#This Row],[Lamp Watts  (TRM Data)]])</f>
        <v>26</v>
      </c>
      <c r="M713">
        <f>Table_TRM_Fixtures[[#This Row],[No. of Lamps  (TRM Data)]]</f>
        <v>1</v>
      </c>
      <c r="N713" t="s">
        <v>186</v>
      </c>
      <c r="O713" t="s">
        <v>186</v>
      </c>
      <c r="R713" t="s">
        <v>2893</v>
      </c>
      <c r="S713" t="str">
        <f>Table_TRM_Fixtures[[#This Row],[Description  (TRM Data)]]</f>
        <v>Compact Fluorescent, quad, (1) 26W lamp</v>
      </c>
      <c r="T713" t="str">
        <f>Table_TRM_Fixtures[[#This Row],[Fixture code  (TRM Data)]]</f>
        <v>CFQ26/1</v>
      </c>
      <c r="U713" t="s">
        <v>2882</v>
      </c>
      <c r="V713" t="s">
        <v>186</v>
      </c>
      <c r="W713" t="s">
        <v>3120</v>
      </c>
      <c r="X713" t="s">
        <v>186</v>
      </c>
      <c r="Y713" t="s">
        <v>4815</v>
      </c>
      <c r="Z713" t="s">
        <v>4815</v>
      </c>
      <c r="AA713">
        <f>IF(Table_TRM_Fixtures[[#This Row],[Pre-EISA Baseline]]="Nominal", Table_TRM_Fixtures[[#This Row],[Fixture Watts  (TRM Data)]], Table_TRM_Fixtures[[#This Row],[Modified Baseline Fixture Watts]])</f>
        <v>33</v>
      </c>
    </row>
    <row r="714" spans="1:27" x14ac:dyDescent="0.2">
      <c r="A714" t="s">
        <v>5360</v>
      </c>
      <c r="B714" t="s">
        <v>5357</v>
      </c>
      <c r="C714" t="s">
        <v>5361</v>
      </c>
      <c r="D714" t="s">
        <v>5359</v>
      </c>
      <c r="E714" t="s">
        <v>187</v>
      </c>
      <c r="F714">
        <v>1</v>
      </c>
      <c r="G714">
        <v>26</v>
      </c>
      <c r="H714">
        <v>27</v>
      </c>
      <c r="I714" t="s">
        <v>186</v>
      </c>
      <c r="J714" s="110">
        <v>712</v>
      </c>
      <c r="K714" t="s">
        <v>2893</v>
      </c>
      <c r="L714">
        <f>IF(Table_TRM_Fixtures[[#This Row],[Technology]]="LED", Table_TRM_Fixtures[[#This Row],[Fixture Watts  (TRM Data)]], Table_TRM_Fixtures[[#This Row],[Lamp Watts  (TRM Data)]])</f>
        <v>26</v>
      </c>
      <c r="M714">
        <f>Table_TRM_Fixtures[[#This Row],[No. of Lamps  (TRM Data)]]</f>
        <v>1</v>
      </c>
      <c r="N714" t="s">
        <v>186</v>
      </c>
      <c r="O714" t="s">
        <v>186</v>
      </c>
      <c r="R714" t="s">
        <v>2893</v>
      </c>
      <c r="S714" t="str">
        <f>Table_TRM_Fixtures[[#This Row],[Description  (TRM Data)]]</f>
        <v>Compact Fluorescent, quad, (1) 26W lamp, BF=0.95</v>
      </c>
      <c r="T714" t="str">
        <f>Table_TRM_Fixtures[[#This Row],[Fixture code  (TRM Data)]]</f>
        <v>CFQ26/1-L</v>
      </c>
      <c r="U714" t="s">
        <v>2882</v>
      </c>
      <c r="V714" t="s">
        <v>186</v>
      </c>
      <c r="W714" t="s">
        <v>3120</v>
      </c>
      <c r="X714" t="s">
        <v>186</v>
      </c>
      <c r="Y714" t="str">
        <f>_xlfn.CONCAT(Table_TRM_Fixtures[[#This Row],[Combined Lighting/Ballast Types]],":",Table_TRM_Fixtures[[#This Row],[No. of Lamps]], ":", Table_TRM_Fixtures[[#This Row],[Lamp Watts  (TRM Data)]])</f>
        <v>CFL:1:26</v>
      </c>
      <c r="Z714"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CFL:1:26</v>
      </c>
      <c r="AA714">
        <f>IF(Table_TRM_Fixtures[[#This Row],[Pre-EISA Baseline]]="Nominal", Table_TRM_Fixtures[[#This Row],[Fixture Watts  (TRM Data)]], Table_TRM_Fixtures[[#This Row],[Modified Baseline Fixture Watts]])</f>
        <v>27</v>
      </c>
    </row>
    <row r="715" spans="1:27" x14ac:dyDescent="0.2">
      <c r="A715" t="s">
        <v>5362</v>
      </c>
      <c r="B715" t="s">
        <v>5357</v>
      </c>
      <c r="C715" t="s">
        <v>5363</v>
      </c>
      <c r="D715" t="s">
        <v>5364</v>
      </c>
      <c r="E715" t="s">
        <v>1309</v>
      </c>
      <c r="F715">
        <v>2</v>
      </c>
      <c r="G715">
        <v>26</v>
      </c>
      <c r="H715">
        <v>66</v>
      </c>
      <c r="I715" t="s">
        <v>186</v>
      </c>
      <c r="J715" s="110">
        <v>713</v>
      </c>
      <c r="K715" t="s">
        <v>2893</v>
      </c>
      <c r="L715">
        <f>IF(Table_TRM_Fixtures[[#This Row],[Technology]]="LED", Table_TRM_Fixtures[[#This Row],[Fixture Watts  (TRM Data)]], Table_TRM_Fixtures[[#This Row],[Lamp Watts  (TRM Data)]])</f>
        <v>26</v>
      </c>
      <c r="M715">
        <f>Table_TRM_Fixtures[[#This Row],[No. of Lamps  (TRM Data)]]</f>
        <v>2</v>
      </c>
      <c r="N715" t="s">
        <v>186</v>
      </c>
      <c r="O715" t="s">
        <v>186</v>
      </c>
      <c r="R715" t="s">
        <v>2893</v>
      </c>
      <c r="S715" t="str">
        <f>Table_TRM_Fixtures[[#This Row],[Description  (TRM Data)]]</f>
        <v>Compact Fluorescent, quad, (2) 26W lamps</v>
      </c>
      <c r="T715" t="str">
        <f>Table_TRM_Fixtures[[#This Row],[Fixture code  (TRM Data)]]</f>
        <v>CFQ26/2</v>
      </c>
      <c r="U715" t="s">
        <v>2882</v>
      </c>
      <c r="V715" t="s">
        <v>186</v>
      </c>
      <c r="W715" t="s">
        <v>3120</v>
      </c>
      <c r="X715" t="s">
        <v>186</v>
      </c>
      <c r="Y715" t="s">
        <v>4815</v>
      </c>
      <c r="Z715" t="s">
        <v>4815</v>
      </c>
      <c r="AA715">
        <f>IF(Table_TRM_Fixtures[[#This Row],[Pre-EISA Baseline]]="Nominal", Table_TRM_Fixtures[[#This Row],[Fixture Watts  (TRM Data)]], Table_TRM_Fixtures[[#This Row],[Modified Baseline Fixture Watts]])</f>
        <v>66</v>
      </c>
    </row>
    <row r="716" spans="1:27" x14ac:dyDescent="0.2">
      <c r="A716" t="s">
        <v>5365</v>
      </c>
      <c r="B716" t="s">
        <v>5357</v>
      </c>
      <c r="C716" t="s">
        <v>5366</v>
      </c>
      <c r="D716" t="s">
        <v>5364</v>
      </c>
      <c r="E716" t="s">
        <v>187</v>
      </c>
      <c r="F716">
        <v>2</v>
      </c>
      <c r="G716">
        <v>26</v>
      </c>
      <c r="H716">
        <v>50</v>
      </c>
      <c r="I716" t="s">
        <v>186</v>
      </c>
      <c r="J716" s="110">
        <v>714</v>
      </c>
      <c r="K716" t="s">
        <v>2893</v>
      </c>
      <c r="L716">
        <f>IF(Table_TRM_Fixtures[[#This Row],[Technology]]="LED", Table_TRM_Fixtures[[#This Row],[Fixture Watts  (TRM Data)]], Table_TRM_Fixtures[[#This Row],[Lamp Watts  (TRM Data)]])</f>
        <v>26</v>
      </c>
      <c r="M716">
        <f>Table_TRM_Fixtures[[#This Row],[No. of Lamps  (TRM Data)]]</f>
        <v>2</v>
      </c>
      <c r="N716" t="s">
        <v>186</v>
      </c>
      <c r="O716" t="s">
        <v>186</v>
      </c>
      <c r="R716" t="s">
        <v>2893</v>
      </c>
      <c r="S716" t="str">
        <f>Table_TRM_Fixtures[[#This Row],[Description  (TRM Data)]]</f>
        <v>Compact Fluorescent, quad, (2) 26W lamps, BF=0.95</v>
      </c>
      <c r="T716" t="str">
        <f>Table_TRM_Fixtures[[#This Row],[Fixture code  (TRM Data)]]</f>
        <v>CFQ26/2-L</v>
      </c>
      <c r="U716" t="s">
        <v>2882</v>
      </c>
      <c r="V716" t="s">
        <v>186</v>
      </c>
      <c r="W716" t="s">
        <v>3120</v>
      </c>
      <c r="X716" t="s">
        <v>186</v>
      </c>
      <c r="Y716" t="str">
        <f>_xlfn.CONCAT(Table_TRM_Fixtures[[#This Row],[Combined Lighting/Ballast Types]],":",Table_TRM_Fixtures[[#This Row],[No. of Lamps]], ":", Table_TRM_Fixtures[[#This Row],[Lamp Watts  (TRM Data)]])</f>
        <v>CFL:2:26</v>
      </c>
      <c r="Z716"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CFL:2:26</v>
      </c>
      <c r="AA716">
        <f>IF(Table_TRM_Fixtures[[#This Row],[Pre-EISA Baseline]]="Nominal", Table_TRM_Fixtures[[#This Row],[Fixture Watts  (TRM Data)]], Table_TRM_Fixtures[[#This Row],[Modified Baseline Fixture Watts]])</f>
        <v>50</v>
      </c>
    </row>
    <row r="717" spans="1:27" x14ac:dyDescent="0.2">
      <c r="A717" t="s">
        <v>5367</v>
      </c>
      <c r="B717" t="s">
        <v>5357</v>
      </c>
      <c r="C717" t="s">
        <v>5368</v>
      </c>
      <c r="D717" t="s">
        <v>5369</v>
      </c>
      <c r="E717" t="s">
        <v>1309</v>
      </c>
      <c r="F717">
        <v>3</v>
      </c>
      <c r="G717">
        <v>26</v>
      </c>
      <c r="H717">
        <v>99</v>
      </c>
      <c r="I717" t="s">
        <v>186</v>
      </c>
      <c r="J717" s="110">
        <v>715</v>
      </c>
      <c r="K717" t="s">
        <v>2893</v>
      </c>
      <c r="L717">
        <f>IF(Table_TRM_Fixtures[[#This Row],[Technology]]="LED", Table_TRM_Fixtures[[#This Row],[Fixture Watts  (TRM Data)]], Table_TRM_Fixtures[[#This Row],[Lamp Watts  (TRM Data)]])</f>
        <v>26</v>
      </c>
      <c r="M717">
        <f>Table_TRM_Fixtures[[#This Row],[No. of Lamps  (TRM Data)]]</f>
        <v>3</v>
      </c>
      <c r="N717" t="s">
        <v>186</v>
      </c>
      <c r="O717" t="s">
        <v>186</v>
      </c>
      <c r="R717" t="s">
        <v>2893</v>
      </c>
      <c r="S717" t="str">
        <f>Table_TRM_Fixtures[[#This Row],[Description  (TRM Data)]]</f>
        <v>Compact Fluorescent, quad, (3) 26W lamps</v>
      </c>
      <c r="T717" t="str">
        <f>Table_TRM_Fixtures[[#This Row],[Fixture code  (TRM Data)]]</f>
        <v>CFQ26/3</v>
      </c>
      <c r="U717" t="s">
        <v>2882</v>
      </c>
      <c r="V717" t="s">
        <v>186</v>
      </c>
      <c r="W717" t="s">
        <v>3120</v>
      </c>
      <c r="X717" t="s">
        <v>186</v>
      </c>
      <c r="Y717" t="str">
        <f>_xlfn.CONCAT(Table_TRM_Fixtures[[#This Row],[Combined Lighting/Ballast Types]],":",Table_TRM_Fixtures[[#This Row],[No. of Lamps]], ":", Table_TRM_Fixtures[[#This Row],[Lamp Watts  (TRM Data)]])</f>
        <v>CFL:3:26</v>
      </c>
      <c r="Z717"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CFL:3:26</v>
      </c>
      <c r="AA717">
        <f>IF(Table_TRM_Fixtures[[#This Row],[Pre-EISA Baseline]]="Nominal", Table_TRM_Fixtures[[#This Row],[Fixture Watts  (TRM Data)]], Table_TRM_Fixtures[[#This Row],[Modified Baseline Fixture Watts]])</f>
        <v>99</v>
      </c>
    </row>
    <row r="718" spans="1:27" x14ac:dyDescent="0.2">
      <c r="A718" t="s">
        <v>5370</v>
      </c>
      <c r="B718" t="s">
        <v>5357</v>
      </c>
      <c r="C718" t="s">
        <v>5371</v>
      </c>
      <c r="D718" t="s">
        <v>5372</v>
      </c>
      <c r="E718" t="s">
        <v>187</v>
      </c>
      <c r="F718">
        <v>6</v>
      </c>
      <c r="G718">
        <v>26</v>
      </c>
      <c r="H718">
        <v>150</v>
      </c>
      <c r="I718" t="s">
        <v>186</v>
      </c>
      <c r="J718" s="110">
        <v>716</v>
      </c>
      <c r="K718" t="s">
        <v>2893</v>
      </c>
      <c r="L718">
        <f>IF(Table_TRM_Fixtures[[#This Row],[Technology]]="LED", Table_TRM_Fixtures[[#This Row],[Fixture Watts  (TRM Data)]], Table_TRM_Fixtures[[#This Row],[Lamp Watts  (TRM Data)]])</f>
        <v>26</v>
      </c>
      <c r="M718">
        <f>Table_TRM_Fixtures[[#This Row],[No. of Lamps  (TRM Data)]]</f>
        <v>6</v>
      </c>
      <c r="N718" t="s">
        <v>186</v>
      </c>
      <c r="O718" t="s">
        <v>186</v>
      </c>
      <c r="R718" t="s">
        <v>2893</v>
      </c>
      <c r="S718" t="str">
        <f>Table_TRM_Fixtures[[#This Row],[Description  (TRM Data)]]</f>
        <v>Compact Fluorescent, quad, (6) 26W lamps, BF=0.95</v>
      </c>
      <c r="T718" t="str">
        <f>Table_TRM_Fixtures[[#This Row],[Fixture code  (TRM Data)]]</f>
        <v>CFQ26/6-L</v>
      </c>
      <c r="U718" t="s">
        <v>2882</v>
      </c>
      <c r="V718" t="s">
        <v>186</v>
      </c>
      <c r="W718" t="s">
        <v>3120</v>
      </c>
      <c r="X718" t="s">
        <v>186</v>
      </c>
      <c r="Y718" t="str">
        <f>_xlfn.CONCAT(Table_TRM_Fixtures[[#This Row],[Combined Lighting/Ballast Types]],":",Table_TRM_Fixtures[[#This Row],[No. of Lamps]], ":", Table_TRM_Fixtures[[#This Row],[Lamp Watts  (TRM Data)]])</f>
        <v>CFL:6:26</v>
      </c>
      <c r="Z718"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CFL:6:26</v>
      </c>
      <c r="AA718">
        <f>IF(Table_TRM_Fixtures[[#This Row],[Pre-EISA Baseline]]="Nominal", Table_TRM_Fixtures[[#This Row],[Fixture Watts  (TRM Data)]], Table_TRM_Fixtures[[#This Row],[Modified Baseline Fixture Watts]])</f>
        <v>150</v>
      </c>
    </row>
    <row r="719" spans="1:27" x14ac:dyDescent="0.2">
      <c r="A719" t="s">
        <v>5373</v>
      </c>
      <c r="B719" t="s">
        <v>5374</v>
      </c>
      <c r="C719" t="s">
        <v>5375</v>
      </c>
      <c r="D719" t="s">
        <v>5376</v>
      </c>
      <c r="E719" t="s">
        <v>1309</v>
      </c>
      <c r="F719">
        <v>1</v>
      </c>
      <c r="G719">
        <v>28</v>
      </c>
      <c r="H719">
        <v>33</v>
      </c>
      <c r="I719" t="s">
        <v>186</v>
      </c>
      <c r="J719" s="110">
        <v>717</v>
      </c>
      <c r="K719" t="s">
        <v>2893</v>
      </c>
      <c r="L719">
        <f>IF(Table_TRM_Fixtures[[#This Row],[Technology]]="LED", Table_TRM_Fixtures[[#This Row],[Fixture Watts  (TRM Data)]], Table_TRM_Fixtures[[#This Row],[Lamp Watts  (TRM Data)]])</f>
        <v>28</v>
      </c>
      <c r="M719">
        <f>Table_TRM_Fixtures[[#This Row],[No. of Lamps  (TRM Data)]]</f>
        <v>1</v>
      </c>
      <c r="N719" t="s">
        <v>186</v>
      </c>
      <c r="O719" t="s">
        <v>186</v>
      </c>
      <c r="R719" t="s">
        <v>2893</v>
      </c>
      <c r="S719" t="str">
        <f>Table_TRM_Fixtures[[#This Row],[Description  (TRM Data)]]</f>
        <v>Compact Fluorescent, quad, (1) 28W lamp</v>
      </c>
      <c r="T719" t="str">
        <f>Table_TRM_Fixtures[[#This Row],[Fixture code  (TRM Data)]]</f>
        <v>CFQ28/1</v>
      </c>
      <c r="U719" t="s">
        <v>2882</v>
      </c>
      <c r="V719" t="s">
        <v>186</v>
      </c>
      <c r="W719" t="s">
        <v>3120</v>
      </c>
      <c r="X719" t="s">
        <v>186</v>
      </c>
      <c r="Y719" t="s">
        <v>4815</v>
      </c>
      <c r="Z719" t="s">
        <v>4815</v>
      </c>
      <c r="AA719">
        <f>IF(Table_TRM_Fixtures[[#This Row],[Pre-EISA Baseline]]="Nominal", Table_TRM_Fixtures[[#This Row],[Fixture Watts  (TRM Data)]], Table_TRM_Fixtures[[#This Row],[Modified Baseline Fixture Watts]])</f>
        <v>33</v>
      </c>
    </row>
    <row r="720" spans="1:27" x14ac:dyDescent="0.2">
      <c r="A720" t="s">
        <v>5377</v>
      </c>
      <c r="B720" t="s">
        <v>5374</v>
      </c>
      <c r="C720" t="s">
        <v>5375</v>
      </c>
      <c r="D720" t="s">
        <v>5376</v>
      </c>
      <c r="E720" t="s">
        <v>187</v>
      </c>
      <c r="F720">
        <v>1</v>
      </c>
      <c r="G720">
        <v>28</v>
      </c>
      <c r="H720">
        <v>31</v>
      </c>
      <c r="I720" t="s">
        <v>186</v>
      </c>
      <c r="J720" s="110">
        <v>718</v>
      </c>
      <c r="K720" t="s">
        <v>2893</v>
      </c>
      <c r="L720">
        <f>IF(Table_TRM_Fixtures[[#This Row],[Technology]]="LED", Table_TRM_Fixtures[[#This Row],[Fixture Watts  (TRM Data)]], Table_TRM_Fixtures[[#This Row],[Lamp Watts  (TRM Data)]])</f>
        <v>28</v>
      </c>
      <c r="M720">
        <f>Table_TRM_Fixtures[[#This Row],[No. of Lamps  (TRM Data)]]</f>
        <v>1</v>
      </c>
      <c r="N720" t="s">
        <v>186</v>
      </c>
      <c r="O720" t="s">
        <v>186</v>
      </c>
      <c r="R720" t="s">
        <v>2893</v>
      </c>
      <c r="S720" t="str">
        <f>Table_TRM_Fixtures[[#This Row],[Description  (TRM Data)]]</f>
        <v>Compact Fluorescent, quad, (1) 28W lamp</v>
      </c>
      <c r="T720" t="str">
        <f>Table_TRM_Fixtures[[#This Row],[Fixture code  (TRM Data)]]</f>
        <v>CFQ28/1-L</v>
      </c>
      <c r="U720" t="s">
        <v>2882</v>
      </c>
      <c r="V720" t="s">
        <v>186</v>
      </c>
      <c r="W720" t="s">
        <v>3120</v>
      </c>
      <c r="X720" t="s">
        <v>186</v>
      </c>
      <c r="Y720" t="str">
        <f>_xlfn.CONCAT(Table_TRM_Fixtures[[#This Row],[Combined Lighting/Ballast Types]],":",Table_TRM_Fixtures[[#This Row],[No. of Lamps]], ":", Table_TRM_Fixtures[[#This Row],[Lamp Watts  (TRM Data)]])</f>
        <v>CFL:1:28</v>
      </c>
      <c r="Z720"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CFL:1:28</v>
      </c>
      <c r="AA720">
        <f>IF(Table_TRM_Fixtures[[#This Row],[Pre-EISA Baseline]]="Nominal", Table_TRM_Fixtures[[#This Row],[Fixture Watts  (TRM Data)]], Table_TRM_Fixtures[[#This Row],[Modified Baseline Fixture Watts]])</f>
        <v>31</v>
      </c>
    </row>
    <row r="721" spans="1:27" x14ac:dyDescent="0.2">
      <c r="A721" t="s">
        <v>5378</v>
      </c>
      <c r="B721" t="s">
        <v>5374</v>
      </c>
      <c r="C721" t="s">
        <v>5379</v>
      </c>
      <c r="D721" t="s">
        <v>5380</v>
      </c>
      <c r="E721" t="s">
        <v>187</v>
      </c>
      <c r="F721">
        <v>2</v>
      </c>
      <c r="G721">
        <v>28</v>
      </c>
      <c r="H721">
        <v>60</v>
      </c>
      <c r="I721" t="s">
        <v>186</v>
      </c>
      <c r="J721" s="110">
        <v>719</v>
      </c>
      <c r="K721" t="s">
        <v>2893</v>
      </c>
      <c r="L721">
        <f>IF(Table_TRM_Fixtures[[#This Row],[Technology]]="LED", Table_TRM_Fixtures[[#This Row],[Fixture Watts  (TRM Data)]], Table_TRM_Fixtures[[#This Row],[Lamp Watts  (TRM Data)]])</f>
        <v>28</v>
      </c>
      <c r="M721">
        <f>Table_TRM_Fixtures[[#This Row],[No. of Lamps  (TRM Data)]]</f>
        <v>2</v>
      </c>
      <c r="N721" t="s">
        <v>186</v>
      </c>
      <c r="O721" t="s">
        <v>186</v>
      </c>
      <c r="R721" t="s">
        <v>2893</v>
      </c>
      <c r="S721" t="str">
        <f>Table_TRM_Fixtures[[#This Row],[Description  (TRM Data)]]</f>
        <v>Compact Fluorescent, quad, (2) 28W lamps</v>
      </c>
      <c r="T721" t="str">
        <f>Table_TRM_Fixtures[[#This Row],[Fixture code  (TRM Data)]]</f>
        <v>CFQ28/2-L</v>
      </c>
      <c r="U721" t="s">
        <v>2882</v>
      </c>
      <c r="V721" t="s">
        <v>186</v>
      </c>
      <c r="W721" t="s">
        <v>3120</v>
      </c>
      <c r="X721" t="s">
        <v>186</v>
      </c>
      <c r="Y721" t="str">
        <f>_xlfn.CONCAT(Table_TRM_Fixtures[[#This Row],[Combined Lighting/Ballast Types]],":",Table_TRM_Fixtures[[#This Row],[No. of Lamps]], ":", Table_TRM_Fixtures[[#This Row],[Lamp Watts  (TRM Data)]])</f>
        <v>CFL:2:28</v>
      </c>
      <c r="Z721"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CFL:2:28</v>
      </c>
      <c r="AA721">
        <f>IF(Table_TRM_Fixtures[[#This Row],[Pre-EISA Baseline]]="Nominal", Table_TRM_Fixtures[[#This Row],[Fixture Watts  (TRM Data)]], Table_TRM_Fixtures[[#This Row],[Modified Baseline Fixture Watts]])</f>
        <v>60</v>
      </c>
    </row>
    <row r="722" spans="1:27" x14ac:dyDescent="0.2">
      <c r="A722" t="s">
        <v>5381</v>
      </c>
      <c r="B722" t="s">
        <v>5382</v>
      </c>
      <c r="C722" t="s">
        <v>5383</v>
      </c>
      <c r="D722" t="s">
        <v>5384</v>
      </c>
      <c r="E722" t="s">
        <v>1309</v>
      </c>
      <c r="F722">
        <v>1</v>
      </c>
      <c r="G722">
        <v>5</v>
      </c>
      <c r="H722">
        <v>9</v>
      </c>
      <c r="I722" t="s">
        <v>186</v>
      </c>
      <c r="J722" s="110">
        <v>720</v>
      </c>
      <c r="K722" t="s">
        <v>2893</v>
      </c>
      <c r="L722">
        <f>IF(Table_TRM_Fixtures[[#This Row],[Technology]]="LED", Table_TRM_Fixtures[[#This Row],[Fixture Watts  (TRM Data)]], Table_TRM_Fixtures[[#This Row],[Lamp Watts  (TRM Data)]])</f>
        <v>5</v>
      </c>
      <c r="M722">
        <f>Table_TRM_Fixtures[[#This Row],[No. of Lamps  (TRM Data)]]</f>
        <v>1</v>
      </c>
      <c r="N722" t="s">
        <v>186</v>
      </c>
      <c r="O722" t="s">
        <v>186</v>
      </c>
      <c r="R722" t="s">
        <v>2893</v>
      </c>
      <c r="S722" t="str">
        <f>Table_TRM_Fixtures[[#This Row],[Description  (TRM Data)]]</f>
        <v>Compact Fluorescent, twin, (1) 5W lamp</v>
      </c>
      <c r="T722" t="str">
        <f>Table_TRM_Fixtures[[#This Row],[Fixture code  (TRM Data)]]</f>
        <v>CFT5/1</v>
      </c>
      <c r="U722" t="s">
        <v>2882</v>
      </c>
      <c r="V722" t="s">
        <v>186</v>
      </c>
      <c r="W722" t="s">
        <v>3120</v>
      </c>
      <c r="X722" t="s">
        <v>186</v>
      </c>
      <c r="Y722" t="str">
        <f>_xlfn.CONCAT(Table_TRM_Fixtures[[#This Row],[Combined Lighting/Ballast Types]],":",Table_TRM_Fixtures[[#This Row],[No. of Lamps]], ":", Table_TRM_Fixtures[[#This Row],[Lamp Watts  (TRM Data)]])</f>
        <v>CFL:1:5</v>
      </c>
      <c r="Z722"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CFL:1:5</v>
      </c>
      <c r="AA722">
        <f>IF(Table_TRM_Fixtures[[#This Row],[Pre-EISA Baseline]]="Nominal", Table_TRM_Fixtures[[#This Row],[Fixture Watts  (TRM Data)]], Table_TRM_Fixtures[[#This Row],[Modified Baseline Fixture Watts]])</f>
        <v>9</v>
      </c>
    </row>
    <row r="723" spans="1:27" x14ac:dyDescent="0.2">
      <c r="A723" t="s">
        <v>5385</v>
      </c>
      <c r="B723" t="s">
        <v>5382</v>
      </c>
      <c r="C723" t="s">
        <v>5386</v>
      </c>
      <c r="D723" t="s">
        <v>5387</v>
      </c>
      <c r="E723" t="s">
        <v>1309</v>
      </c>
      <c r="F723">
        <v>2</v>
      </c>
      <c r="G723">
        <v>5</v>
      </c>
      <c r="H723">
        <v>18</v>
      </c>
      <c r="I723" t="s">
        <v>186</v>
      </c>
      <c r="J723" s="110">
        <v>721</v>
      </c>
      <c r="K723" t="s">
        <v>2893</v>
      </c>
      <c r="L723">
        <f>IF(Table_TRM_Fixtures[[#This Row],[Technology]]="LED", Table_TRM_Fixtures[[#This Row],[Fixture Watts  (TRM Data)]], Table_TRM_Fixtures[[#This Row],[Lamp Watts  (TRM Data)]])</f>
        <v>5</v>
      </c>
      <c r="M723">
        <f>Table_TRM_Fixtures[[#This Row],[No. of Lamps  (TRM Data)]]</f>
        <v>2</v>
      </c>
      <c r="N723" t="s">
        <v>186</v>
      </c>
      <c r="O723" t="s">
        <v>186</v>
      </c>
      <c r="R723" t="s">
        <v>2893</v>
      </c>
      <c r="S723" t="str">
        <f>Table_TRM_Fixtures[[#This Row],[Description  (TRM Data)]]</f>
        <v>Compact Fluorescent, long twin, (2) 5W lamps</v>
      </c>
      <c r="T723" t="str">
        <f>Table_TRM_Fixtures[[#This Row],[Fixture code  (TRM Data)]]</f>
        <v>CFT5/2</v>
      </c>
      <c r="U723" t="s">
        <v>2882</v>
      </c>
      <c r="V723" t="s">
        <v>186</v>
      </c>
      <c r="W723" t="s">
        <v>3120</v>
      </c>
      <c r="X723" t="s">
        <v>186</v>
      </c>
      <c r="Y723" t="str">
        <f>_xlfn.CONCAT(Table_TRM_Fixtures[[#This Row],[Combined Lighting/Ballast Types]],":",Table_TRM_Fixtures[[#This Row],[No. of Lamps]], ":", Table_TRM_Fixtures[[#This Row],[Lamp Watts  (TRM Data)]])</f>
        <v>CFL:2:5</v>
      </c>
      <c r="Z723"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CFL:2:5</v>
      </c>
      <c r="AA723">
        <f>IF(Table_TRM_Fixtures[[#This Row],[Pre-EISA Baseline]]="Nominal", Table_TRM_Fixtures[[#This Row],[Fixture Watts  (TRM Data)]], Table_TRM_Fixtures[[#This Row],[Modified Baseline Fixture Watts]])</f>
        <v>18</v>
      </c>
    </row>
    <row r="724" spans="1:27" x14ac:dyDescent="0.2">
      <c r="A724" t="s">
        <v>5388</v>
      </c>
      <c r="B724" t="s">
        <v>5389</v>
      </c>
      <c r="C724" t="s">
        <v>5390</v>
      </c>
      <c r="D724" t="s">
        <v>5391</v>
      </c>
      <c r="E724" t="s">
        <v>1309</v>
      </c>
      <c r="F724">
        <v>1</v>
      </c>
      <c r="G724">
        <v>7</v>
      </c>
      <c r="H724">
        <v>10</v>
      </c>
      <c r="I724" t="s">
        <v>186</v>
      </c>
      <c r="J724" s="110">
        <v>722</v>
      </c>
      <c r="K724" t="s">
        <v>2893</v>
      </c>
      <c r="L724">
        <f>IF(Table_TRM_Fixtures[[#This Row],[Technology]]="LED", Table_TRM_Fixtures[[#This Row],[Fixture Watts  (TRM Data)]], Table_TRM_Fixtures[[#This Row],[Lamp Watts  (TRM Data)]])</f>
        <v>7</v>
      </c>
      <c r="M724">
        <f>Table_TRM_Fixtures[[#This Row],[No. of Lamps  (TRM Data)]]</f>
        <v>1</v>
      </c>
      <c r="N724" t="s">
        <v>186</v>
      </c>
      <c r="O724" t="s">
        <v>186</v>
      </c>
      <c r="R724" t="s">
        <v>2893</v>
      </c>
      <c r="S724" t="str">
        <f>Table_TRM_Fixtures[[#This Row],[Description  (TRM Data)]]</f>
        <v>Compact Fluorescent, twin, (1) 7W lamp</v>
      </c>
      <c r="T724" t="str">
        <f>Table_TRM_Fixtures[[#This Row],[Fixture code  (TRM Data)]]</f>
        <v>CFT7/1</v>
      </c>
      <c r="U724" t="s">
        <v>2882</v>
      </c>
      <c r="V724" t="s">
        <v>186</v>
      </c>
      <c r="W724" t="s">
        <v>3120</v>
      </c>
      <c r="X724" t="s">
        <v>186</v>
      </c>
      <c r="Y724" t="str">
        <f>_xlfn.CONCAT(Table_TRM_Fixtures[[#This Row],[Combined Lighting/Ballast Types]],":",Table_TRM_Fixtures[[#This Row],[No. of Lamps]], ":", Table_TRM_Fixtures[[#This Row],[Lamp Watts  (TRM Data)]])</f>
        <v>CFL:1:7</v>
      </c>
      <c r="Z724"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CFL:1:7</v>
      </c>
      <c r="AA724">
        <f>IF(Table_TRM_Fixtures[[#This Row],[Pre-EISA Baseline]]="Nominal", Table_TRM_Fixtures[[#This Row],[Fixture Watts  (TRM Data)]], Table_TRM_Fixtures[[#This Row],[Modified Baseline Fixture Watts]])</f>
        <v>10</v>
      </c>
    </row>
    <row r="725" spans="1:27" x14ac:dyDescent="0.2">
      <c r="A725" t="s">
        <v>5392</v>
      </c>
      <c r="B725" t="s">
        <v>5389</v>
      </c>
      <c r="C725" t="s">
        <v>5393</v>
      </c>
      <c r="D725" t="s">
        <v>5394</v>
      </c>
      <c r="E725" t="s">
        <v>1309</v>
      </c>
      <c r="F725">
        <v>2</v>
      </c>
      <c r="G725">
        <v>7</v>
      </c>
      <c r="H725">
        <v>21</v>
      </c>
      <c r="I725" t="s">
        <v>186</v>
      </c>
      <c r="J725" s="110">
        <v>723</v>
      </c>
      <c r="K725" t="s">
        <v>2893</v>
      </c>
      <c r="L725">
        <f>IF(Table_TRM_Fixtures[[#This Row],[Technology]]="LED", Table_TRM_Fixtures[[#This Row],[Fixture Watts  (TRM Data)]], Table_TRM_Fixtures[[#This Row],[Lamp Watts  (TRM Data)]])</f>
        <v>7</v>
      </c>
      <c r="M725">
        <f>Table_TRM_Fixtures[[#This Row],[No. of Lamps  (TRM Data)]]</f>
        <v>2</v>
      </c>
      <c r="N725" t="s">
        <v>186</v>
      </c>
      <c r="O725" t="s">
        <v>186</v>
      </c>
      <c r="R725" t="s">
        <v>2893</v>
      </c>
      <c r="S725" t="str">
        <f>Table_TRM_Fixtures[[#This Row],[Description  (TRM Data)]]</f>
        <v>Compact Fluorescent, twin, (2) 7W lamps</v>
      </c>
      <c r="T725" t="str">
        <f>Table_TRM_Fixtures[[#This Row],[Fixture code  (TRM Data)]]</f>
        <v>CFT7/2</v>
      </c>
      <c r="U725" t="s">
        <v>2882</v>
      </c>
      <c r="V725" t="s">
        <v>186</v>
      </c>
      <c r="W725" t="s">
        <v>3120</v>
      </c>
      <c r="X725" t="s">
        <v>186</v>
      </c>
      <c r="Y725" t="str">
        <f>_xlfn.CONCAT(Table_TRM_Fixtures[[#This Row],[Combined Lighting/Ballast Types]],":",Table_TRM_Fixtures[[#This Row],[No. of Lamps]], ":", Table_TRM_Fixtures[[#This Row],[Lamp Watts  (TRM Data)]])</f>
        <v>CFL:2:7</v>
      </c>
      <c r="Z725"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CFL:2:7</v>
      </c>
      <c r="AA725">
        <f>IF(Table_TRM_Fixtures[[#This Row],[Pre-EISA Baseline]]="Nominal", Table_TRM_Fixtures[[#This Row],[Fixture Watts  (TRM Data)]], Table_TRM_Fixtures[[#This Row],[Modified Baseline Fixture Watts]])</f>
        <v>21</v>
      </c>
    </row>
    <row r="726" spans="1:27" x14ac:dyDescent="0.2">
      <c r="A726" t="s">
        <v>5395</v>
      </c>
      <c r="B726" t="s">
        <v>5396</v>
      </c>
      <c r="C726" t="s">
        <v>5397</v>
      </c>
      <c r="D726" t="s">
        <v>5398</v>
      </c>
      <c r="E726" t="s">
        <v>1309</v>
      </c>
      <c r="F726">
        <v>1</v>
      </c>
      <c r="G726">
        <v>9</v>
      </c>
      <c r="H726">
        <v>12</v>
      </c>
      <c r="I726" t="s">
        <v>186</v>
      </c>
      <c r="J726" s="110">
        <v>724</v>
      </c>
      <c r="K726" t="s">
        <v>2893</v>
      </c>
      <c r="L726">
        <f>IF(Table_TRM_Fixtures[[#This Row],[Technology]]="LED", Table_TRM_Fixtures[[#This Row],[Fixture Watts  (TRM Data)]], Table_TRM_Fixtures[[#This Row],[Lamp Watts  (TRM Data)]])</f>
        <v>9</v>
      </c>
      <c r="M726">
        <f>Table_TRM_Fixtures[[#This Row],[No. of Lamps  (TRM Data)]]</f>
        <v>1</v>
      </c>
      <c r="N726" t="s">
        <v>186</v>
      </c>
      <c r="O726" t="s">
        <v>186</v>
      </c>
      <c r="R726" t="s">
        <v>2893</v>
      </c>
      <c r="S726" t="str">
        <f>Table_TRM_Fixtures[[#This Row],[Description  (TRM Data)]]</f>
        <v>Compact Fluorescent, twin, (1) 9W lamp</v>
      </c>
      <c r="T726" t="str">
        <f>Table_TRM_Fixtures[[#This Row],[Fixture code  (TRM Data)]]</f>
        <v>CFT9/1</v>
      </c>
      <c r="U726" t="s">
        <v>2882</v>
      </c>
      <c r="V726" t="s">
        <v>186</v>
      </c>
      <c r="W726" t="s">
        <v>3120</v>
      </c>
      <c r="X726" t="s">
        <v>186</v>
      </c>
      <c r="Y726" t="str">
        <f>_xlfn.CONCAT(Table_TRM_Fixtures[[#This Row],[Combined Lighting/Ballast Types]],":",Table_TRM_Fixtures[[#This Row],[No. of Lamps]], ":", Table_TRM_Fixtures[[#This Row],[Lamp Watts  (TRM Data)]])</f>
        <v>CFL:1:9</v>
      </c>
      <c r="Z726"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CFL:1:9</v>
      </c>
      <c r="AA726">
        <f>IF(Table_TRM_Fixtures[[#This Row],[Pre-EISA Baseline]]="Nominal", Table_TRM_Fixtures[[#This Row],[Fixture Watts  (TRM Data)]], Table_TRM_Fixtures[[#This Row],[Modified Baseline Fixture Watts]])</f>
        <v>12</v>
      </c>
    </row>
    <row r="727" spans="1:27" x14ac:dyDescent="0.2">
      <c r="A727" t="s">
        <v>5399</v>
      </c>
      <c r="B727" t="s">
        <v>5396</v>
      </c>
      <c r="C727" t="s">
        <v>5400</v>
      </c>
      <c r="D727" t="s">
        <v>5401</v>
      </c>
      <c r="E727" t="s">
        <v>1309</v>
      </c>
      <c r="F727">
        <v>2</v>
      </c>
      <c r="G727">
        <v>9</v>
      </c>
      <c r="H727">
        <v>23</v>
      </c>
      <c r="I727" t="s">
        <v>186</v>
      </c>
      <c r="J727" s="110">
        <v>725</v>
      </c>
      <c r="K727" t="s">
        <v>2893</v>
      </c>
      <c r="L727">
        <f>IF(Table_TRM_Fixtures[[#This Row],[Technology]]="LED", Table_TRM_Fixtures[[#This Row],[Fixture Watts  (TRM Data)]], Table_TRM_Fixtures[[#This Row],[Lamp Watts  (TRM Data)]])</f>
        <v>9</v>
      </c>
      <c r="M727">
        <f>Table_TRM_Fixtures[[#This Row],[No. of Lamps  (TRM Data)]]</f>
        <v>2</v>
      </c>
      <c r="N727" t="s">
        <v>186</v>
      </c>
      <c r="O727" t="s">
        <v>186</v>
      </c>
      <c r="R727" t="s">
        <v>2893</v>
      </c>
      <c r="S727" t="str">
        <f>Table_TRM_Fixtures[[#This Row],[Description  (TRM Data)]]</f>
        <v>Compact Fluorescent, twin, (2) 9W lamps</v>
      </c>
      <c r="T727" t="str">
        <f>Table_TRM_Fixtures[[#This Row],[Fixture code  (TRM Data)]]</f>
        <v>CFT9/2</v>
      </c>
      <c r="U727" t="s">
        <v>2882</v>
      </c>
      <c r="V727" t="s">
        <v>186</v>
      </c>
      <c r="W727" t="s">
        <v>3120</v>
      </c>
      <c r="X727" t="s">
        <v>186</v>
      </c>
      <c r="Y727" t="str">
        <f>_xlfn.CONCAT(Table_TRM_Fixtures[[#This Row],[Combined Lighting/Ballast Types]],":",Table_TRM_Fixtures[[#This Row],[No. of Lamps]], ":", Table_TRM_Fixtures[[#This Row],[Lamp Watts  (TRM Data)]])</f>
        <v>CFL:2:9</v>
      </c>
      <c r="Z727"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CFL:2:9</v>
      </c>
      <c r="AA727">
        <f>IF(Table_TRM_Fixtures[[#This Row],[Pre-EISA Baseline]]="Nominal", Table_TRM_Fixtures[[#This Row],[Fixture Watts  (TRM Data)]], Table_TRM_Fixtures[[#This Row],[Modified Baseline Fixture Watts]])</f>
        <v>23</v>
      </c>
    </row>
    <row r="728" spans="1:27" x14ac:dyDescent="0.2">
      <c r="A728" t="s">
        <v>5402</v>
      </c>
      <c r="B728" t="s">
        <v>5396</v>
      </c>
      <c r="C728" t="s">
        <v>5403</v>
      </c>
      <c r="D728" t="s">
        <v>5404</v>
      </c>
      <c r="E728" t="s">
        <v>1309</v>
      </c>
      <c r="F728">
        <v>3</v>
      </c>
      <c r="G728">
        <v>9</v>
      </c>
      <c r="H728">
        <v>34</v>
      </c>
      <c r="I728" t="s">
        <v>186</v>
      </c>
      <c r="J728" s="110">
        <v>726</v>
      </c>
      <c r="K728" t="s">
        <v>2893</v>
      </c>
      <c r="L728">
        <f>IF(Table_TRM_Fixtures[[#This Row],[Technology]]="LED", Table_TRM_Fixtures[[#This Row],[Fixture Watts  (TRM Data)]], Table_TRM_Fixtures[[#This Row],[Lamp Watts  (TRM Data)]])</f>
        <v>9</v>
      </c>
      <c r="M728">
        <f>Table_TRM_Fixtures[[#This Row],[No. of Lamps  (TRM Data)]]</f>
        <v>3</v>
      </c>
      <c r="N728" t="s">
        <v>186</v>
      </c>
      <c r="O728" t="s">
        <v>186</v>
      </c>
      <c r="R728" t="s">
        <v>2893</v>
      </c>
      <c r="S728" t="str">
        <f>Table_TRM_Fixtures[[#This Row],[Description  (TRM Data)]]</f>
        <v>Compact Fluorescent, twin, (3) 9 W lamps</v>
      </c>
      <c r="T728" t="str">
        <f>Table_TRM_Fixtures[[#This Row],[Fixture code  (TRM Data)]]</f>
        <v>CFT9/3</v>
      </c>
      <c r="U728" t="s">
        <v>2882</v>
      </c>
      <c r="V728" t="s">
        <v>186</v>
      </c>
      <c r="W728" t="s">
        <v>3120</v>
      </c>
      <c r="X728" t="s">
        <v>186</v>
      </c>
      <c r="Y728" t="str">
        <f>_xlfn.CONCAT(Table_TRM_Fixtures[[#This Row],[Combined Lighting/Ballast Types]],":",Table_TRM_Fixtures[[#This Row],[No. of Lamps]], ":", Table_TRM_Fixtures[[#This Row],[Lamp Watts  (TRM Data)]])</f>
        <v>CFL:3:9</v>
      </c>
      <c r="Z728"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CFL:3:9</v>
      </c>
      <c r="AA728">
        <f>IF(Table_TRM_Fixtures[[#This Row],[Pre-EISA Baseline]]="Nominal", Table_TRM_Fixtures[[#This Row],[Fixture Watts  (TRM Data)]], Table_TRM_Fixtures[[#This Row],[Modified Baseline Fixture Watts]])</f>
        <v>34</v>
      </c>
    </row>
    <row r="729" spans="1:27" x14ac:dyDescent="0.2">
      <c r="A729" t="s">
        <v>5405</v>
      </c>
      <c r="B729" t="s">
        <v>5406</v>
      </c>
      <c r="C729" t="s">
        <v>5407</v>
      </c>
      <c r="D729" t="s">
        <v>5408</v>
      </c>
      <c r="E729" t="s">
        <v>1309</v>
      </c>
      <c r="F729">
        <v>1</v>
      </c>
      <c r="G729">
        <v>13</v>
      </c>
      <c r="H729">
        <v>17</v>
      </c>
      <c r="I729" t="s">
        <v>186</v>
      </c>
      <c r="J729" s="110">
        <v>727</v>
      </c>
      <c r="K729" t="s">
        <v>2893</v>
      </c>
      <c r="L729">
        <f>IF(Table_TRM_Fixtures[[#This Row],[Technology]]="LED", Table_TRM_Fixtures[[#This Row],[Fixture Watts  (TRM Data)]], Table_TRM_Fixtures[[#This Row],[Lamp Watts  (TRM Data)]])</f>
        <v>13</v>
      </c>
      <c r="M729">
        <f>Table_TRM_Fixtures[[#This Row],[No. of Lamps  (TRM Data)]]</f>
        <v>1</v>
      </c>
      <c r="N729" t="s">
        <v>186</v>
      </c>
      <c r="O729" t="s">
        <v>186</v>
      </c>
      <c r="R729" t="s">
        <v>2893</v>
      </c>
      <c r="S729" t="str">
        <f>Table_TRM_Fixtures[[#This Row],[Description  (TRM Data)]]</f>
        <v>Compact Fluorescent, twin, (1) 13W lamp</v>
      </c>
      <c r="T729" t="str">
        <f>Table_TRM_Fixtures[[#This Row],[Fixture code  (TRM Data)]]</f>
        <v>CFT13/1</v>
      </c>
      <c r="U729" t="s">
        <v>2882</v>
      </c>
      <c r="V729" t="s">
        <v>186</v>
      </c>
      <c r="W729" t="s">
        <v>3120</v>
      </c>
      <c r="X729" t="s">
        <v>186</v>
      </c>
      <c r="Y729" t="s">
        <v>4815</v>
      </c>
      <c r="Z729" t="s">
        <v>4815</v>
      </c>
      <c r="AA729">
        <f>IF(Table_TRM_Fixtures[[#This Row],[Pre-EISA Baseline]]="Nominal", Table_TRM_Fixtures[[#This Row],[Fixture Watts  (TRM Data)]], Table_TRM_Fixtures[[#This Row],[Modified Baseline Fixture Watts]])</f>
        <v>17</v>
      </c>
    </row>
    <row r="730" spans="1:27" x14ac:dyDescent="0.2">
      <c r="A730" t="s">
        <v>5409</v>
      </c>
      <c r="B730" t="s">
        <v>5406</v>
      </c>
      <c r="C730" t="s">
        <v>5407</v>
      </c>
      <c r="D730" t="s">
        <v>5408</v>
      </c>
      <c r="E730" t="s">
        <v>187</v>
      </c>
      <c r="F730">
        <v>1</v>
      </c>
      <c r="G730">
        <v>13</v>
      </c>
      <c r="H730">
        <v>15</v>
      </c>
      <c r="I730" t="s">
        <v>186</v>
      </c>
      <c r="J730" s="110">
        <v>728</v>
      </c>
      <c r="K730" t="s">
        <v>2893</v>
      </c>
      <c r="L730">
        <f>IF(Table_TRM_Fixtures[[#This Row],[Technology]]="LED", Table_TRM_Fixtures[[#This Row],[Fixture Watts  (TRM Data)]], Table_TRM_Fixtures[[#This Row],[Lamp Watts  (TRM Data)]])</f>
        <v>13</v>
      </c>
      <c r="M730">
        <f>Table_TRM_Fixtures[[#This Row],[No. of Lamps  (TRM Data)]]</f>
        <v>1</v>
      </c>
      <c r="N730" t="s">
        <v>186</v>
      </c>
      <c r="O730" t="s">
        <v>186</v>
      </c>
      <c r="R730" t="s">
        <v>2893</v>
      </c>
      <c r="S730" t="str">
        <f>Table_TRM_Fixtures[[#This Row],[Description  (TRM Data)]]</f>
        <v>Compact Fluorescent, twin, (1) 13W lamp</v>
      </c>
      <c r="T730" t="str">
        <f>Table_TRM_Fixtures[[#This Row],[Fixture code  (TRM Data)]]</f>
        <v>CFT13/1-L</v>
      </c>
      <c r="U730" t="s">
        <v>2882</v>
      </c>
      <c r="V730" t="s">
        <v>186</v>
      </c>
      <c r="W730" t="s">
        <v>3120</v>
      </c>
      <c r="X730" t="s">
        <v>186</v>
      </c>
      <c r="Y730" t="str">
        <f>_xlfn.CONCAT(Table_TRM_Fixtures[[#This Row],[Combined Lighting/Ballast Types]],":",Table_TRM_Fixtures[[#This Row],[No. of Lamps]], ":", Table_TRM_Fixtures[[#This Row],[Lamp Watts  (TRM Data)]])</f>
        <v>CFL:1:13</v>
      </c>
      <c r="Z730"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CFL:1:13</v>
      </c>
      <c r="AA730">
        <f>IF(Table_TRM_Fixtures[[#This Row],[Pre-EISA Baseline]]="Nominal", Table_TRM_Fixtures[[#This Row],[Fixture Watts  (TRM Data)]], Table_TRM_Fixtures[[#This Row],[Modified Baseline Fixture Watts]])</f>
        <v>15</v>
      </c>
    </row>
    <row r="731" spans="1:27" x14ac:dyDescent="0.2">
      <c r="A731" t="s">
        <v>5410</v>
      </c>
      <c r="B731" t="s">
        <v>5406</v>
      </c>
      <c r="C731" t="s">
        <v>5411</v>
      </c>
      <c r="D731" t="s">
        <v>5412</v>
      </c>
      <c r="E731" t="s">
        <v>1309</v>
      </c>
      <c r="F731">
        <v>2</v>
      </c>
      <c r="G731">
        <v>13</v>
      </c>
      <c r="H731">
        <v>31</v>
      </c>
      <c r="I731" t="s">
        <v>186</v>
      </c>
      <c r="J731" s="110">
        <v>729</v>
      </c>
      <c r="K731" t="s">
        <v>2893</v>
      </c>
      <c r="L731">
        <f>IF(Table_TRM_Fixtures[[#This Row],[Technology]]="LED", Table_TRM_Fixtures[[#This Row],[Fixture Watts  (TRM Data)]], Table_TRM_Fixtures[[#This Row],[Lamp Watts  (TRM Data)]])</f>
        <v>13</v>
      </c>
      <c r="M731">
        <f>Table_TRM_Fixtures[[#This Row],[No. of Lamps  (TRM Data)]]</f>
        <v>2</v>
      </c>
      <c r="N731" t="s">
        <v>186</v>
      </c>
      <c r="O731" t="s">
        <v>186</v>
      </c>
      <c r="R731" t="s">
        <v>2893</v>
      </c>
      <c r="S731" t="str">
        <f>Table_TRM_Fixtures[[#This Row],[Description  (TRM Data)]]</f>
        <v>Compact Fluorescent, twin, (2) 13W lamps</v>
      </c>
      <c r="T731" t="str">
        <f>Table_TRM_Fixtures[[#This Row],[Fixture code  (TRM Data)]]</f>
        <v>CFT13/2</v>
      </c>
      <c r="U731" t="s">
        <v>2882</v>
      </c>
      <c r="V731" t="s">
        <v>186</v>
      </c>
      <c r="W731" t="s">
        <v>3120</v>
      </c>
      <c r="X731" t="s">
        <v>186</v>
      </c>
      <c r="Y731" t="s">
        <v>4815</v>
      </c>
      <c r="Z731" t="s">
        <v>4815</v>
      </c>
      <c r="AA731">
        <f>IF(Table_TRM_Fixtures[[#This Row],[Pre-EISA Baseline]]="Nominal", Table_TRM_Fixtures[[#This Row],[Fixture Watts  (TRM Data)]], Table_TRM_Fixtures[[#This Row],[Modified Baseline Fixture Watts]])</f>
        <v>31</v>
      </c>
    </row>
    <row r="732" spans="1:27" x14ac:dyDescent="0.2">
      <c r="A732" t="s">
        <v>5413</v>
      </c>
      <c r="B732" t="s">
        <v>5406</v>
      </c>
      <c r="C732" t="s">
        <v>5411</v>
      </c>
      <c r="D732" t="s">
        <v>5412</v>
      </c>
      <c r="E732" t="s">
        <v>187</v>
      </c>
      <c r="F732">
        <v>2</v>
      </c>
      <c r="G732">
        <v>13</v>
      </c>
      <c r="H732">
        <v>28</v>
      </c>
      <c r="I732" t="s">
        <v>186</v>
      </c>
      <c r="J732" s="110">
        <v>730</v>
      </c>
      <c r="K732" t="s">
        <v>2893</v>
      </c>
      <c r="L732">
        <f>IF(Table_TRM_Fixtures[[#This Row],[Technology]]="LED", Table_TRM_Fixtures[[#This Row],[Fixture Watts  (TRM Data)]], Table_TRM_Fixtures[[#This Row],[Lamp Watts  (TRM Data)]])</f>
        <v>13</v>
      </c>
      <c r="M732">
        <f>Table_TRM_Fixtures[[#This Row],[No. of Lamps  (TRM Data)]]</f>
        <v>2</v>
      </c>
      <c r="N732" t="s">
        <v>186</v>
      </c>
      <c r="O732" t="s">
        <v>186</v>
      </c>
      <c r="R732" t="s">
        <v>2893</v>
      </c>
      <c r="S732" t="str">
        <f>Table_TRM_Fixtures[[#This Row],[Description  (TRM Data)]]</f>
        <v>Compact Fluorescent, twin, (2) 13W lamps</v>
      </c>
      <c r="T732" t="str">
        <f>Table_TRM_Fixtures[[#This Row],[Fixture code  (TRM Data)]]</f>
        <v>CFT13/2-L</v>
      </c>
      <c r="U732" t="s">
        <v>2882</v>
      </c>
      <c r="V732" t="s">
        <v>186</v>
      </c>
      <c r="W732" t="s">
        <v>3120</v>
      </c>
      <c r="X732" t="s">
        <v>186</v>
      </c>
      <c r="Y732" t="s">
        <v>4815</v>
      </c>
      <c r="Z732" t="s">
        <v>4815</v>
      </c>
      <c r="AA732">
        <f>IF(Table_TRM_Fixtures[[#This Row],[Pre-EISA Baseline]]="Nominal", Table_TRM_Fixtures[[#This Row],[Fixture Watts  (TRM Data)]], Table_TRM_Fixtures[[#This Row],[Modified Baseline Fixture Watts]])</f>
        <v>28</v>
      </c>
    </row>
    <row r="733" spans="1:27" x14ac:dyDescent="0.2">
      <c r="A733" t="s">
        <v>5414</v>
      </c>
      <c r="B733" t="s">
        <v>5406</v>
      </c>
      <c r="C733" t="s">
        <v>5415</v>
      </c>
      <c r="D733" t="s">
        <v>5416</v>
      </c>
      <c r="E733" t="s">
        <v>1309</v>
      </c>
      <c r="F733">
        <v>3</v>
      </c>
      <c r="G733">
        <v>13</v>
      </c>
      <c r="H733">
        <v>48</v>
      </c>
      <c r="I733" t="s">
        <v>186</v>
      </c>
      <c r="J733" s="110">
        <v>731</v>
      </c>
      <c r="K733" t="s">
        <v>2893</v>
      </c>
      <c r="L733">
        <f>IF(Table_TRM_Fixtures[[#This Row],[Technology]]="LED", Table_TRM_Fixtures[[#This Row],[Fixture Watts  (TRM Data)]], Table_TRM_Fixtures[[#This Row],[Lamp Watts  (TRM Data)]])</f>
        <v>13</v>
      </c>
      <c r="M733">
        <f>Table_TRM_Fixtures[[#This Row],[No. of Lamps  (TRM Data)]]</f>
        <v>3</v>
      </c>
      <c r="N733" t="s">
        <v>186</v>
      </c>
      <c r="O733" t="s">
        <v>186</v>
      </c>
      <c r="R733" t="s">
        <v>2893</v>
      </c>
      <c r="S733" t="str">
        <f>Table_TRM_Fixtures[[#This Row],[Description  (TRM Data)]]</f>
        <v>Compact Fluorescent, twin, (3) 13 W lamps</v>
      </c>
      <c r="T733" t="str">
        <f>Table_TRM_Fixtures[[#This Row],[Fixture code  (TRM Data)]]</f>
        <v>CFT13/3</v>
      </c>
      <c r="U733" t="s">
        <v>2882</v>
      </c>
      <c r="V733" t="s">
        <v>186</v>
      </c>
      <c r="W733" t="s">
        <v>3120</v>
      </c>
      <c r="X733" t="s">
        <v>186</v>
      </c>
      <c r="Y733" t="str">
        <f>_xlfn.CONCAT(Table_TRM_Fixtures[[#This Row],[Combined Lighting/Ballast Types]],":",Table_TRM_Fixtures[[#This Row],[No. of Lamps]], ":", Table_TRM_Fixtures[[#This Row],[Lamp Watts  (TRM Data)]])</f>
        <v>CFL:3:13</v>
      </c>
      <c r="Z733"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CFL:3:13</v>
      </c>
      <c r="AA733">
        <f>IF(Table_TRM_Fixtures[[#This Row],[Pre-EISA Baseline]]="Nominal", Table_TRM_Fixtures[[#This Row],[Fixture Watts  (TRM Data)]], Table_TRM_Fixtures[[#This Row],[Modified Baseline Fixture Watts]])</f>
        <v>48</v>
      </c>
    </row>
    <row r="734" spans="1:27" x14ac:dyDescent="0.2">
      <c r="A734" t="s">
        <v>5417</v>
      </c>
      <c r="B734" t="s">
        <v>5418</v>
      </c>
      <c r="C734" t="s">
        <v>5419</v>
      </c>
      <c r="D734" t="s">
        <v>5420</v>
      </c>
      <c r="E734" t="s">
        <v>1309</v>
      </c>
      <c r="F734">
        <v>1</v>
      </c>
      <c r="G734">
        <v>18</v>
      </c>
      <c r="H734">
        <v>24</v>
      </c>
      <c r="I734" t="s">
        <v>186</v>
      </c>
      <c r="J734" s="110">
        <v>732</v>
      </c>
      <c r="K734" t="s">
        <v>2893</v>
      </c>
      <c r="L734">
        <f>IF(Table_TRM_Fixtures[[#This Row],[Technology]]="LED", Table_TRM_Fixtures[[#This Row],[Fixture Watts  (TRM Data)]], Table_TRM_Fixtures[[#This Row],[Lamp Watts  (TRM Data)]])</f>
        <v>18</v>
      </c>
      <c r="M734">
        <f>Table_TRM_Fixtures[[#This Row],[No. of Lamps  (TRM Data)]]</f>
        <v>1</v>
      </c>
      <c r="N734" t="s">
        <v>186</v>
      </c>
      <c r="O734" t="s">
        <v>186</v>
      </c>
      <c r="R734" t="s">
        <v>2893</v>
      </c>
      <c r="S734" t="str">
        <f>Table_TRM_Fixtures[[#This Row],[Description  (TRM Data)]]</f>
        <v>Compact Fluorescent, Long twin., (1) 18W lamp</v>
      </c>
      <c r="T734" t="str">
        <f>Table_TRM_Fixtures[[#This Row],[Fixture code  (TRM Data)]]</f>
        <v>CFT18/1</v>
      </c>
      <c r="U734" t="s">
        <v>2882</v>
      </c>
      <c r="V734" t="s">
        <v>186</v>
      </c>
      <c r="W734" t="s">
        <v>3120</v>
      </c>
      <c r="X734" t="s">
        <v>186</v>
      </c>
      <c r="Y734" t="s">
        <v>4815</v>
      </c>
      <c r="Z734" t="s">
        <v>4815</v>
      </c>
      <c r="AA734">
        <f>IF(Table_TRM_Fixtures[[#This Row],[Pre-EISA Baseline]]="Nominal", Table_TRM_Fixtures[[#This Row],[Fixture Watts  (TRM Data)]], Table_TRM_Fixtures[[#This Row],[Modified Baseline Fixture Watts]])</f>
        <v>24</v>
      </c>
    </row>
    <row r="735" spans="1:27" x14ac:dyDescent="0.2">
      <c r="A735" t="s">
        <v>5421</v>
      </c>
      <c r="B735" t="s">
        <v>5418</v>
      </c>
      <c r="C735" t="s">
        <v>5422</v>
      </c>
      <c r="D735" t="s">
        <v>5420</v>
      </c>
      <c r="E735" t="s">
        <v>187</v>
      </c>
      <c r="F735">
        <v>1</v>
      </c>
      <c r="G735">
        <v>18</v>
      </c>
      <c r="H735">
        <v>20</v>
      </c>
      <c r="I735" t="s">
        <v>186</v>
      </c>
      <c r="J735" s="110">
        <v>733</v>
      </c>
      <c r="K735" t="s">
        <v>2893</v>
      </c>
      <c r="L735">
        <f>IF(Table_TRM_Fixtures[[#This Row],[Technology]]="LED", Table_TRM_Fixtures[[#This Row],[Fixture Watts  (TRM Data)]], Table_TRM_Fixtures[[#This Row],[Lamp Watts  (TRM Data)]])</f>
        <v>18</v>
      </c>
      <c r="M735">
        <f>Table_TRM_Fixtures[[#This Row],[No. of Lamps  (TRM Data)]]</f>
        <v>1</v>
      </c>
      <c r="N735" t="s">
        <v>186</v>
      </c>
      <c r="O735" t="s">
        <v>186</v>
      </c>
      <c r="R735" t="s">
        <v>2893</v>
      </c>
      <c r="S735" t="str">
        <f>Table_TRM_Fixtures[[#This Row],[Description  (TRM Data)]]</f>
        <v>Compact Fluorescent, twin, (1) 18W lamp</v>
      </c>
      <c r="T735" t="str">
        <f>Table_TRM_Fixtures[[#This Row],[Fixture code  (TRM Data)]]</f>
        <v>CFT18/1-L</v>
      </c>
      <c r="U735" t="s">
        <v>2882</v>
      </c>
      <c r="V735" t="s">
        <v>186</v>
      </c>
      <c r="W735" t="s">
        <v>3120</v>
      </c>
      <c r="X735" t="s">
        <v>186</v>
      </c>
      <c r="Y735" t="s">
        <v>4815</v>
      </c>
      <c r="Z735" t="s">
        <v>4815</v>
      </c>
      <c r="AA735">
        <f>IF(Table_TRM_Fixtures[[#This Row],[Pre-EISA Baseline]]="Nominal", Table_TRM_Fixtures[[#This Row],[Fixture Watts  (TRM Data)]], Table_TRM_Fixtures[[#This Row],[Modified Baseline Fixture Watts]])</f>
        <v>20</v>
      </c>
    </row>
    <row r="736" spans="1:27" x14ac:dyDescent="0.2">
      <c r="A736" t="s">
        <v>5423</v>
      </c>
      <c r="B736" t="s">
        <v>5418</v>
      </c>
      <c r="C736" t="s">
        <v>5424</v>
      </c>
      <c r="D736" t="s">
        <v>5425</v>
      </c>
      <c r="E736" t="s">
        <v>1309</v>
      </c>
      <c r="F736">
        <v>2</v>
      </c>
      <c r="G736">
        <v>18</v>
      </c>
      <c r="H736">
        <v>38</v>
      </c>
      <c r="I736" t="s">
        <v>186</v>
      </c>
      <c r="J736" s="110">
        <v>734</v>
      </c>
      <c r="K736" t="s">
        <v>2893</v>
      </c>
      <c r="L736">
        <f>IF(Table_TRM_Fixtures[[#This Row],[Technology]]="LED", Table_TRM_Fixtures[[#This Row],[Fixture Watts  (TRM Data)]], Table_TRM_Fixtures[[#This Row],[Lamp Watts  (TRM Data)]])</f>
        <v>18</v>
      </c>
      <c r="M736">
        <f>Table_TRM_Fixtures[[#This Row],[No. of Lamps  (TRM Data)]]</f>
        <v>2</v>
      </c>
      <c r="N736" t="s">
        <v>186</v>
      </c>
      <c r="O736" t="s">
        <v>186</v>
      </c>
      <c r="R736" t="s">
        <v>2893</v>
      </c>
      <c r="S736" t="str">
        <f>Table_TRM_Fixtures[[#This Row],[Description  (TRM Data)]]</f>
        <v>Compact Fluorescent, twin, (2) 18 W lamps</v>
      </c>
      <c r="T736" t="str">
        <f>Table_TRM_Fixtures[[#This Row],[Fixture code  (TRM Data)]]</f>
        <v>CFT18/2</v>
      </c>
      <c r="U736" t="s">
        <v>2882</v>
      </c>
      <c r="V736" t="s">
        <v>186</v>
      </c>
      <c r="W736" t="s">
        <v>3120</v>
      </c>
      <c r="X736" t="s">
        <v>186</v>
      </c>
      <c r="Y736" t="s">
        <v>4815</v>
      </c>
      <c r="Z736" t="s">
        <v>4815</v>
      </c>
      <c r="AA736">
        <f>IF(Table_TRM_Fixtures[[#This Row],[Pre-EISA Baseline]]="Nominal", Table_TRM_Fixtures[[#This Row],[Fixture Watts  (TRM Data)]], Table_TRM_Fixtures[[#This Row],[Modified Baseline Fixture Watts]])</f>
        <v>38</v>
      </c>
    </row>
    <row r="737" spans="1:27" x14ac:dyDescent="0.2">
      <c r="A737" t="s">
        <v>5426</v>
      </c>
      <c r="B737" t="s">
        <v>5427</v>
      </c>
      <c r="C737" t="s">
        <v>5428</v>
      </c>
      <c r="D737" t="s">
        <v>5429</v>
      </c>
      <c r="E737" t="s">
        <v>1309</v>
      </c>
      <c r="F737">
        <v>1</v>
      </c>
      <c r="G737">
        <v>22</v>
      </c>
      <c r="H737">
        <v>27</v>
      </c>
      <c r="I737" t="s">
        <v>186</v>
      </c>
      <c r="J737" s="110">
        <v>735</v>
      </c>
      <c r="K737" t="s">
        <v>2893</v>
      </c>
      <c r="L737">
        <f>IF(Table_TRM_Fixtures[[#This Row],[Technology]]="LED", Table_TRM_Fixtures[[#This Row],[Fixture Watts  (TRM Data)]], Table_TRM_Fixtures[[#This Row],[Lamp Watts  (TRM Data)]])</f>
        <v>22</v>
      </c>
      <c r="M737">
        <f>Table_TRM_Fixtures[[#This Row],[No. of Lamps  (TRM Data)]]</f>
        <v>1</v>
      </c>
      <c r="N737" t="s">
        <v>186</v>
      </c>
      <c r="O737" t="s">
        <v>186</v>
      </c>
      <c r="R737" t="s">
        <v>2893</v>
      </c>
      <c r="S737" t="str">
        <f>Table_TRM_Fixtures[[#This Row],[Description  (TRM Data)]]</f>
        <v>Compact Fluorescent, twin, (1) 22W lamp</v>
      </c>
      <c r="T737" t="str">
        <f>Table_TRM_Fixtures[[#This Row],[Fixture code  (TRM Data)]]</f>
        <v>CFT22/1</v>
      </c>
      <c r="U737" t="s">
        <v>2882</v>
      </c>
      <c r="V737" t="s">
        <v>186</v>
      </c>
      <c r="W737" t="s">
        <v>3120</v>
      </c>
      <c r="X737" t="s">
        <v>186</v>
      </c>
      <c r="Y737" t="s">
        <v>4815</v>
      </c>
      <c r="Z737" t="s">
        <v>4815</v>
      </c>
      <c r="AA737">
        <f>IF(Table_TRM_Fixtures[[#This Row],[Pre-EISA Baseline]]="Nominal", Table_TRM_Fixtures[[#This Row],[Fixture Watts  (TRM Data)]], Table_TRM_Fixtures[[#This Row],[Modified Baseline Fixture Watts]])</f>
        <v>27</v>
      </c>
    </row>
    <row r="738" spans="1:27" x14ac:dyDescent="0.2">
      <c r="A738" t="s">
        <v>5430</v>
      </c>
      <c r="B738" t="s">
        <v>5427</v>
      </c>
      <c r="C738" t="s">
        <v>5431</v>
      </c>
      <c r="D738" t="s">
        <v>5432</v>
      </c>
      <c r="E738" t="s">
        <v>1309</v>
      </c>
      <c r="F738">
        <v>2</v>
      </c>
      <c r="G738">
        <v>22</v>
      </c>
      <c r="H738">
        <v>54</v>
      </c>
      <c r="I738" t="s">
        <v>186</v>
      </c>
      <c r="J738" s="110">
        <v>736</v>
      </c>
      <c r="K738" t="s">
        <v>2893</v>
      </c>
      <c r="L738">
        <f>IF(Table_TRM_Fixtures[[#This Row],[Technology]]="LED", Table_TRM_Fixtures[[#This Row],[Fixture Watts  (TRM Data)]], Table_TRM_Fixtures[[#This Row],[Lamp Watts  (TRM Data)]])</f>
        <v>22</v>
      </c>
      <c r="M738">
        <f>Table_TRM_Fixtures[[#This Row],[No. of Lamps  (TRM Data)]]</f>
        <v>2</v>
      </c>
      <c r="N738" t="s">
        <v>186</v>
      </c>
      <c r="O738" t="s">
        <v>186</v>
      </c>
      <c r="R738" t="s">
        <v>2893</v>
      </c>
      <c r="S738" t="str">
        <f>Table_TRM_Fixtures[[#This Row],[Description  (TRM Data)]]</f>
        <v>Compact Fluorescent, twin, (2) 22W lamps</v>
      </c>
      <c r="T738" t="str">
        <f>Table_TRM_Fixtures[[#This Row],[Fixture code  (TRM Data)]]</f>
        <v>CFT22/2</v>
      </c>
      <c r="U738" t="s">
        <v>2882</v>
      </c>
      <c r="V738" t="s">
        <v>186</v>
      </c>
      <c r="W738" t="s">
        <v>3120</v>
      </c>
      <c r="X738" t="s">
        <v>186</v>
      </c>
      <c r="Y738" t="str">
        <f>_xlfn.CONCAT(Table_TRM_Fixtures[[#This Row],[Combined Lighting/Ballast Types]],":",Table_TRM_Fixtures[[#This Row],[No. of Lamps]], ":", Table_TRM_Fixtures[[#This Row],[Lamp Watts  (TRM Data)]])</f>
        <v>CFL:2:22</v>
      </c>
      <c r="Z738"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CFL:2:22</v>
      </c>
      <c r="AA738">
        <f>IF(Table_TRM_Fixtures[[#This Row],[Pre-EISA Baseline]]="Nominal", Table_TRM_Fixtures[[#This Row],[Fixture Watts  (TRM Data)]], Table_TRM_Fixtures[[#This Row],[Modified Baseline Fixture Watts]])</f>
        <v>54</v>
      </c>
    </row>
    <row r="739" spans="1:27" x14ac:dyDescent="0.2">
      <c r="A739" t="s">
        <v>5433</v>
      </c>
      <c r="B739" t="s">
        <v>5427</v>
      </c>
      <c r="C739" t="s">
        <v>5434</v>
      </c>
      <c r="D739" t="s">
        <v>5435</v>
      </c>
      <c r="E739" t="s">
        <v>1309</v>
      </c>
      <c r="F739">
        <v>4</v>
      </c>
      <c r="G739">
        <v>22</v>
      </c>
      <c r="H739">
        <v>108</v>
      </c>
      <c r="I739" t="s">
        <v>186</v>
      </c>
      <c r="J739" s="110">
        <v>737</v>
      </c>
      <c r="K739" t="s">
        <v>2893</v>
      </c>
      <c r="L739">
        <f>IF(Table_TRM_Fixtures[[#This Row],[Technology]]="LED", Table_TRM_Fixtures[[#This Row],[Fixture Watts  (TRM Data)]], Table_TRM_Fixtures[[#This Row],[Lamp Watts  (TRM Data)]])</f>
        <v>22</v>
      </c>
      <c r="M739">
        <f>Table_TRM_Fixtures[[#This Row],[No. of Lamps  (TRM Data)]]</f>
        <v>4</v>
      </c>
      <c r="N739" t="s">
        <v>186</v>
      </c>
      <c r="O739" t="s">
        <v>186</v>
      </c>
      <c r="R739" t="s">
        <v>2893</v>
      </c>
      <c r="S739" t="str">
        <f>Table_TRM_Fixtures[[#This Row],[Description  (TRM Data)]]</f>
        <v>Compact Fluorescent, twin, (4) 22W lamps</v>
      </c>
      <c r="T739" t="str">
        <f>Table_TRM_Fixtures[[#This Row],[Fixture code  (TRM Data)]]</f>
        <v>CFT22/4</v>
      </c>
      <c r="U739" t="s">
        <v>2882</v>
      </c>
      <c r="V739" t="s">
        <v>186</v>
      </c>
      <c r="W739" t="s">
        <v>3120</v>
      </c>
      <c r="X739" t="s">
        <v>186</v>
      </c>
      <c r="Y739" t="str">
        <f>_xlfn.CONCAT(Table_TRM_Fixtures[[#This Row],[Combined Lighting/Ballast Types]],":",Table_TRM_Fixtures[[#This Row],[No. of Lamps]], ":", Table_TRM_Fixtures[[#This Row],[Lamp Watts  (TRM Data)]])</f>
        <v>CFL:4:22</v>
      </c>
      <c r="Z739"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CFL:4:22</v>
      </c>
      <c r="AA739">
        <f>IF(Table_TRM_Fixtures[[#This Row],[Pre-EISA Baseline]]="Nominal", Table_TRM_Fixtures[[#This Row],[Fixture Watts  (TRM Data)]], Table_TRM_Fixtures[[#This Row],[Modified Baseline Fixture Watts]])</f>
        <v>108</v>
      </c>
    </row>
    <row r="740" spans="1:27" x14ac:dyDescent="0.2">
      <c r="A740" t="s">
        <v>5436</v>
      </c>
      <c r="B740" t="s">
        <v>5437</v>
      </c>
      <c r="C740" t="s">
        <v>5438</v>
      </c>
      <c r="D740" t="s">
        <v>5439</v>
      </c>
      <c r="E740" t="s">
        <v>1309</v>
      </c>
      <c r="F740">
        <v>1</v>
      </c>
      <c r="G740">
        <v>24</v>
      </c>
      <c r="H740">
        <v>32</v>
      </c>
      <c r="I740" t="s">
        <v>186</v>
      </c>
      <c r="J740" s="110">
        <v>738</v>
      </c>
      <c r="K740" t="s">
        <v>2893</v>
      </c>
      <c r="L740">
        <f>IF(Table_TRM_Fixtures[[#This Row],[Technology]]="LED", Table_TRM_Fixtures[[#This Row],[Fixture Watts  (TRM Data)]], Table_TRM_Fixtures[[#This Row],[Lamp Watts  (TRM Data)]])</f>
        <v>24</v>
      </c>
      <c r="M740">
        <f>Table_TRM_Fixtures[[#This Row],[No. of Lamps  (TRM Data)]]</f>
        <v>1</v>
      </c>
      <c r="N740" t="s">
        <v>186</v>
      </c>
      <c r="O740" t="s">
        <v>186</v>
      </c>
      <c r="R740" t="s">
        <v>2893</v>
      </c>
      <c r="S740" t="str">
        <f>Table_TRM_Fixtures[[#This Row],[Description  (TRM Data)]]</f>
        <v>Compact Fluorescent, long twin, (1) 24W lamp</v>
      </c>
      <c r="T740" t="str">
        <f>Table_TRM_Fixtures[[#This Row],[Fixture code  (TRM Data)]]</f>
        <v>CFT24/1</v>
      </c>
      <c r="U740" t="s">
        <v>2882</v>
      </c>
      <c r="V740" t="s">
        <v>186</v>
      </c>
      <c r="W740" t="s">
        <v>3120</v>
      </c>
      <c r="X740" t="s">
        <v>186</v>
      </c>
      <c r="Y740" t="str">
        <f>_xlfn.CONCAT(Table_TRM_Fixtures[[#This Row],[Combined Lighting/Ballast Types]],":",Table_TRM_Fixtures[[#This Row],[No. of Lamps]], ":", Table_TRM_Fixtures[[#This Row],[Lamp Watts  (TRM Data)]])</f>
        <v>CFL:1:24</v>
      </c>
      <c r="Z740"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CFL:1:24</v>
      </c>
      <c r="AA740">
        <f>IF(Table_TRM_Fixtures[[#This Row],[Pre-EISA Baseline]]="Nominal", Table_TRM_Fixtures[[#This Row],[Fixture Watts  (TRM Data)]], Table_TRM_Fixtures[[#This Row],[Modified Baseline Fixture Watts]])</f>
        <v>32</v>
      </c>
    </row>
    <row r="741" spans="1:27" x14ac:dyDescent="0.2">
      <c r="A741" t="s">
        <v>5440</v>
      </c>
      <c r="B741" t="s">
        <v>5441</v>
      </c>
      <c r="C741" t="s">
        <v>5442</v>
      </c>
      <c r="D741" t="s">
        <v>5443</v>
      </c>
      <c r="E741" t="s">
        <v>1309</v>
      </c>
      <c r="F741">
        <v>1</v>
      </c>
      <c r="G741">
        <v>26</v>
      </c>
      <c r="H741">
        <v>32</v>
      </c>
      <c r="I741" t="s">
        <v>186</v>
      </c>
      <c r="J741" s="110">
        <v>739</v>
      </c>
      <c r="K741" t="s">
        <v>2893</v>
      </c>
      <c r="L741">
        <f>IF(Table_TRM_Fixtures[[#This Row],[Technology]]="LED", Table_TRM_Fixtures[[#This Row],[Fixture Watts  (TRM Data)]], Table_TRM_Fixtures[[#This Row],[Lamp Watts  (TRM Data)]])</f>
        <v>26</v>
      </c>
      <c r="M741">
        <f>Table_TRM_Fixtures[[#This Row],[No. of Lamps  (TRM Data)]]</f>
        <v>1</v>
      </c>
      <c r="N741" t="s">
        <v>186</v>
      </c>
      <c r="O741" t="s">
        <v>186</v>
      </c>
      <c r="R741" t="s">
        <v>2893</v>
      </c>
      <c r="S741" t="str">
        <f>Table_TRM_Fixtures[[#This Row],[Description  (TRM Data)]]</f>
        <v>Compact Fluorescent, twin, (1) 26W lamp</v>
      </c>
      <c r="T741" t="str">
        <f>Table_TRM_Fixtures[[#This Row],[Fixture code  (TRM Data)]]</f>
        <v>CFT26/1</v>
      </c>
      <c r="U741" t="s">
        <v>2882</v>
      </c>
      <c r="V741" t="s">
        <v>186</v>
      </c>
      <c r="W741" t="s">
        <v>3120</v>
      </c>
      <c r="X741" t="s">
        <v>186</v>
      </c>
      <c r="Y741" t="s">
        <v>4815</v>
      </c>
      <c r="Z741" t="s">
        <v>4815</v>
      </c>
      <c r="AA741">
        <f>IF(Table_TRM_Fixtures[[#This Row],[Pre-EISA Baseline]]="Nominal", Table_TRM_Fixtures[[#This Row],[Fixture Watts  (TRM Data)]], Table_TRM_Fixtures[[#This Row],[Modified Baseline Fixture Watts]])</f>
        <v>32</v>
      </c>
    </row>
    <row r="742" spans="1:27" x14ac:dyDescent="0.2">
      <c r="A742" t="s">
        <v>5444</v>
      </c>
      <c r="B742" t="s">
        <v>5441</v>
      </c>
      <c r="C742" t="s">
        <v>5442</v>
      </c>
      <c r="D742" t="s">
        <v>5443</v>
      </c>
      <c r="E742" t="s">
        <v>187</v>
      </c>
      <c r="F742">
        <v>1</v>
      </c>
      <c r="G742">
        <v>26</v>
      </c>
      <c r="H742">
        <v>27</v>
      </c>
      <c r="I742" t="s">
        <v>186</v>
      </c>
      <c r="J742" s="110">
        <v>740</v>
      </c>
      <c r="K742" t="s">
        <v>2893</v>
      </c>
      <c r="L742">
        <f>IF(Table_TRM_Fixtures[[#This Row],[Technology]]="LED", Table_TRM_Fixtures[[#This Row],[Fixture Watts  (TRM Data)]], Table_TRM_Fixtures[[#This Row],[Lamp Watts  (TRM Data)]])</f>
        <v>26</v>
      </c>
      <c r="M742">
        <f>Table_TRM_Fixtures[[#This Row],[No. of Lamps  (TRM Data)]]</f>
        <v>1</v>
      </c>
      <c r="N742" t="s">
        <v>186</v>
      </c>
      <c r="O742" t="s">
        <v>186</v>
      </c>
      <c r="R742" t="s">
        <v>2893</v>
      </c>
      <c r="S742" t="str">
        <f>Table_TRM_Fixtures[[#This Row],[Description  (TRM Data)]]</f>
        <v>Compact Fluorescent, twin, (1) 26W lamp</v>
      </c>
      <c r="T742" t="str">
        <f>Table_TRM_Fixtures[[#This Row],[Fixture code  (TRM Data)]]</f>
        <v>CFT26/1-L</v>
      </c>
      <c r="U742" t="s">
        <v>2882</v>
      </c>
      <c r="V742" t="s">
        <v>186</v>
      </c>
      <c r="W742" t="s">
        <v>3120</v>
      </c>
      <c r="X742" t="s">
        <v>186</v>
      </c>
      <c r="Y742" t="s">
        <v>4815</v>
      </c>
      <c r="Z742" t="s">
        <v>4815</v>
      </c>
      <c r="AA742">
        <f>IF(Table_TRM_Fixtures[[#This Row],[Pre-EISA Baseline]]="Nominal", Table_TRM_Fixtures[[#This Row],[Fixture Watts  (TRM Data)]], Table_TRM_Fixtures[[#This Row],[Modified Baseline Fixture Watts]])</f>
        <v>27</v>
      </c>
    </row>
    <row r="743" spans="1:27" x14ac:dyDescent="0.2">
      <c r="A743" t="s">
        <v>5445</v>
      </c>
      <c r="B743" t="s">
        <v>5441</v>
      </c>
      <c r="C743" t="s">
        <v>5446</v>
      </c>
      <c r="D743" t="s">
        <v>5447</v>
      </c>
      <c r="E743" t="s">
        <v>187</v>
      </c>
      <c r="F743">
        <v>2</v>
      </c>
      <c r="G743">
        <v>26</v>
      </c>
      <c r="H743">
        <v>51</v>
      </c>
      <c r="I743" t="s">
        <v>186</v>
      </c>
      <c r="J743" s="110">
        <v>741</v>
      </c>
      <c r="K743" t="s">
        <v>2893</v>
      </c>
      <c r="L743">
        <f>IF(Table_TRM_Fixtures[[#This Row],[Technology]]="LED", Table_TRM_Fixtures[[#This Row],[Fixture Watts  (TRM Data)]], Table_TRM_Fixtures[[#This Row],[Lamp Watts  (TRM Data)]])</f>
        <v>26</v>
      </c>
      <c r="M743">
        <f>Table_TRM_Fixtures[[#This Row],[No. of Lamps  (TRM Data)]]</f>
        <v>2</v>
      </c>
      <c r="N743" t="s">
        <v>186</v>
      </c>
      <c r="O743" t="s">
        <v>186</v>
      </c>
      <c r="R743" t="s">
        <v>2893</v>
      </c>
      <c r="S743" t="str">
        <f>Table_TRM_Fixtures[[#This Row],[Description  (TRM Data)]]</f>
        <v>Compact Fluorescent, twin, (2) 26W lamps</v>
      </c>
      <c r="T743" t="str">
        <f>Table_TRM_Fixtures[[#This Row],[Fixture code  (TRM Data)]]</f>
        <v>CFT26/2-L</v>
      </c>
      <c r="U743" t="s">
        <v>2882</v>
      </c>
      <c r="V743" t="s">
        <v>186</v>
      </c>
      <c r="W743" t="s">
        <v>3120</v>
      </c>
      <c r="X743" t="s">
        <v>186</v>
      </c>
      <c r="Y743" t="s">
        <v>4815</v>
      </c>
      <c r="Z743" t="s">
        <v>4815</v>
      </c>
      <c r="AA743">
        <f>IF(Table_TRM_Fixtures[[#This Row],[Pre-EISA Baseline]]="Nominal", Table_TRM_Fixtures[[#This Row],[Fixture Watts  (TRM Data)]], Table_TRM_Fixtures[[#This Row],[Modified Baseline Fixture Watts]])</f>
        <v>51</v>
      </c>
    </row>
    <row r="744" spans="1:27" x14ac:dyDescent="0.2">
      <c r="A744" t="s">
        <v>5448</v>
      </c>
      <c r="B744" t="s">
        <v>5449</v>
      </c>
      <c r="C744" t="s">
        <v>5450</v>
      </c>
      <c r="D744" t="s">
        <v>5451</v>
      </c>
      <c r="E744" t="s">
        <v>1309</v>
      </c>
      <c r="F744">
        <v>1</v>
      </c>
      <c r="G744">
        <v>28</v>
      </c>
      <c r="H744">
        <v>33</v>
      </c>
      <c r="I744" t="s">
        <v>186</v>
      </c>
      <c r="J744" s="110">
        <v>742</v>
      </c>
      <c r="K744" t="s">
        <v>2893</v>
      </c>
      <c r="L744">
        <f>IF(Table_TRM_Fixtures[[#This Row],[Technology]]="LED", Table_TRM_Fixtures[[#This Row],[Fixture Watts  (TRM Data)]], Table_TRM_Fixtures[[#This Row],[Lamp Watts  (TRM Data)]])</f>
        <v>28</v>
      </c>
      <c r="M744">
        <f>Table_TRM_Fixtures[[#This Row],[No. of Lamps  (TRM Data)]]</f>
        <v>1</v>
      </c>
      <c r="N744" t="s">
        <v>186</v>
      </c>
      <c r="O744" t="s">
        <v>186</v>
      </c>
      <c r="R744" t="s">
        <v>2893</v>
      </c>
      <c r="S744" t="str">
        <f>Table_TRM_Fixtures[[#This Row],[Description  (TRM Data)]]</f>
        <v>Compact Fluorescent, twin, (1) 28W lamp</v>
      </c>
      <c r="T744" t="str">
        <f>Table_TRM_Fixtures[[#This Row],[Fixture code  (TRM Data)]]</f>
        <v>CFT28/1</v>
      </c>
      <c r="U744" t="s">
        <v>2882</v>
      </c>
      <c r="V744" t="s">
        <v>186</v>
      </c>
      <c r="W744" t="s">
        <v>3120</v>
      </c>
      <c r="X744" t="s">
        <v>186</v>
      </c>
      <c r="Y744" t="s">
        <v>4815</v>
      </c>
      <c r="Z744" t="s">
        <v>4815</v>
      </c>
      <c r="AA744">
        <f>IF(Table_TRM_Fixtures[[#This Row],[Pre-EISA Baseline]]="Nominal", Table_TRM_Fixtures[[#This Row],[Fixture Watts  (TRM Data)]], Table_TRM_Fixtures[[#This Row],[Modified Baseline Fixture Watts]])</f>
        <v>33</v>
      </c>
    </row>
    <row r="745" spans="1:27" x14ac:dyDescent="0.2">
      <c r="A745" t="s">
        <v>5452</v>
      </c>
      <c r="B745" t="s">
        <v>5449</v>
      </c>
      <c r="C745" t="s">
        <v>5453</v>
      </c>
      <c r="D745" t="s">
        <v>5454</v>
      </c>
      <c r="E745" t="s">
        <v>1309</v>
      </c>
      <c r="F745">
        <v>2</v>
      </c>
      <c r="G745">
        <v>28</v>
      </c>
      <c r="H745">
        <v>66</v>
      </c>
      <c r="I745" t="s">
        <v>186</v>
      </c>
      <c r="J745" s="110">
        <v>743</v>
      </c>
      <c r="K745" t="s">
        <v>2893</v>
      </c>
      <c r="L745">
        <f>IF(Table_TRM_Fixtures[[#This Row],[Technology]]="LED", Table_TRM_Fixtures[[#This Row],[Fixture Watts  (TRM Data)]], Table_TRM_Fixtures[[#This Row],[Lamp Watts  (TRM Data)]])</f>
        <v>28</v>
      </c>
      <c r="M745">
        <f>Table_TRM_Fixtures[[#This Row],[No. of Lamps  (TRM Data)]]</f>
        <v>2</v>
      </c>
      <c r="N745" t="s">
        <v>186</v>
      </c>
      <c r="O745" t="s">
        <v>186</v>
      </c>
      <c r="R745" t="s">
        <v>2893</v>
      </c>
      <c r="S745" t="str">
        <f>Table_TRM_Fixtures[[#This Row],[Description  (TRM Data)]]</f>
        <v>Compact Fluorescent, twin, (2) 28W lamps</v>
      </c>
      <c r="T745" t="str">
        <f>Table_TRM_Fixtures[[#This Row],[Fixture code  (TRM Data)]]</f>
        <v>CFT28/2</v>
      </c>
      <c r="U745" t="s">
        <v>2882</v>
      </c>
      <c r="V745" t="s">
        <v>186</v>
      </c>
      <c r="W745" t="s">
        <v>3120</v>
      </c>
      <c r="X745" t="s">
        <v>186</v>
      </c>
      <c r="Y745" t="s">
        <v>4815</v>
      </c>
      <c r="Z745" t="s">
        <v>4815</v>
      </c>
      <c r="AA745">
        <f>IF(Table_TRM_Fixtures[[#This Row],[Pre-EISA Baseline]]="Nominal", Table_TRM_Fixtures[[#This Row],[Fixture Watts  (TRM Data)]], Table_TRM_Fixtures[[#This Row],[Modified Baseline Fixture Watts]])</f>
        <v>66</v>
      </c>
    </row>
    <row r="746" spans="1:27" x14ac:dyDescent="0.2">
      <c r="A746" t="s">
        <v>5455</v>
      </c>
      <c r="B746" t="s">
        <v>5456</v>
      </c>
      <c r="C746" t="s">
        <v>5457</v>
      </c>
      <c r="D746" t="s">
        <v>5458</v>
      </c>
      <c r="E746" t="s">
        <v>187</v>
      </c>
      <c r="F746">
        <v>1</v>
      </c>
      <c r="G746">
        <v>32</v>
      </c>
      <c r="H746">
        <v>34</v>
      </c>
      <c r="I746" t="s">
        <v>186</v>
      </c>
      <c r="J746" s="110">
        <v>744</v>
      </c>
      <c r="K746" t="s">
        <v>2893</v>
      </c>
      <c r="L746">
        <f>IF(Table_TRM_Fixtures[[#This Row],[Technology]]="LED", Table_TRM_Fixtures[[#This Row],[Fixture Watts  (TRM Data)]], Table_TRM_Fixtures[[#This Row],[Lamp Watts  (TRM Data)]])</f>
        <v>32</v>
      </c>
      <c r="M746">
        <f>Table_TRM_Fixtures[[#This Row],[No. of Lamps  (TRM Data)]]</f>
        <v>1</v>
      </c>
      <c r="N746" t="s">
        <v>186</v>
      </c>
      <c r="O746" t="s">
        <v>186</v>
      </c>
      <c r="R746" t="s">
        <v>2893</v>
      </c>
      <c r="S746" t="str">
        <f>Table_TRM_Fixtures[[#This Row],[Description  (TRM Data)]]</f>
        <v>Compact Fluorescent, twin, (1) 32W lamp</v>
      </c>
      <c r="T746" t="str">
        <f>Table_TRM_Fixtures[[#This Row],[Fixture code  (TRM Data)]]</f>
        <v>CFT32/1-L</v>
      </c>
      <c r="U746" t="s">
        <v>2882</v>
      </c>
      <c r="V746" t="s">
        <v>186</v>
      </c>
      <c r="W746" t="s">
        <v>3120</v>
      </c>
      <c r="X746" t="s">
        <v>186</v>
      </c>
      <c r="Y746" t="str">
        <f>_xlfn.CONCAT(Table_TRM_Fixtures[[#This Row],[Combined Lighting/Ballast Types]],":",Table_TRM_Fixtures[[#This Row],[No. of Lamps]], ":", Table_TRM_Fixtures[[#This Row],[Lamp Watts  (TRM Data)]])</f>
        <v>CFL:1:32</v>
      </c>
      <c r="Z746"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CFL:1:32</v>
      </c>
      <c r="AA746">
        <f>IF(Table_TRM_Fixtures[[#This Row],[Pre-EISA Baseline]]="Nominal", Table_TRM_Fixtures[[#This Row],[Fixture Watts  (TRM Data)]], Table_TRM_Fixtures[[#This Row],[Modified Baseline Fixture Watts]])</f>
        <v>34</v>
      </c>
    </row>
    <row r="747" spans="1:27" x14ac:dyDescent="0.2">
      <c r="A747" t="s">
        <v>5459</v>
      </c>
      <c r="B747" t="s">
        <v>5456</v>
      </c>
      <c r="C747" t="s">
        <v>5460</v>
      </c>
      <c r="D747" t="s">
        <v>5461</v>
      </c>
      <c r="E747" t="s">
        <v>187</v>
      </c>
      <c r="F747">
        <v>2</v>
      </c>
      <c r="G747">
        <v>32</v>
      </c>
      <c r="H747">
        <v>62</v>
      </c>
      <c r="I747" t="s">
        <v>186</v>
      </c>
      <c r="J747" s="110">
        <v>745</v>
      </c>
      <c r="K747" t="s">
        <v>2893</v>
      </c>
      <c r="L747">
        <f>IF(Table_TRM_Fixtures[[#This Row],[Technology]]="LED", Table_TRM_Fixtures[[#This Row],[Fixture Watts  (TRM Data)]], Table_TRM_Fixtures[[#This Row],[Lamp Watts  (TRM Data)]])</f>
        <v>32</v>
      </c>
      <c r="M747">
        <f>Table_TRM_Fixtures[[#This Row],[No. of Lamps  (TRM Data)]]</f>
        <v>2</v>
      </c>
      <c r="N747" t="s">
        <v>186</v>
      </c>
      <c r="O747" t="s">
        <v>186</v>
      </c>
      <c r="R747" t="s">
        <v>2893</v>
      </c>
      <c r="S747" t="str">
        <f>Table_TRM_Fixtures[[#This Row],[Description  (TRM Data)]]</f>
        <v>Compact Fluorescent, twin, (2) 32W lamps</v>
      </c>
      <c r="T747" t="str">
        <f>Table_TRM_Fixtures[[#This Row],[Fixture code  (TRM Data)]]</f>
        <v>CFT32/2-L</v>
      </c>
      <c r="U747" t="s">
        <v>2882</v>
      </c>
      <c r="V747" t="s">
        <v>186</v>
      </c>
      <c r="W747" t="s">
        <v>3120</v>
      </c>
      <c r="X747" t="s">
        <v>186</v>
      </c>
      <c r="Y747" t="str">
        <f>_xlfn.CONCAT(Table_TRM_Fixtures[[#This Row],[Combined Lighting/Ballast Types]],":",Table_TRM_Fixtures[[#This Row],[No. of Lamps]], ":", Table_TRM_Fixtures[[#This Row],[Lamp Watts  (TRM Data)]])</f>
        <v>CFL:2:32</v>
      </c>
      <c r="Z747"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CFL:2:32</v>
      </c>
      <c r="AA747">
        <f>IF(Table_TRM_Fixtures[[#This Row],[Pre-EISA Baseline]]="Nominal", Table_TRM_Fixtures[[#This Row],[Fixture Watts  (TRM Data)]], Table_TRM_Fixtures[[#This Row],[Modified Baseline Fixture Watts]])</f>
        <v>62</v>
      </c>
    </row>
    <row r="748" spans="1:27" x14ac:dyDescent="0.2">
      <c r="A748" t="s">
        <v>5462</v>
      </c>
      <c r="B748" t="s">
        <v>5456</v>
      </c>
      <c r="C748" t="s">
        <v>5463</v>
      </c>
      <c r="D748" t="s">
        <v>5464</v>
      </c>
      <c r="E748" t="s">
        <v>187</v>
      </c>
      <c r="F748">
        <v>6</v>
      </c>
      <c r="G748">
        <v>32</v>
      </c>
      <c r="H748">
        <v>186</v>
      </c>
      <c r="I748" t="s">
        <v>186</v>
      </c>
      <c r="J748" s="110">
        <v>746</v>
      </c>
      <c r="K748" t="s">
        <v>2893</v>
      </c>
      <c r="L748">
        <f>IF(Table_TRM_Fixtures[[#This Row],[Technology]]="LED", Table_TRM_Fixtures[[#This Row],[Fixture Watts  (TRM Data)]], Table_TRM_Fixtures[[#This Row],[Lamp Watts  (TRM Data)]])</f>
        <v>32</v>
      </c>
      <c r="M748">
        <f>Table_TRM_Fixtures[[#This Row],[No. of Lamps  (TRM Data)]]</f>
        <v>6</v>
      </c>
      <c r="N748" t="s">
        <v>186</v>
      </c>
      <c r="O748" t="s">
        <v>186</v>
      </c>
      <c r="R748" t="s">
        <v>2893</v>
      </c>
      <c r="S748" t="str">
        <f>Table_TRM_Fixtures[[#This Row],[Description  (TRM Data)]]</f>
        <v>Compact Fluorescent, twin, (6) 32W lamps</v>
      </c>
      <c r="T748" t="str">
        <f>Table_TRM_Fixtures[[#This Row],[Fixture code  (TRM Data)]]</f>
        <v>CFT32/6-L</v>
      </c>
      <c r="U748" t="s">
        <v>2882</v>
      </c>
      <c r="V748" t="s">
        <v>186</v>
      </c>
      <c r="W748" t="s">
        <v>3120</v>
      </c>
      <c r="X748" t="s">
        <v>186</v>
      </c>
      <c r="Y748" t="str">
        <f>_xlfn.CONCAT(Table_TRM_Fixtures[[#This Row],[Combined Lighting/Ballast Types]],":",Table_TRM_Fixtures[[#This Row],[No. of Lamps]], ":", Table_TRM_Fixtures[[#This Row],[Lamp Watts  (TRM Data)]])</f>
        <v>CFL:6:32</v>
      </c>
      <c r="Z748"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CFL:6:32</v>
      </c>
      <c r="AA748">
        <f>IF(Table_TRM_Fixtures[[#This Row],[Pre-EISA Baseline]]="Nominal", Table_TRM_Fixtures[[#This Row],[Fixture Watts  (TRM Data)]], Table_TRM_Fixtures[[#This Row],[Modified Baseline Fixture Watts]])</f>
        <v>186</v>
      </c>
    </row>
    <row r="749" spans="1:27" x14ac:dyDescent="0.2">
      <c r="A749" t="s">
        <v>5465</v>
      </c>
      <c r="B749" t="s">
        <v>5466</v>
      </c>
      <c r="C749" t="s">
        <v>5467</v>
      </c>
      <c r="D749" t="s">
        <v>5468</v>
      </c>
      <c r="E749" t="s">
        <v>1309</v>
      </c>
      <c r="F749">
        <v>1</v>
      </c>
      <c r="G749">
        <v>36</v>
      </c>
      <c r="H749">
        <v>51</v>
      </c>
      <c r="I749" t="s">
        <v>186</v>
      </c>
      <c r="J749" s="110">
        <v>747</v>
      </c>
      <c r="K749" t="s">
        <v>2893</v>
      </c>
      <c r="L749">
        <f>IF(Table_TRM_Fixtures[[#This Row],[Technology]]="LED", Table_TRM_Fixtures[[#This Row],[Fixture Watts  (TRM Data)]], Table_TRM_Fixtures[[#This Row],[Lamp Watts  (TRM Data)]])</f>
        <v>36</v>
      </c>
      <c r="M749">
        <f>Table_TRM_Fixtures[[#This Row],[No. of Lamps  (TRM Data)]]</f>
        <v>1</v>
      </c>
      <c r="N749" t="s">
        <v>186</v>
      </c>
      <c r="O749" t="s">
        <v>186</v>
      </c>
      <c r="R749" t="s">
        <v>2893</v>
      </c>
      <c r="S749" t="str">
        <f>Table_TRM_Fixtures[[#This Row],[Description  (TRM Data)]]</f>
        <v>Compact Fluorescent, long twin, (1) 36W lamp</v>
      </c>
      <c r="T749" t="str">
        <f>Table_TRM_Fixtures[[#This Row],[Fixture code  (TRM Data)]]</f>
        <v>CFT36/1</v>
      </c>
      <c r="U749" t="s">
        <v>2882</v>
      </c>
      <c r="V749" t="s">
        <v>186</v>
      </c>
      <c r="W749" t="s">
        <v>3120</v>
      </c>
      <c r="X749" t="s">
        <v>186</v>
      </c>
      <c r="Y749" t="str">
        <f>_xlfn.CONCAT(Table_TRM_Fixtures[[#This Row],[Combined Lighting/Ballast Types]],":",Table_TRM_Fixtures[[#This Row],[No. of Lamps]], ":", Table_TRM_Fixtures[[#This Row],[Lamp Watts  (TRM Data)]])</f>
        <v>CFL:1:36</v>
      </c>
      <c r="Z749"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CFL:1:36</v>
      </c>
      <c r="AA749">
        <f>IF(Table_TRM_Fixtures[[#This Row],[Pre-EISA Baseline]]="Nominal", Table_TRM_Fixtures[[#This Row],[Fixture Watts  (TRM Data)]], Table_TRM_Fixtures[[#This Row],[Modified Baseline Fixture Watts]])</f>
        <v>51</v>
      </c>
    </row>
    <row r="750" spans="1:27" x14ac:dyDescent="0.2">
      <c r="A750" t="s">
        <v>5469</v>
      </c>
      <c r="B750" t="s">
        <v>5470</v>
      </c>
      <c r="C750" t="s">
        <v>5471</v>
      </c>
      <c r="D750" t="s">
        <v>5472</v>
      </c>
      <c r="E750" t="s">
        <v>1309</v>
      </c>
      <c r="F750">
        <v>1</v>
      </c>
      <c r="G750">
        <v>40</v>
      </c>
      <c r="H750">
        <v>46</v>
      </c>
      <c r="I750" t="s">
        <v>186</v>
      </c>
      <c r="J750" s="110">
        <v>748</v>
      </c>
      <c r="K750" t="s">
        <v>2893</v>
      </c>
      <c r="L750">
        <f>IF(Table_TRM_Fixtures[[#This Row],[Technology]]="LED", Table_TRM_Fixtures[[#This Row],[Fixture Watts  (TRM Data)]], Table_TRM_Fixtures[[#This Row],[Lamp Watts  (TRM Data)]])</f>
        <v>40</v>
      </c>
      <c r="M750">
        <f>Table_TRM_Fixtures[[#This Row],[No. of Lamps  (TRM Data)]]</f>
        <v>1</v>
      </c>
      <c r="N750" t="s">
        <v>186</v>
      </c>
      <c r="O750" t="s">
        <v>186</v>
      </c>
      <c r="R750" t="s">
        <v>2893</v>
      </c>
      <c r="S750" t="str">
        <f>Table_TRM_Fixtures[[#This Row],[Description  (TRM Data)]]</f>
        <v>Compact Fluorescent, long twin, (1) 40W lamp</v>
      </c>
      <c r="T750" t="str">
        <f>Table_TRM_Fixtures[[#This Row],[Fixture code  (TRM Data)]]</f>
        <v>CFT40/1</v>
      </c>
      <c r="U750" t="s">
        <v>2882</v>
      </c>
      <c r="V750" t="s">
        <v>186</v>
      </c>
      <c r="W750" t="s">
        <v>3120</v>
      </c>
      <c r="X750" t="s">
        <v>186</v>
      </c>
      <c r="Y750" t="str">
        <f>_xlfn.CONCAT(Table_TRM_Fixtures[[#This Row],[Combined Lighting/Ballast Types]],":",Table_TRM_Fixtures[[#This Row],[No. of Lamps]], ":", Table_TRM_Fixtures[[#This Row],[Lamp Watts  (TRM Data)]])</f>
        <v>CFL:1:40</v>
      </c>
      <c r="Z750"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CFL:1:40</v>
      </c>
      <c r="AA750">
        <f>IF(Table_TRM_Fixtures[[#This Row],[Pre-EISA Baseline]]="Nominal", Table_TRM_Fixtures[[#This Row],[Fixture Watts  (TRM Data)]], Table_TRM_Fixtures[[#This Row],[Modified Baseline Fixture Watts]])</f>
        <v>46</v>
      </c>
    </row>
    <row r="751" spans="1:27" x14ac:dyDescent="0.2">
      <c r="A751" t="s">
        <v>5473</v>
      </c>
      <c r="B751" t="s">
        <v>5470</v>
      </c>
      <c r="C751" t="s">
        <v>5471</v>
      </c>
      <c r="D751" t="s">
        <v>5472</v>
      </c>
      <c r="E751" t="s">
        <v>187</v>
      </c>
      <c r="F751">
        <v>1</v>
      </c>
      <c r="G751">
        <v>40</v>
      </c>
      <c r="H751">
        <v>43</v>
      </c>
      <c r="I751" t="s">
        <v>186</v>
      </c>
      <c r="J751" s="110">
        <v>749</v>
      </c>
      <c r="K751" t="s">
        <v>2893</v>
      </c>
      <c r="L751">
        <f>IF(Table_TRM_Fixtures[[#This Row],[Technology]]="LED", Table_TRM_Fixtures[[#This Row],[Fixture Watts  (TRM Data)]], Table_TRM_Fixtures[[#This Row],[Lamp Watts  (TRM Data)]])</f>
        <v>40</v>
      </c>
      <c r="M751">
        <f>Table_TRM_Fixtures[[#This Row],[No. of Lamps  (TRM Data)]]</f>
        <v>1</v>
      </c>
      <c r="N751" t="s">
        <v>186</v>
      </c>
      <c r="O751" t="s">
        <v>186</v>
      </c>
      <c r="R751" t="s">
        <v>2893</v>
      </c>
      <c r="S751" t="str">
        <f>Table_TRM_Fixtures[[#This Row],[Description  (TRM Data)]]</f>
        <v>Compact Fluorescent, long twin, (1) 40W lamp</v>
      </c>
      <c r="T751" t="str">
        <f>Table_TRM_Fixtures[[#This Row],[Fixture code  (TRM Data)]]</f>
        <v>CFT40/1-L</v>
      </c>
      <c r="U751" t="s">
        <v>2882</v>
      </c>
      <c r="V751" t="s">
        <v>186</v>
      </c>
      <c r="W751" t="s">
        <v>3120</v>
      </c>
      <c r="X751" t="s">
        <v>186</v>
      </c>
      <c r="Y751" t="s">
        <v>4815</v>
      </c>
      <c r="Z751" t="s">
        <v>4815</v>
      </c>
      <c r="AA751">
        <f>IF(Table_TRM_Fixtures[[#This Row],[Pre-EISA Baseline]]="Nominal", Table_TRM_Fixtures[[#This Row],[Fixture Watts  (TRM Data)]], Table_TRM_Fixtures[[#This Row],[Modified Baseline Fixture Watts]])</f>
        <v>43</v>
      </c>
    </row>
    <row r="752" spans="1:27" x14ac:dyDescent="0.2">
      <c r="A752" t="s">
        <v>5474</v>
      </c>
      <c r="B752" t="s">
        <v>5470</v>
      </c>
      <c r="C752" t="s">
        <v>5475</v>
      </c>
      <c r="D752" t="s">
        <v>5476</v>
      </c>
      <c r="E752" t="s">
        <v>1309</v>
      </c>
      <c r="F752">
        <v>2</v>
      </c>
      <c r="G752">
        <v>40</v>
      </c>
      <c r="H752">
        <v>85</v>
      </c>
      <c r="I752" t="s">
        <v>186</v>
      </c>
      <c r="J752" s="110">
        <v>750</v>
      </c>
      <c r="K752" t="s">
        <v>2893</v>
      </c>
      <c r="L752">
        <f>IF(Table_TRM_Fixtures[[#This Row],[Technology]]="LED", Table_TRM_Fixtures[[#This Row],[Fixture Watts  (TRM Data)]], Table_TRM_Fixtures[[#This Row],[Lamp Watts  (TRM Data)]])</f>
        <v>40</v>
      </c>
      <c r="M752">
        <f>Table_TRM_Fixtures[[#This Row],[No. of Lamps  (TRM Data)]]</f>
        <v>2</v>
      </c>
      <c r="N752" t="s">
        <v>186</v>
      </c>
      <c r="O752" t="s">
        <v>186</v>
      </c>
      <c r="R752" t="s">
        <v>2893</v>
      </c>
      <c r="S752" t="str">
        <f>Table_TRM_Fixtures[[#This Row],[Description  (TRM Data)]]</f>
        <v>Compact Fluorescent, long twin, (2) 40W lamps</v>
      </c>
      <c r="T752" t="str">
        <f>Table_TRM_Fixtures[[#This Row],[Fixture code  (TRM Data)]]</f>
        <v>CFT40/2</v>
      </c>
      <c r="U752" t="s">
        <v>2882</v>
      </c>
      <c r="V752" t="s">
        <v>186</v>
      </c>
      <c r="W752" t="s">
        <v>3120</v>
      </c>
      <c r="X752" t="s">
        <v>186</v>
      </c>
      <c r="Y752" t="s">
        <v>4815</v>
      </c>
      <c r="Z752" t="s">
        <v>4815</v>
      </c>
      <c r="AA752">
        <f>IF(Table_TRM_Fixtures[[#This Row],[Pre-EISA Baseline]]="Nominal", Table_TRM_Fixtures[[#This Row],[Fixture Watts  (TRM Data)]], Table_TRM_Fixtures[[#This Row],[Modified Baseline Fixture Watts]])</f>
        <v>85</v>
      </c>
    </row>
    <row r="753" spans="1:27" x14ac:dyDescent="0.2">
      <c r="A753" t="s">
        <v>5477</v>
      </c>
      <c r="B753" t="s">
        <v>5470</v>
      </c>
      <c r="C753" t="s">
        <v>5475</v>
      </c>
      <c r="D753" t="s">
        <v>5476</v>
      </c>
      <c r="E753" t="s">
        <v>187</v>
      </c>
      <c r="F753">
        <v>2</v>
      </c>
      <c r="G753">
        <v>40</v>
      </c>
      <c r="H753">
        <v>72</v>
      </c>
      <c r="I753" t="s">
        <v>186</v>
      </c>
      <c r="J753" s="110">
        <v>751</v>
      </c>
      <c r="K753" t="s">
        <v>2893</v>
      </c>
      <c r="L753">
        <f>IF(Table_TRM_Fixtures[[#This Row],[Technology]]="LED", Table_TRM_Fixtures[[#This Row],[Fixture Watts  (TRM Data)]], Table_TRM_Fixtures[[#This Row],[Lamp Watts  (TRM Data)]])</f>
        <v>40</v>
      </c>
      <c r="M753">
        <f>Table_TRM_Fixtures[[#This Row],[No. of Lamps  (TRM Data)]]</f>
        <v>2</v>
      </c>
      <c r="N753" t="s">
        <v>186</v>
      </c>
      <c r="O753" t="s">
        <v>186</v>
      </c>
      <c r="R753" t="s">
        <v>2893</v>
      </c>
      <c r="S753" t="str">
        <f>Table_TRM_Fixtures[[#This Row],[Description  (TRM Data)]]</f>
        <v>Compact Fluorescent, long twin, (2) 40W lamps</v>
      </c>
      <c r="T753" t="str">
        <f>Table_TRM_Fixtures[[#This Row],[Fixture code  (TRM Data)]]</f>
        <v>CFT40/2-L</v>
      </c>
      <c r="U753" t="s">
        <v>2882</v>
      </c>
      <c r="V753" t="s">
        <v>186</v>
      </c>
      <c r="W753" t="s">
        <v>3120</v>
      </c>
      <c r="X753" t="s">
        <v>186</v>
      </c>
      <c r="Y753" t="str">
        <f>_xlfn.CONCAT(Table_TRM_Fixtures[[#This Row],[Combined Lighting/Ballast Types]],":",Table_TRM_Fixtures[[#This Row],[No. of Lamps]], ":", Table_TRM_Fixtures[[#This Row],[Lamp Watts  (TRM Data)]])</f>
        <v>CFL:2:40</v>
      </c>
      <c r="Z753"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CFL:2:40</v>
      </c>
      <c r="AA753">
        <f>IF(Table_TRM_Fixtures[[#This Row],[Pre-EISA Baseline]]="Nominal", Table_TRM_Fixtures[[#This Row],[Fixture Watts  (TRM Data)]], Table_TRM_Fixtures[[#This Row],[Modified Baseline Fixture Watts]])</f>
        <v>72</v>
      </c>
    </row>
    <row r="754" spans="1:27" x14ac:dyDescent="0.2">
      <c r="A754" t="s">
        <v>5478</v>
      </c>
      <c r="B754" t="s">
        <v>5470</v>
      </c>
      <c r="C754" t="s">
        <v>5479</v>
      </c>
      <c r="D754" t="s">
        <v>5480</v>
      </c>
      <c r="E754" t="s">
        <v>1309</v>
      </c>
      <c r="F754">
        <v>3</v>
      </c>
      <c r="G754">
        <v>40</v>
      </c>
      <c r="H754">
        <v>133</v>
      </c>
      <c r="I754" t="s">
        <v>186</v>
      </c>
      <c r="J754" s="110">
        <v>752</v>
      </c>
      <c r="K754" t="s">
        <v>2893</v>
      </c>
      <c r="L754">
        <f>IF(Table_TRM_Fixtures[[#This Row],[Technology]]="LED", Table_TRM_Fixtures[[#This Row],[Fixture Watts  (TRM Data)]], Table_TRM_Fixtures[[#This Row],[Lamp Watts  (TRM Data)]])</f>
        <v>40</v>
      </c>
      <c r="M754">
        <f>Table_TRM_Fixtures[[#This Row],[No. of Lamps  (TRM Data)]]</f>
        <v>3</v>
      </c>
      <c r="N754" t="s">
        <v>186</v>
      </c>
      <c r="O754" t="s">
        <v>186</v>
      </c>
      <c r="R754" t="s">
        <v>2893</v>
      </c>
      <c r="S754" t="str">
        <f>Table_TRM_Fixtures[[#This Row],[Description  (TRM Data)]]</f>
        <v>Compact Fluorescent, long twin, (3) 40 W lamps</v>
      </c>
      <c r="T754" t="str">
        <f>Table_TRM_Fixtures[[#This Row],[Fixture code  (TRM Data)]]</f>
        <v>CFT40/3</v>
      </c>
      <c r="U754" t="s">
        <v>2882</v>
      </c>
      <c r="V754" t="s">
        <v>186</v>
      </c>
      <c r="W754" t="s">
        <v>3120</v>
      </c>
      <c r="X754" t="s">
        <v>186</v>
      </c>
      <c r="Y754" t="s">
        <v>4815</v>
      </c>
      <c r="Z754" t="s">
        <v>4815</v>
      </c>
      <c r="AA754">
        <f>IF(Table_TRM_Fixtures[[#This Row],[Pre-EISA Baseline]]="Nominal", Table_TRM_Fixtures[[#This Row],[Fixture Watts  (TRM Data)]], Table_TRM_Fixtures[[#This Row],[Modified Baseline Fixture Watts]])</f>
        <v>133</v>
      </c>
    </row>
    <row r="755" spans="1:27" x14ac:dyDescent="0.2">
      <c r="A755" t="s">
        <v>5481</v>
      </c>
      <c r="B755" t="s">
        <v>5470</v>
      </c>
      <c r="C755" t="s">
        <v>5482</v>
      </c>
      <c r="D755" t="s">
        <v>5480</v>
      </c>
      <c r="E755" t="s">
        <v>187</v>
      </c>
      <c r="F755">
        <v>3</v>
      </c>
      <c r="G755">
        <v>40</v>
      </c>
      <c r="H755">
        <v>105</v>
      </c>
      <c r="I755" t="s">
        <v>186</v>
      </c>
      <c r="J755" s="110">
        <v>753</v>
      </c>
      <c r="K755" t="s">
        <v>2893</v>
      </c>
      <c r="L755">
        <f>IF(Table_TRM_Fixtures[[#This Row],[Technology]]="LED", Table_TRM_Fixtures[[#This Row],[Fixture Watts  (TRM Data)]], Table_TRM_Fixtures[[#This Row],[Lamp Watts  (TRM Data)]])</f>
        <v>40</v>
      </c>
      <c r="M755">
        <f>Table_TRM_Fixtures[[#This Row],[No. of Lamps  (TRM Data)]]</f>
        <v>3</v>
      </c>
      <c r="N755" t="s">
        <v>186</v>
      </c>
      <c r="O755" t="s">
        <v>186</v>
      </c>
      <c r="R755" t="s">
        <v>2893</v>
      </c>
      <c r="S755" t="str">
        <f>Table_TRM_Fixtures[[#This Row],[Description  (TRM Data)]]</f>
        <v>Compact Fluorescent, long twin, (3) 40W lamps</v>
      </c>
      <c r="T755" t="str">
        <f>Table_TRM_Fixtures[[#This Row],[Fixture code  (TRM Data)]]</f>
        <v>CFT40/3-L</v>
      </c>
      <c r="U755" t="s">
        <v>2882</v>
      </c>
      <c r="V755" t="s">
        <v>186</v>
      </c>
      <c r="W755" t="s">
        <v>3120</v>
      </c>
      <c r="X755" t="s">
        <v>186</v>
      </c>
      <c r="Y755" t="str">
        <f>_xlfn.CONCAT(Table_TRM_Fixtures[[#This Row],[Combined Lighting/Ballast Types]],":",Table_TRM_Fixtures[[#This Row],[No. of Lamps]], ":", Table_TRM_Fixtures[[#This Row],[Lamp Watts  (TRM Data)]])</f>
        <v>CFL:3:40</v>
      </c>
      <c r="Z755"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CFL:3:40</v>
      </c>
      <c r="AA755">
        <f>IF(Table_TRM_Fixtures[[#This Row],[Pre-EISA Baseline]]="Nominal", Table_TRM_Fixtures[[#This Row],[Fixture Watts  (TRM Data)]], Table_TRM_Fixtures[[#This Row],[Modified Baseline Fixture Watts]])</f>
        <v>105</v>
      </c>
    </row>
    <row r="756" spans="1:27" x14ac:dyDescent="0.2">
      <c r="A756" t="s">
        <v>5483</v>
      </c>
      <c r="B756" t="s">
        <v>5470</v>
      </c>
      <c r="C756" t="s">
        <v>5484</v>
      </c>
      <c r="D756" t="s">
        <v>5485</v>
      </c>
      <c r="E756" t="s">
        <v>187</v>
      </c>
      <c r="F756">
        <v>5</v>
      </c>
      <c r="G756">
        <v>40</v>
      </c>
      <c r="H756">
        <v>177</v>
      </c>
      <c r="I756" t="s">
        <v>186</v>
      </c>
      <c r="J756" s="110">
        <v>754</v>
      </c>
      <c r="K756" t="s">
        <v>2893</v>
      </c>
      <c r="L756">
        <f>IF(Table_TRM_Fixtures[[#This Row],[Technology]]="LED", Table_TRM_Fixtures[[#This Row],[Fixture Watts  (TRM Data)]], Table_TRM_Fixtures[[#This Row],[Lamp Watts  (TRM Data)]])</f>
        <v>40</v>
      </c>
      <c r="M756">
        <f>Table_TRM_Fixtures[[#This Row],[No. of Lamps  (TRM Data)]]</f>
        <v>5</v>
      </c>
      <c r="N756" t="s">
        <v>186</v>
      </c>
      <c r="O756" t="s">
        <v>186</v>
      </c>
      <c r="R756" t="s">
        <v>2893</v>
      </c>
      <c r="S756" t="str">
        <f>Table_TRM_Fixtures[[#This Row],[Description  (TRM Data)]]</f>
        <v>Compact Fluorescent, long twin, (5) 40W lamps</v>
      </c>
      <c r="T756" t="str">
        <f>Table_TRM_Fixtures[[#This Row],[Fixture code  (TRM Data)]]</f>
        <v>CFT40/5-L</v>
      </c>
      <c r="U756" t="s">
        <v>2882</v>
      </c>
      <c r="V756" t="s">
        <v>186</v>
      </c>
      <c r="W756" t="s">
        <v>3120</v>
      </c>
      <c r="X756" t="s">
        <v>186</v>
      </c>
      <c r="Y756" t="str">
        <f>_xlfn.CONCAT(Table_TRM_Fixtures[[#This Row],[Combined Lighting/Ballast Types]],":",Table_TRM_Fixtures[[#This Row],[No. of Lamps]], ":", Table_TRM_Fixtures[[#This Row],[Lamp Watts  (TRM Data)]])</f>
        <v>CFL:5:40</v>
      </c>
      <c r="Z756"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CFL:5:40</v>
      </c>
      <c r="AA756">
        <f>IF(Table_TRM_Fixtures[[#This Row],[Pre-EISA Baseline]]="Nominal", Table_TRM_Fixtures[[#This Row],[Fixture Watts  (TRM Data)]], Table_TRM_Fixtures[[#This Row],[Modified Baseline Fixture Watts]])</f>
        <v>177</v>
      </c>
    </row>
    <row r="757" spans="1:27" x14ac:dyDescent="0.2">
      <c r="A757" t="s">
        <v>5486</v>
      </c>
      <c r="B757" t="s">
        <v>5487</v>
      </c>
      <c r="C757" t="s">
        <v>5488</v>
      </c>
      <c r="D757" t="s">
        <v>5489</v>
      </c>
      <c r="E757" t="s">
        <v>187</v>
      </c>
      <c r="F757">
        <v>1</v>
      </c>
      <c r="G757">
        <v>50</v>
      </c>
      <c r="H757">
        <v>54</v>
      </c>
      <c r="I757" t="s">
        <v>186</v>
      </c>
      <c r="J757" s="110">
        <v>755</v>
      </c>
      <c r="K757" t="s">
        <v>2893</v>
      </c>
      <c r="L757">
        <f>IF(Table_TRM_Fixtures[[#This Row],[Technology]]="LED", Table_TRM_Fixtures[[#This Row],[Fixture Watts  (TRM Data)]], Table_TRM_Fixtures[[#This Row],[Lamp Watts  (TRM Data)]])</f>
        <v>50</v>
      </c>
      <c r="M757">
        <f>Table_TRM_Fixtures[[#This Row],[No. of Lamps  (TRM Data)]]</f>
        <v>1</v>
      </c>
      <c r="N757" t="s">
        <v>186</v>
      </c>
      <c r="O757" t="s">
        <v>186</v>
      </c>
      <c r="R757" t="s">
        <v>2893</v>
      </c>
      <c r="S757" t="str">
        <f>Table_TRM_Fixtures[[#This Row],[Description  (TRM Data)]]</f>
        <v>Compact Fluorescent, long twin, (1) 50W lamp</v>
      </c>
      <c r="T757" t="str">
        <f>Table_TRM_Fixtures[[#This Row],[Fixture code  (TRM Data)]]</f>
        <v>CFT50/1-L</v>
      </c>
      <c r="U757" t="s">
        <v>2882</v>
      </c>
      <c r="V757" t="s">
        <v>186</v>
      </c>
      <c r="W757" t="s">
        <v>3120</v>
      </c>
      <c r="X757" t="s">
        <v>186</v>
      </c>
      <c r="Y757" t="str">
        <f>_xlfn.CONCAT(Table_TRM_Fixtures[[#This Row],[Combined Lighting/Ballast Types]],":",Table_TRM_Fixtures[[#This Row],[No. of Lamps]], ":", Table_TRM_Fixtures[[#This Row],[Lamp Watts  (TRM Data)]])</f>
        <v>CFL:1:50</v>
      </c>
      <c r="Z757"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CFL:1:50</v>
      </c>
      <c r="AA757">
        <f>IF(Table_TRM_Fixtures[[#This Row],[Pre-EISA Baseline]]="Nominal", Table_TRM_Fixtures[[#This Row],[Fixture Watts  (TRM Data)]], Table_TRM_Fixtures[[#This Row],[Modified Baseline Fixture Watts]])</f>
        <v>54</v>
      </c>
    </row>
    <row r="758" spans="1:27" x14ac:dyDescent="0.2">
      <c r="A758" t="s">
        <v>5490</v>
      </c>
      <c r="B758" t="s">
        <v>5487</v>
      </c>
      <c r="C758" t="s">
        <v>5491</v>
      </c>
      <c r="D758" t="s">
        <v>5489</v>
      </c>
      <c r="E758" t="s">
        <v>187</v>
      </c>
      <c r="F758">
        <v>1</v>
      </c>
      <c r="G758">
        <v>50</v>
      </c>
      <c r="H758">
        <v>108</v>
      </c>
      <c r="I758" t="s">
        <v>186</v>
      </c>
      <c r="J758" s="110">
        <v>756</v>
      </c>
      <c r="K758" t="s">
        <v>2893</v>
      </c>
      <c r="L758">
        <f>IF(Table_TRM_Fixtures[[#This Row],[Technology]]="LED", Table_TRM_Fixtures[[#This Row],[Fixture Watts  (TRM Data)]], Table_TRM_Fixtures[[#This Row],[Lamp Watts  (TRM Data)]])</f>
        <v>50</v>
      </c>
      <c r="M758">
        <f>Table_TRM_Fixtures[[#This Row],[No. of Lamps  (TRM Data)]]</f>
        <v>1</v>
      </c>
      <c r="N758" t="s">
        <v>186</v>
      </c>
      <c r="O758" t="s">
        <v>186</v>
      </c>
      <c r="R758" t="s">
        <v>2893</v>
      </c>
      <c r="S758" t="str">
        <f>Table_TRM_Fixtures[[#This Row],[Description  (TRM Data)]]</f>
        <v>Compact Fluorescent, long twin, (2) 50W lamps</v>
      </c>
      <c r="T758" t="str">
        <f>Table_TRM_Fixtures[[#This Row],[Fixture code  (TRM Data)]]</f>
        <v>CFT50/2-L</v>
      </c>
      <c r="U758" t="s">
        <v>2882</v>
      </c>
      <c r="V758" t="s">
        <v>186</v>
      </c>
      <c r="W758" t="s">
        <v>3120</v>
      </c>
      <c r="X758" t="s">
        <v>186</v>
      </c>
      <c r="Y758" t="s">
        <v>4815</v>
      </c>
      <c r="Z758" t="s">
        <v>4815</v>
      </c>
      <c r="AA758">
        <f>IF(Table_TRM_Fixtures[[#This Row],[Pre-EISA Baseline]]="Nominal", Table_TRM_Fixtures[[#This Row],[Fixture Watts  (TRM Data)]], Table_TRM_Fixtures[[#This Row],[Modified Baseline Fixture Watts]])</f>
        <v>108</v>
      </c>
    </row>
    <row r="759" spans="1:27" x14ac:dyDescent="0.2">
      <c r="A759" t="s">
        <v>5492</v>
      </c>
      <c r="B759" t="s">
        <v>5493</v>
      </c>
      <c r="C759" t="s">
        <v>5494</v>
      </c>
      <c r="D759" t="s">
        <v>5495</v>
      </c>
      <c r="E759" t="s">
        <v>187</v>
      </c>
      <c r="F759">
        <v>1</v>
      </c>
      <c r="G759">
        <v>55</v>
      </c>
      <c r="H759">
        <v>58</v>
      </c>
      <c r="I759" t="s">
        <v>186</v>
      </c>
      <c r="J759" s="110">
        <v>757</v>
      </c>
      <c r="K759" t="s">
        <v>2893</v>
      </c>
      <c r="L759">
        <f>IF(Table_TRM_Fixtures[[#This Row],[Technology]]="LED", Table_TRM_Fixtures[[#This Row],[Fixture Watts  (TRM Data)]], Table_TRM_Fixtures[[#This Row],[Lamp Watts  (TRM Data)]])</f>
        <v>55</v>
      </c>
      <c r="M759">
        <f>Table_TRM_Fixtures[[#This Row],[No. of Lamps  (TRM Data)]]</f>
        <v>1</v>
      </c>
      <c r="N759" t="s">
        <v>186</v>
      </c>
      <c r="O759" t="s">
        <v>186</v>
      </c>
      <c r="R759" t="s">
        <v>2893</v>
      </c>
      <c r="S759" t="str">
        <f>Table_TRM_Fixtures[[#This Row],[Description  (TRM Data)]]</f>
        <v>Compact Fluorescent, long twin, (1) 55W lamp</v>
      </c>
      <c r="T759" t="str">
        <f>Table_TRM_Fixtures[[#This Row],[Fixture code  (TRM Data)]]</f>
        <v>CFT55/1-L</v>
      </c>
      <c r="U759" t="s">
        <v>2882</v>
      </c>
      <c r="V759" t="s">
        <v>186</v>
      </c>
      <c r="W759" t="s">
        <v>3120</v>
      </c>
      <c r="X759" t="s">
        <v>186</v>
      </c>
      <c r="Y759" t="str">
        <f>_xlfn.CONCAT(Table_TRM_Fixtures[[#This Row],[Combined Lighting/Ballast Types]],":",Table_TRM_Fixtures[[#This Row],[No. of Lamps]], ":", Table_TRM_Fixtures[[#This Row],[Lamp Watts  (TRM Data)]])</f>
        <v>CFL:1:55</v>
      </c>
      <c r="Z759"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CFL:1:55</v>
      </c>
      <c r="AA759">
        <f>IF(Table_TRM_Fixtures[[#This Row],[Pre-EISA Baseline]]="Nominal", Table_TRM_Fixtures[[#This Row],[Fixture Watts  (TRM Data)]], Table_TRM_Fixtures[[#This Row],[Modified Baseline Fixture Watts]])</f>
        <v>58</v>
      </c>
    </row>
    <row r="760" spans="1:27" x14ac:dyDescent="0.2">
      <c r="A760" t="s">
        <v>5496</v>
      </c>
      <c r="B760" t="s">
        <v>5493</v>
      </c>
      <c r="C760" t="s">
        <v>5497</v>
      </c>
      <c r="D760" t="s">
        <v>5498</v>
      </c>
      <c r="E760" t="s">
        <v>187</v>
      </c>
      <c r="F760">
        <v>2</v>
      </c>
      <c r="G760">
        <v>55</v>
      </c>
      <c r="H760">
        <v>108</v>
      </c>
      <c r="I760" t="s">
        <v>186</v>
      </c>
      <c r="J760" s="110">
        <v>758</v>
      </c>
      <c r="K760" t="s">
        <v>2893</v>
      </c>
      <c r="L760">
        <f>IF(Table_TRM_Fixtures[[#This Row],[Technology]]="LED", Table_TRM_Fixtures[[#This Row],[Fixture Watts  (TRM Data)]], Table_TRM_Fixtures[[#This Row],[Lamp Watts  (TRM Data)]])</f>
        <v>55</v>
      </c>
      <c r="M760">
        <f>Table_TRM_Fixtures[[#This Row],[No. of Lamps  (TRM Data)]]</f>
        <v>2</v>
      </c>
      <c r="N760" t="s">
        <v>186</v>
      </c>
      <c r="O760" t="s">
        <v>186</v>
      </c>
      <c r="R760" t="s">
        <v>2893</v>
      </c>
      <c r="S760" t="str">
        <f>Table_TRM_Fixtures[[#This Row],[Description  (TRM Data)]]</f>
        <v>Compact Fluorescent, long twin, (2) 55W lamps</v>
      </c>
      <c r="T760" t="str">
        <f>Table_TRM_Fixtures[[#This Row],[Fixture code  (TRM Data)]]</f>
        <v>CFT55/2-L</v>
      </c>
      <c r="U760" t="s">
        <v>2882</v>
      </c>
      <c r="V760" t="s">
        <v>186</v>
      </c>
      <c r="W760" t="s">
        <v>3120</v>
      </c>
      <c r="X760" t="s">
        <v>186</v>
      </c>
      <c r="Y760" t="str">
        <f>_xlfn.CONCAT(Table_TRM_Fixtures[[#This Row],[Combined Lighting/Ballast Types]],":",Table_TRM_Fixtures[[#This Row],[No. of Lamps]], ":", Table_TRM_Fixtures[[#This Row],[Lamp Watts  (TRM Data)]])</f>
        <v>CFL:2:55</v>
      </c>
      <c r="Z760"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CFL:2:55</v>
      </c>
      <c r="AA760">
        <f>IF(Table_TRM_Fixtures[[#This Row],[Pre-EISA Baseline]]="Nominal", Table_TRM_Fixtures[[#This Row],[Fixture Watts  (TRM Data)]], Table_TRM_Fixtures[[#This Row],[Modified Baseline Fixture Watts]])</f>
        <v>108</v>
      </c>
    </row>
    <row r="761" spans="1:27" x14ac:dyDescent="0.2">
      <c r="A761" t="s">
        <v>5499</v>
      </c>
      <c r="B761" t="s">
        <v>5493</v>
      </c>
      <c r="C761" t="s">
        <v>5500</v>
      </c>
      <c r="D761" t="s">
        <v>5501</v>
      </c>
      <c r="E761" t="s">
        <v>187</v>
      </c>
      <c r="F761">
        <v>3</v>
      </c>
      <c r="G761">
        <v>55</v>
      </c>
      <c r="H761">
        <v>168</v>
      </c>
      <c r="I761" t="s">
        <v>186</v>
      </c>
      <c r="J761" s="110">
        <v>759</v>
      </c>
      <c r="K761" t="s">
        <v>2893</v>
      </c>
      <c r="L761">
        <f>IF(Table_TRM_Fixtures[[#This Row],[Technology]]="LED", Table_TRM_Fixtures[[#This Row],[Fixture Watts  (TRM Data)]], Table_TRM_Fixtures[[#This Row],[Lamp Watts  (TRM Data)]])</f>
        <v>55</v>
      </c>
      <c r="M761">
        <f>Table_TRM_Fixtures[[#This Row],[No. of Lamps  (TRM Data)]]</f>
        <v>3</v>
      </c>
      <c r="N761" t="s">
        <v>186</v>
      </c>
      <c r="O761" t="s">
        <v>186</v>
      </c>
      <c r="R761" t="s">
        <v>2893</v>
      </c>
      <c r="S761" t="str">
        <f>Table_TRM_Fixtures[[#This Row],[Description  (TRM Data)]]</f>
        <v>Compact Fluorescent, long twin, (3) 55W lamps</v>
      </c>
      <c r="T761" t="str">
        <f>Table_TRM_Fixtures[[#This Row],[Fixture code  (TRM Data)]]</f>
        <v>CFT55/3-L</v>
      </c>
      <c r="U761" t="s">
        <v>2882</v>
      </c>
      <c r="V761" t="s">
        <v>186</v>
      </c>
      <c r="W761" t="s">
        <v>3120</v>
      </c>
      <c r="X761" t="s">
        <v>186</v>
      </c>
      <c r="Y761" t="str">
        <f>_xlfn.CONCAT(Table_TRM_Fixtures[[#This Row],[Combined Lighting/Ballast Types]],":",Table_TRM_Fixtures[[#This Row],[No. of Lamps]], ":", Table_TRM_Fixtures[[#This Row],[Lamp Watts  (TRM Data)]])</f>
        <v>CFL:3:55</v>
      </c>
      <c r="Z761"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CFL:3:55</v>
      </c>
      <c r="AA761">
        <f>IF(Table_TRM_Fixtures[[#This Row],[Pre-EISA Baseline]]="Nominal", Table_TRM_Fixtures[[#This Row],[Fixture Watts  (TRM Data)]], Table_TRM_Fixtures[[#This Row],[Modified Baseline Fixture Watts]])</f>
        <v>168</v>
      </c>
    </row>
    <row r="762" spans="1:27" x14ac:dyDescent="0.2">
      <c r="A762" t="s">
        <v>5502</v>
      </c>
      <c r="B762" t="s">
        <v>5493</v>
      </c>
      <c r="C762" t="s">
        <v>5503</v>
      </c>
      <c r="D762" t="s">
        <v>5504</v>
      </c>
      <c r="E762" t="s">
        <v>187</v>
      </c>
      <c r="F762">
        <v>4</v>
      </c>
      <c r="G762">
        <v>55</v>
      </c>
      <c r="H762">
        <v>220</v>
      </c>
      <c r="I762" t="s">
        <v>186</v>
      </c>
      <c r="J762" s="110">
        <v>760</v>
      </c>
      <c r="K762" t="s">
        <v>2893</v>
      </c>
      <c r="L762">
        <f>IF(Table_TRM_Fixtures[[#This Row],[Technology]]="LED", Table_TRM_Fixtures[[#This Row],[Fixture Watts  (TRM Data)]], Table_TRM_Fixtures[[#This Row],[Lamp Watts  (TRM Data)]])</f>
        <v>55</v>
      </c>
      <c r="M762">
        <f>Table_TRM_Fixtures[[#This Row],[No. of Lamps  (TRM Data)]]</f>
        <v>4</v>
      </c>
      <c r="N762" t="s">
        <v>186</v>
      </c>
      <c r="O762" t="s">
        <v>186</v>
      </c>
      <c r="R762" t="s">
        <v>2893</v>
      </c>
      <c r="S762" t="str">
        <f>Table_TRM_Fixtures[[#This Row],[Description  (TRM Data)]]</f>
        <v>Compact Fluorescent, long twin, (4) 55W lamps</v>
      </c>
      <c r="T762" t="str">
        <f>Table_TRM_Fixtures[[#This Row],[Fixture code  (TRM Data)]]</f>
        <v>CFT55/4-L</v>
      </c>
      <c r="U762" t="s">
        <v>2882</v>
      </c>
      <c r="V762" t="s">
        <v>186</v>
      </c>
      <c r="W762" t="s">
        <v>3120</v>
      </c>
      <c r="X762" t="s">
        <v>186</v>
      </c>
      <c r="Y762" t="str">
        <f>_xlfn.CONCAT(Table_TRM_Fixtures[[#This Row],[Combined Lighting/Ballast Types]],":",Table_TRM_Fixtures[[#This Row],[No. of Lamps]], ":", Table_TRM_Fixtures[[#This Row],[Lamp Watts  (TRM Data)]])</f>
        <v>CFL:4:55</v>
      </c>
      <c r="Z762"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CFL:4:55</v>
      </c>
      <c r="AA762">
        <f>IF(Table_TRM_Fixtures[[#This Row],[Pre-EISA Baseline]]="Nominal", Table_TRM_Fixtures[[#This Row],[Fixture Watts  (TRM Data)]], Table_TRM_Fixtures[[#This Row],[Modified Baseline Fixture Watts]])</f>
        <v>220</v>
      </c>
    </row>
    <row r="763" spans="1:27" x14ac:dyDescent="0.2">
      <c r="A763" t="s">
        <v>5505</v>
      </c>
      <c r="B763" t="s">
        <v>5506</v>
      </c>
      <c r="C763" t="s">
        <v>5507</v>
      </c>
      <c r="D763" t="s">
        <v>5508</v>
      </c>
      <c r="E763" t="s">
        <v>187</v>
      </c>
      <c r="F763">
        <v>1</v>
      </c>
      <c r="G763">
        <v>80</v>
      </c>
      <c r="H763">
        <v>90</v>
      </c>
      <c r="I763" t="s">
        <v>186</v>
      </c>
      <c r="J763" s="110">
        <v>761</v>
      </c>
      <c r="K763" t="s">
        <v>2893</v>
      </c>
      <c r="L763">
        <f>IF(Table_TRM_Fixtures[[#This Row],[Technology]]="LED", Table_TRM_Fixtures[[#This Row],[Fixture Watts  (TRM Data)]], Table_TRM_Fixtures[[#This Row],[Lamp Watts  (TRM Data)]])</f>
        <v>80</v>
      </c>
      <c r="M763">
        <f>Table_TRM_Fixtures[[#This Row],[No. of Lamps  (TRM Data)]]</f>
        <v>1</v>
      </c>
      <c r="N763" t="s">
        <v>186</v>
      </c>
      <c r="O763" t="s">
        <v>186</v>
      </c>
      <c r="R763" t="s">
        <v>2893</v>
      </c>
      <c r="S763" t="str">
        <f>Table_TRM_Fixtures[[#This Row],[Description  (TRM Data)]]</f>
        <v>Compact Fluorescent, long twin, (1) 80W lamp</v>
      </c>
      <c r="T763" t="str">
        <f>Table_TRM_Fixtures[[#This Row],[Fixture code  (TRM Data)]]</f>
        <v>CFT80/1-L</v>
      </c>
      <c r="U763" t="s">
        <v>2882</v>
      </c>
      <c r="V763" t="s">
        <v>186</v>
      </c>
      <c r="W763" t="s">
        <v>3120</v>
      </c>
      <c r="X763" t="s">
        <v>186</v>
      </c>
      <c r="Y763" t="str">
        <f>_xlfn.CONCAT(Table_TRM_Fixtures[[#This Row],[Combined Lighting/Ballast Types]],":",Table_TRM_Fixtures[[#This Row],[No. of Lamps]], ":", Table_TRM_Fixtures[[#This Row],[Lamp Watts  (TRM Data)]])</f>
        <v>CFL:1:80</v>
      </c>
      <c r="Z763"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CFL:1:80</v>
      </c>
      <c r="AA763">
        <f>IF(Table_TRM_Fixtures[[#This Row],[Pre-EISA Baseline]]="Nominal", Table_TRM_Fixtures[[#This Row],[Fixture Watts  (TRM Data)]], Table_TRM_Fixtures[[#This Row],[Modified Baseline Fixture Watts]])</f>
        <v>90</v>
      </c>
    </row>
    <row r="764" spans="1:27" x14ac:dyDescent="0.2">
      <c r="A764" t="s">
        <v>1311</v>
      </c>
      <c r="B764" t="s">
        <v>5382</v>
      </c>
      <c r="C764" t="s">
        <v>1310</v>
      </c>
      <c r="D764" t="s">
        <v>5509</v>
      </c>
      <c r="E764" t="s">
        <v>1309</v>
      </c>
      <c r="F764">
        <v>1</v>
      </c>
      <c r="G764">
        <v>5</v>
      </c>
      <c r="H764">
        <v>9</v>
      </c>
      <c r="I764">
        <v>16</v>
      </c>
      <c r="J764" s="110">
        <v>762</v>
      </c>
      <c r="K764" t="s">
        <v>1308</v>
      </c>
      <c r="L764">
        <f>IF(Table_TRM_Fixtures[[#This Row],[Technology]]="LED", Table_TRM_Fixtures[[#This Row],[Fixture Watts  (TRM Data)]], Table_TRM_Fixtures[[#This Row],[Lamp Watts  (TRM Data)]])</f>
        <v>5</v>
      </c>
      <c r="M764">
        <f>Table_TRM_Fixtures[[#This Row],[No. of Lamps  (TRM Data)]]</f>
        <v>1</v>
      </c>
      <c r="N764" t="s">
        <v>186</v>
      </c>
      <c r="O764" t="s">
        <v>186</v>
      </c>
      <c r="R764" t="s">
        <v>2893</v>
      </c>
      <c r="S764" t="str">
        <f>Table_TRM_Fixtures[[#This Row],[Description  (TRM Data)]]</f>
        <v>EXIT Compact Fluorescent, (1) 5W lamp</v>
      </c>
      <c r="T764" t="str">
        <f>Table_TRM_Fixtures[[#This Row],[Fixture code  (TRM Data)]]</f>
        <v>ECF5/1</v>
      </c>
      <c r="U764" t="s">
        <v>2882</v>
      </c>
      <c r="V764" t="s">
        <v>186</v>
      </c>
      <c r="W764" t="s">
        <v>3120</v>
      </c>
      <c r="X764" t="s">
        <v>186</v>
      </c>
      <c r="Y764" t="s">
        <v>4815</v>
      </c>
      <c r="Z764" t="s">
        <v>4815</v>
      </c>
      <c r="AA764">
        <f>IF(Table_TRM_Fixtures[[#This Row],[Pre-EISA Baseline]]="Nominal", Table_TRM_Fixtures[[#This Row],[Fixture Watts  (TRM Data)]], Table_TRM_Fixtures[[#This Row],[Modified Baseline Fixture Watts]])</f>
        <v>9</v>
      </c>
    </row>
    <row r="765" spans="1:27" x14ac:dyDescent="0.2">
      <c r="A765" t="s">
        <v>1313</v>
      </c>
      <c r="B765" t="s">
        <v>5382</v>
      </c>
      <c r="C765" t="s">
        <v>1312</v>
      </c>
      <c r="D765" t="s">
        <v>5510</v>
      </c>
      <c r="E765" t="s">
        <v>1309</v>
      </c>
      <c r="F765">
        <v>2</v>
      </c>
      <c r="G765">
        <v>5</v>
      </c>
      <c r="H765">
        <v>20</v>
      </c>
      <c r="I765">
        <v>16</v>
      </c>
      <c r="J765" s="110">
        <v>763</v>
      </c>
      <c r="K765" t="s">
        <v>1308</v>
      </c>
      <c r="L765">
        <f>IF(Table_TRM_Fixtures[[#This Row],[Technology]]="LED", Table_TRM_Fixtures[[#This Row],[Fixture Watts  (TRM Data)]], Table_TRM_Fixtures[[#This Row],[Lamp Watts  (TRM Data)]])</f>
        <v>5</v>
      </c>
      <c r="M765">
        <f>Table_TRM_Fixtures[[#This Row],[No. of Lamps  (TRM Data)]]</f>
        <v>2</v>
      </c>
      <c r="N765" t="s">
        <v>186</v>
      </c>
      <c r="O765" t="s">
        <v>186</v>
      </c>
      <c r="R765" t="s">
        <v>2893</v>
      </c>
      <c r="S765" t="str">
        <f>Table_TRM_Fixtures[[#This Row],[Description  (TRM Data)]]</f>
        <v>EXIT Compact Fluorescent, (2) 5W lamps</v>
      </c>
      <c r="T765" t="str">
        <f>Table_TRM_Fixtures[[#This Row],[Fixture code  (TRM Data)]]</f>
        <v>ECF5/2</v>
      </c>
      <c r="U765" t="s">
        <v>2882</v>
      </c>
      <c r="V765" t="s">
        <v>186</v>
      </c>
      <c r="W765" t="s">
        <v>3120</v>
      </c>
      <c r="X765" t="s">
        <v>186</v>
      </c>
      <c r="Y765" t="s">
        <v>4815</v>
      </c>
      <c r="Z765" t="s">
        <v>4815</v>
      </c>
      <c r="AA765">
        <f>IF(Table_TRM_Fixtures[[#This Row],[Pre-EISA Baseline]]="Nominal", Table_TRM_Fixtures[[#This Row],[Fixture Watts  (TRM Data)]], Table_TRM_Fixtures[[#This Row],[Modified Baseline Fixture Watts]])</f>
        <v>20</v>
      </c>
    </row>
    <row r="766" spans="1:27" x14ac:dyDescent="0.2">
      <c r="A766" t="s">
        <v>1315</v>
      </c>
      <c r="B766" t="s">
        <v>5511</v>
      </c>
      <c r="C766" t="s">
        <v>1314</v>
      </c>
      <c r="D766" t="s">
        <v>5512</v>
      </c>
      <c r="E766" t="s">
        <v>1309</v>
      </c>
      <c r="F766">
        <v>1</v>
      </c>
      <c r="G766">
        <v>6</v>
      </c>
      <c r="H766">
        <v>13</v>
      </c>
      <c r="I766">
        <v>16</v>
      </c>
      <c r="J766" s="110">
        <v>764</v>
      </c>
      <c r="K766" t="s">
        <v>1308</v>
      </c>
      <c r="L766">
        <f>IF(Table_TRM_Fixtures[[#This Row],[Technology]]="LED", Table_TRM_Fixtures[[#This Row],[Fixture Watts  (TRM Data)]], Table_TRM_Fixtures[[#This Row],[Lamp Watts  (TRM Data)]])</f>
        <v>6</v>
      </c>
      <c r="M766">
        <f>Table_TRM_Fixtures[[#This Row],[No. of Lamps  (TRM Data)]]</f>
        <v>1</v>
      </c>
      <c r="N766" t="s">
        <v>186</v>
      </c>
      <c r="O766" t="s">
        <v>186</v>
      </c>
      <c r="R766" t="s">
        <v>2893</v>
      </c>
      <c r="S766" t="str">
        <f>Table_TRM_Fixtures[[#This Row],[Description  (TRM Data)]]</f>
        <v>EXIT Compact Fluorescent, (1) 6W lamp</v>
      </c>
      <c r="T766" t="str">
        <f>Table_TRM_Fixtures[[#This Row],[Fixture code  (TRM Data)]]</f>
        <v>ECF6/1</v>
      </c>
      <c r="U766" t="s">
        <v>2882</v>
      </c>
      <c r="V766" t="s">
        <v>186</v>
      </c>
      <c r="W766" t="s">
        <v>3120</v>
      </c>
      <c r="X766" t="s">
        <v>186</v>
      </c>
      <c r="Y766" t="s">
        <v>4815</v>
      </c>
      <c r="Z766" t="s">
        <v>4815</v>
      </c>
      <c r="AA766">
        <f>IF(Table_TRM_Fixtures[[#This Row],[Pre-EISA Baseline]]="Nominal", Table_TRM_Fixtures[[#This Row],[Fixture Watts  (TRM Data)]], Table_TRM_Fixtures[[#This Row],[Modified Baseline Fixture Watts]])</f>
        <v>13</v>
      </c>
    </row>
    <row r="767" spans="1:27" x14ac:dyDescent="0.2">
      <c r="A767" t="s">
        <v>1317</v>
      </c>
      <c r="B767" t="s">
        <v>5511</v>
      </c>
      <c r="C767" t="s">
        <v>1316</v>
      </c>
      <c r="D767" t="s">
        <v>5513</v>
      </c>
      <c r="E767" t="s">
        <v>1309</v>
      </c>
      <c r="F767">
        <v>2</v>
      </c>
      <c r="G767">
        <v>6</v>
      </c>
      <c r="H767">
        <v>26</v>
      </c>
      <c r="I767">
        <v>16</v>
      </c>
      <c r="J767" s="110">
        <v>765</v>
      </c>
      <c r="K767" t="s">
        <v>1308</v>
      </c>
      <c r="L767">
        <f>IF(Table_TRM_Fixtures[[#This Row],[Technology]]="LED", Table_TRM_Fixtures[[#This Row],[Fixture Watts  (TRM Data)]], Table_TRM_Fixtures[[#This Row],[Lamp Watts  (TRM Data)]])</f>
        <v>6</v>
      </c>
      <c r="M767">
        <f>Table_TRM_Fixtures[[#This Row],[No. of Lamps  (TRM Data)]]</f>
        <v>2</v>
      </c>
      <c r="N767" t="s">
        <v>186</v>
      </c>
      <c r="O767" t="s">
        <v>186</v>
      </c>
      <c r="R767" t="s">
        <v>2893</v>
      </c>
      <c r="S767" t="str">
        <f>Table_TRM_Fixtures[[#This Row],[Description  (TRM Data)]]</f>
        <v>EXIT Compact Fluorescent, (2) 6W lamps, (2) ballasts</v>
      </c>
      <c r="T767" t="str">
        <f>Table_TRM_Fixtures[[#This Row],[Fixture code  (TRM Data)]]</f>
        <v>ECF6/2</v>
      </c>
      <c r="U767" t="s">
        <v>2882</v>
      </c>
      <c r="V767" t="s">
        <v>186</v>
      </c>
      <c r="W767" t="s">
        <v>3120</v>
      </c>
      <c r="X767" t="s">
        <v>186</v>
      </c>
      <c r="Y767" t="str">
        <f>_xlfn.CONCAT(Table_TRM_Fixtures[[#This Row],[Combined Lighting/Ballast Types]],":",Table_TRM_Fixtures[[#This Row],[No. of Lamps]], ":", Table_TRM_Fixtures[[#This Row],[Lamp Watts  (TRM Data)]])</f>
        <v>CFL:2:6</v>
      </c>
      <c r="Z767"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CFL:2:6</v>
      </c>
      <c r="AA767">
        <f>IF(Table_TRM_Fixtures[[#This Row],[Pre-EISA Baseline]]="Nominal", Table_TRM_Fixtures[[#This Row],[Fixture Watts  (TRM Data)]], Table_TRM_Fixtures[[#This Row],[Modified Baseline Fixture Watts]])</f>
        <v>26</v>
      </c>
    </row>
    <row r="768" spans="1:27" x14ac:dyDescent="0.2">
      <c r="A768" t="s">
        <v>1319</v>
      </c>
      <c r="B768" t="s">
        <v>5389</v>
      </c>
      <c r="C768" t="s">
        <v>1318</v>
      </c>
      <c r="D768" t="s">
        <v>5514</v>
      </c>
      <c r="E768" t="s">
        <v>1309</v>
      </c>
      <c r="F768">
        <v>1</v>
      </c>
      <c r="G768">
        <v>7</v>
      </c>
      <c r="H768">
        <v>10</v>
      </c>
      <c r="I768">
        <v>16</v>
      </c>
      <c r="J768" s="110">
        <v>766</v>
      </c>
      <c r="K768" t="s">
        <v>1308</v>
      </c>
      <c r="L768">
        <f>IF(Table_TRM_Fixtures[[#This Row],[Technology]]="LED", Table_TRM_Fixtures[[#This Row],[Fixture Watts  (TRM Data)]], Table_TRM_Fixtures[[#This Row],[Lamp Watts  (TRM Data)]])</f>
        <v>7</v>
      </c>
      <c r="M768">
        <f>Table_TRM_Fixtures[[#This Row],[No. of Lamps  (TRM Data)]]</f>
        <v>1</v>
      </c>
      <c r="N768" t="s">
        <v>186</v>
      </c>
      <c r="O768" t="s">
        <v>186</v>
      </c>
      <c r="R768" t="s">
        <v>2893</v>
      </c>
      <c r="S768" t="str">
        <f>Table_TRM_Fixtures[[#This Row],[Description  (TRM Data)]]</f>
        <v>EXIT Compact Fluorescent, (1) 7W lamp</v>
      </c>
      <c r="T768" t="str">
        <f>Table_TRM_Fixtures[[#This Row],[Fixture code  (TRM Data)]]</f>
        <v>ECF7/1</v>
      </c>
      <c r="U768" t="s">
        <v>2882</v>
      </c>
      <c r="V768" t="s">
        <v>186</v>
      </c>
      <c r="W768" t="s">
        <v>3120</v>
      </c>
      <c r="X768" t="s">
        <v>186</v>
      </c>
      <c r="Y768" t="s">
        <v>4815</v>
      </c>
      <c r="Z768" t="s">
        <v>4815</v>
      </c>
      <c r="AA768">
        <f>IF(Table_TRM_Fixtures[[#This Row],[Pre-EISA Baseline]]="Nominal", Table_TRM_Fixtures[[#This Row],[Fixture Watts  (TRM Data)]], Table_TRM_Fixtures[[#This Row],[Modified Baseline Fixture Watts]])</f>
        <v>10</v>
      </c>
    </row>
    <row r="769" spans="1:27" x14ac:dyDescent="0.2">
      <c r="A769" t="s">
        <v>1321</v>
      </c>
      <c r="B769" t="s">
        <v>5389</v>
      </c>
      <c r="C769" t="s">
        <v>1320</v>
      </c>
      <c r="D769" t="s">
        <v>5515</v>
      </c>
      <c r="E769" t="s">
        <v>1309</v>
      </c>
      <c r="F769">
        <v>2</v>
      </c>
      <c r="G769">
        <v>7</v>
      </c>
      <c r="H769">
        <v>21</v>
      </c>
      <c r="I769">
        <v>16</v>
      </c>
      <c r="J769" s="110">
        <v>767</v>
      </c>
      <c r="K769" t="s">
        <v>1308</v>
      </c>
      <c r="L769">
        <f>IF(Table_TRM_Fixtures[[#This Row],[Technology]]="LED", Table_TRM_Fixtures[[#This Row],[Fixture Watts  (TRM Data)]], Table_TRM_Fixtures[[#This Row],[Lamp Watts  (TRM Data)]])</f>
        <v>7</v>
      </c>
      <c r="M769">
        <f>Table_TRM_Fixtures[[#This Row],[No. of Lamps  (TRM Data)]]</f>
        <v>2</v>
      </c>
      <c r="N769" t="s">
        <v>186</v>
      </c>
      <c r="O769" t="s">
        <v>186</v>
      </c>
      <c r="R769" t="s">
        <v>2893</v>
      </c>
      <c r="S769" t="str">
        <f>Table_TRM_Fixtures[[#This Row],[Description  (TRM Data)]]</f>
        <v>EXIT Compact Fluorescent, (2) 7W lamps</v>
      </c>
      <c r="T769" t="str">
        <f>Table_TRM_Fixtures[[#This Row],[Fixture code  (TRM Data)]]</f>
        <v>ECF7/2</v>
      </c>
      <c r="U769" t="s">
        <v>2882</v>
      </c>
      <c r="V769" t="s">
        <v>186</v>
      </c>
      <c r="W769" t="s">
        <v>3120</v>
      </c>
      <c r="X769" t="s">
        <v>186</v>
      </c>
      <c r="Y769" t="s">
        <v>4815</v>
      </c>
      <c r="Z769" t="s">
        <v>4815</v>
      </c>
      <c r="AA769">
        <f>IF(Table_TRM_Fixtures[[#This Row],[Pre-EISA Baseline]]="Nominal", Table_TRM_Fixtures[[#This Row],[Fixture Watts  (TRM Data)]], Table_TRM_Fixtures[[#This Row],[Modified Baseline Fixture Watts]])</f>
        <v>21</v>
      </c>
    </row>
    <row r="770" spans="1:27" x14ac:dyDescent="0.2">
      <c r="A770" t="s">
        <v>1323</v>
      </c>
      <c r="B770" t="s">
        <v>5396</v>
      </c>
      <c r="C770" t="s">
        <v>1322</v>
      </c>
      <c r="D770" t="s">
        <v>5516</v>
      </c>
      <c r="E770" t="s">
        <v>1309</v>
      </c>
      <c r="F770">
        <v>1</v>
      </c>
      <c r="G770">
        <v>9</v>
      </c>
      <c r="H770">
        <v>12</v>
      </c>
      <c r="I770">
        <v>16</v>
      </c>
      <c r="J770" s="110">
        <v>768</v>
      </c>
      <c r="K770" t="s">
        <v>1308</v>
      </c>
      <c r="L770">
        <f>IF(Table_TRM_Fixtures[[#This Row],[Technology]]="LED", Table_TRM_Fixtures[[#This Row],[Fixture Watts  (TRM Data)]], Table_TRM_Fixtures[[#This Row],[Lamp Watts  (TRM Data)]])</f>
        <v>9</v>
      </c>
      <c r="M770">
        <f>Table_TRM_Fixtures[[#This Row],[No. of Lamps  (TRM Data)]]</f>
        <v>1</v>
      </c>
      <c r="N770" t="s">
        <v>186</v>
      </c>
      <c r="O770" t="s">
        <v>186</v>
      </c>
      <c r="R770" t="s">
        <v>2893</v>
      </c>
      <c r="S770" t="str">
        <f>Table_TRM_Fixtures[[#This Row],[Description  (TRM Data)]]</f>
        <v>EXIT Compact Fluorescent, (1) 9W lamp</v>
      </c>
      <c r="T770" t="str">
        <f>Table_TRM_Fixtures[[#This Row],[Fixture code  (TRM Data)]]</f>
        <v>ECF9/1</v>
      </c>
      <c r="U770" t="s">
        <v>2882</v>
      </c>
      <c r="V770" t="s">
        <v>186</v>
      </c>
      <c r="W770" t="s">
        <v>3120</v>
      </c>
      <c r="X770" t="s">
        <v>186</v>
      </c>
      <c r="Y770" t="s">
        <v>4815</v>
      </c>
      <c r="Z770" t="s">
        <v>4815</v>
      </c>
      <c r="AA770">
        <f>IF(Table_TRM_Fixtures[[#This Row],[Pre-EISA Baseline]]="Nominal", Table_TRM_Fixtures[[#This Row],[Fixture Watts  (TRM Data)]], Table_TRM_Fixtures[[#This Row],[Modified Baseline Fixture Watts]])</f>
        <v>12</v>
      </c>
    </row>
    <row r="771" spans="1:27" x14ac:dyDescent="0.2">
      <c r="A771" t="s">
        <v>1325</v>
      </c>
      <c r="B771" t="s">
        <v>5396</v>
      </c>
      <c r="C771" t="s">
        <v>1324</v>
      </c>
      <c r="D771" t="s">
        <v>5517</v>
      </c>
      <c r="E771" t="s">
        <v>1309</v>
      </c>
      <c r="F771">
        <v>2</v>
      </c>
      <c r="G771">
        <v>9</v>
      </c>
      <c r="H771">
        <v>20</v>
      </c>
      <c r="I771">
        <v>16</v>
      </c>
      <c r="J771" s="110">
        <v>769</v>
      </c>
      <c r="K771" t="s">
        <v>1308</v>
      </c>
      <c r="L771">
        <f>IF(Table_TRM_Fixtures[[#This Row],[Technology]]="LED", Table_TRM_Fixtures[[#This Row],[Fixture Watts  (TRM Data)]], Table_TRM_Fixtures[[#This Row],[Lamp Watts  (TRM Data)]])</f>
        <v>9</v>
      </c>
      <c r="M771">
        <f>Table_TRM_Fixtures[[#This Row],[No. of Lamps  (TRM Data)]]</f>
        <v>2</v>
      </c>
      <c r="N771" t="s">
        <v>186</v>
      </c>
      <c r="O771" t="s">
        <v>186</v>
      </c>
      <c r="R771" t="s">
        <v>2893</v>
      </c>
      <c r="S771" t="str">
        <f>Table_TRM_Fixtures[[#This Row],[Description  (TRM Data)]]</f>
        <v>EXIT Compact Fluorescent, (2) 9W lamps</v>
      </c>
      <c r="T771" t="str">
        <f>Table_TRM_Fixtures[[#This Row],[Fixture code  (TRM Data)]]</f>
        <v>ECF9/2</v>
      </c>
      <c r="U771" t="s">
        <v>2882</v>
      </c>
      <c r="V771" t="s">
        <v>186</v>
      </c>
      <c r="W771" t="s">
        <v>3120</v>
      </c>
      <c r="X771" t="s">
        <v>186</v>
      </c>
      <c r="Y771" t="s">
        <v>4815</v>
      </c>
      <c r="Z771" t="s">
        <v>4815</v>
      </c>
      <c r="AA771">
        <f>IF(Table_TRM_Fixtures[[#This Row],[Pre-EISA Baseline]]="Nominal", Table_TRM_Fixtures[[#This Row],[Fixture Watts  (TRM Data)]], Table_TRM_Fixtures[[#This Row],[Modified Baseline Fixture Watts]])</f>
        <v>20</v>
      </c>
    </row>
    <row r="772" spans="1:27" x14ac:dyDescent="0.2">
      <c r="A772" t="s">
        <v>1327</v>
      </c>
      <c r="B772" t="s">
        <v>5518</v>
      </c>
      <c r="C772" t="s">
        <v>1326</v>
      </c>
      <c r="D772" t="s">
        <v>5519</v>
      </c>
      <c r="E772" t="s">
        <v>187</v>
      </c>
      <c r="F772">
        <v>2</v>
      </c>
      <c r="G772">
        <v>2</v>
      </c>
      <c r="H772">
        <v>5</v>
      </c>
      <c r="I772">
        <v>16</v>
      </c>
      <c r="J772" s="110">
        <v>770</v>
      </c>
      <c r="K772" t="s">
        <v>1308</v>
      </c>
      <c r="L772">
        <f>IF(Table_TRM_Fixtures[[#This Row],[Technology]]="LED", Table_TRM_Fixtures[[#This Row],[Fixture Watts  (TRM Data)]], Table_TRM_Fixtures[[#This Row],[Lamp Watts  (TRM Data)]])</f>
        <v>2</v>
      </c>
      <c r="M772">
        <f>Table_TRM_Fixtures[[#This Row],[No. of Lamps  (TRM Data)]]</f>
        <v>2</v>
      </c>
      <c r="N772" t="s">
        <v>186</v>
      </c>
      <c r="O772" t="s">
        <v>186</v>
      </c>
      <c r="R772" t="s">
        <v>2923</v>
      </c>
      <c r="S772" t="str">
        <f>Table_TRM_Fixtures[[#This Row],[Description  (TRM Data)]]</f>
        <v>EXIT Sub-miniature T-1 Fluorescent, (2) lamps</v>
      </c>
      <c r="T772" t="str">
        <f>Table_TRM_Fixtures[[#This Row],[Fixture code  (TRM Data)]]</f>
        <v>EF2/2</v>
      </c>
      <c r="U772" t="s">
        <v>2882</v>
      </c>
      <c r="V772" t="s">
        <v>186</v>
      </c>
      <c r="W772" t="s">
        <v>3120</v>
      </c>
      <c r="X772" t="s">
        <v>186</v>
      </c>
      <c r="Y772" t="str">
        <f>_xlfn.CONCAT(Table_TRM_Fixtures[[#This Row],[Combined Lighting/Ballast Types]],":",Table_TRM_Fixtures[[#This Row],[No. of Lamps]], ":", Table_TRM_Fixtures[[#This Row],[Lamp Watts  (TRM Data)]])</f>
        <v>Fluorescent:2:2</v>
      </c>
      <c r="Z772"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Fluorescent:2:2</v>
      </c>
      <c r="AA772">
        <f>IF(Table_TRM_Fixtures[[#This Row],[Pre-EISA Baseline]]="Nominal", Table_TRM_Fixtures[[#This Row],[Fixture Watts  (TRM Data)]], Table_TRM_Fixtures[[#This Row],[Modified Baseline Fixture Watts]])</f>
        <v>5</v>
      </c>
    </row>
    <row r="773" spans="1:27" x14ac:dyDescent="0.2">
      <c r="A773" t="s">
        <v>1329</v>
      </c>
      <c r="B773" t="s">
        <v>5520</v>
      </c>
      <c r="C773" t="s">
        <v>1328</v>
      </c>
      <c r="D773" t="s">
        <v>5521</v>
      </c>
      <c r="E773" t="s">
        <v>1309</v>
      </c>
      <c r="F773">
        <v>1</v>
      </c>
      <c r="G773">
        <v>6</v>
      </c>
      <c r="H773">
        <v>9</v>
      </c>
      <c r="I773">
        <v>16</v>
      </c>
      <c r="J773" s="110">
        <v>771</v>
      </c>
      <c r="K773" t="s">
        <v>1308</v>
      </c>
      <c r="L773">
        <f>IF(Table_TRM_Fixtures[[#This Row],[Technology]]="LED", Table_TRM_Fixtures[[#This Row],[Fixture Watts  (TRM Data)]], Table_TRM_Fixtures[[#This Row],[Lamp Watts  (TRM Data)]])</f>
        <v>6</v>
      </c>
      <c r="M773">
        <f>Table_TRM_Fixtures[[#This Row],[No. of Lamps  (TRM Data)]]</f>
        <v>1</v>
      </c>
      <c r="N773" t="s">
        <v>186</v>
      </c>
      <c r="O773" t="s">
        <v>186</v>
      </c>
      <c r="R773" t="s">
        <v>2923</v>
      </c>
      <c r="S773" t="str">
        <f>Table_TRM_Fixtures[[#This Row],[Description  (TRM Data)]]</f>
        <v>EXIT Miniature Bi-pin Fluorescent, (1) 6W lamp, (1) ballast</v>
      </c>
      <c r="T773" t="str">
        <f>Table_TRM_Fixtures[[#This Row],[Fixture code  (TRM Data)]]</f>
        <v>EF6/1</v>
      </c>
      <c r="U773" t="s">
        <v>2882</v>
      </c>
      <c r="V773" t="s">
        <v>186</v>
      </c>
      <c r="W773" t="s">
        <v>3120</v>
      </c>
      <c r="X773" t="s">
        <v>186</v>
      </c>
      <c r="Y773" t="str">
        <f>_xlfn.CONCAT(Table_TRM_Fixtures[[#This Row],[Combined Lighting/Ballast Types]],":",Table_TRM_Fixtures[[#This Row],[No. of Lamps]], ":", Table_TRM_Fixtures[[#This Row],[Lamp Watts  (TRM Data)]])</f>
        <v>Fluorescent:1:6</v>
      </c>
      <c r="Z773"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Fluorescent:1:6</v>
      </c>
      <c r="AA773">
        <f>IF(Table_TRM_Fixtures[[#This Row],[Pre-EISA Baseline]]="Nominal", Table_TRM_Fixtures[[#This Row],[Fixture Watts  (TRM Data)]], Table_TRM_Fixtures[[#This Row],[Modified Baseline Fixture Watts]])</f>
        <v>9</v>
      </c>
    </row>
    <row r="774" spans="1:27" x14ac:dyDescent="0.2">
      <c r="A774" t="s">
        <v>1331</v>
      </c>
      <c r="B774" t="s">
        <v>5520</v>
      </c>
      <c r="C774" t="s">
        <v>1330</v>
      </c>
      <c r="D774" t="s">
        <v>5522</v>
      </c>
      <c r="E774" t="s">
        <v>1309</v>
      </c>
      <c r="F774">
        <v>2</v>
      </c>
      <c r="G774">
        <v>6</v>
      </c>
      <c r="H774">
        <v>18</v>
      </c>
      <c r="I774">
        <v>16</v>
      </c>
      <c r="J774" s="110">
        <v>772</v>
      </c>
      <c r="K774" t="s">
        <v>1308</v>
      </c>
      <c r="L774">
        <f>IF(Table_TRM_Fixtures[[#This Row],[Technology]]="LED", Table_TRM_Fixtures[[#This Row],[Fixture Watts  (TRM Data)]], Table_TRM_Fixtures[[#This Row],[Lamp Watts  (TRM Data)]])</f>
        <v>6</v>
      </c>
      <c r="M774">
        <f>Table_TRM_Fixtures[[#This Row],[No. of Lamps  (TRM Data)]]</f>
        <v>2</v>
      </c>
      <c r="N774" t="s">
        <v>186</v>
      </c>
      <c r="O774" t="s">
        <v>186</v>
      </c>
      <c r="R774" t="s">
        <v>2923</v>
      </c>
      <c r="S774" t="str">
        <f>Table_TRM_Fixtures[[#This Row],[Description  (TRM Data)]]</f>
        <v>EXIT Miniature Bi-pin Fluorescent, (2) 6W lamps, (2) ballasts</v>
      </c>
      <c r="T774" t="str">
        <f>Table_TRM_Fixtures[[#This Row],[Fixture code  (TRM Data)]]</f>
        <v>EF6/2</v>
      </c>
      <c r="U774" t="s">
        <v>2882</v>
      </c>
      <c r="V774" t="s">
        <v>186</v>
      </c>
      <c r="W774" t="s">
        <v>3120</v>
      </c>
      <c r="X774" t="s">
        <v>186</v>
      </c>
      <c r="Y774" t="str">
        <f>_xlfn.CONCAT(Table_TRM_Fixtures[[#This Row],[Combined Lighting/Ballast Types]],":",Table_TRM_Fixtures[[#This Row],[No. of Lamps]], ":", Table_TRM_Fixtures[[#This Row],[Lamp Watts  (TRM Data)]])</f>
        <v>Fluorescent:2:6</v>
      </c>
      <c r="Z774"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Fluorescent:2:6</v>
      </c>
      <c r="AA774">
        <f>IF(Table_TRM_Fixtures[[#This Row],[Pre-EISA Baseline]]="Nominal", Table_TRM_Fixtures[[#This Row],[Fixture Watts  (TRM Data)]], Table_TRM_Fixtures[[#This Row],[Modified Baseline Fixture Watts]])</f>
        <v>18</v>
      </c>
    </row>
    <row r="775" spans="1:27" x14ac:dyDescent="0.2">
      <c r="A775" t="s">
        <v>1333</v>
      </c>
      <c r="B775" t="s">
        <v>5523</v>
      </c>
      <c r="C775" t="s">
        <v>1332</v>
      </c>
      <c r="D775" t="s">
        <v>5524</v>
      </c>
      <c r="E775" t="s">
        <v>1309</v>
      </c>
      <c r="F775">
        <v>1</v>
      </c>
      <c r="G775">
        <v>8</v>
      </c>
      <c r="H775">
        <v>12</v>
      </c>
      <c r="I775">
        <v>16</v>
      </c>
      <c r="J775" s="110">
        <v>773</v>
      </c>
      <c r="K775" t="s">
        <v>1308</v>
      </c>
      <c r="L775">
        <f>IF(Table_TRM_Fixtures[[#This Row],[Technology]]="LED", Table_TRM_Fixtures[[#This Row],[Fixture Watts  (TRM Data)]], Table_TRM_Fixtures[[#This Row],[Lamp Watts  (TRM Data)]])</f>
        <v>8</v>
      </c>
      <c r="M775">
        <f>Table_TRM_Fixtures[[#This Row],[No. of Lamps  (TRM Data)]]</f>
        <v>1</v>
      </c>
      <c r="N775" t="s">
        <v>186</v>
      </c>
      <c r="O775" t="s">
        <v>186</v>
      </c>
      <c r="R775" t="s">
        <v>2923</v>
      </c>
      <c r="S775" t="str">
        <f>Table_TRM_Fixtures[[#This Row],[Description  (TRM Data)]]</f>
        <v>EXIT T5 Fluorescent, (1) 8W lamp</v>
      </c>
      <c r="T775" t="str">
        <f>Table_TRM_Fixtures[[#This Row],[Fixture code  (TRM Data)]]</f>
        <v>EF8/1</v>
      </c>
      <c r="U775" t="s">
        <v>2882</v>
      </c>
      <c r="V775" t="s">
        <v>186</v>
      </c>
      <c r="W775" t="s">
        <v>3120</v>
      </c>
      <c r="X775" t="s">
        <v>186</v>
      </c>
      <c r="Y775" t="str">
        <f>_xlfn.CONCAT(Table_TRM_Fixtures[[#This Row],[Combined Lighting/Ballast Types]],":",Table_TRM_Fixtures[[#This Row],[No. of Lamps]], ":", Table_TRM_Fixtures[[#This Row],[Lamp Watts  (TRM Data)]])</f>
        <v>Fluorescent:1:8</v>
      </c>
      <c r="Z775"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Fluorescent:1:8</v>
      </c>
      <c r="AA775">
        <f>IF(Table_TRM_Fixtures[[#This Row],[Pre-EISA Baseline]]="Nominal", Table_TRM_Fixtures[[#This Row],[Fixture Watts  (TRM Data)]], Table_TRM_Fixtures[[#This Row],[Modified Baseline Fixture Watts]])</f>
        <v>12</v>
      </c>
    </row>
    <row r="776" spans="1:27" x14ac:dyDescent="0.2">
      <c r="A776" t="s">
        <v>1335</v>
      </c>
      <c r="B776" t="s">
        <v>5523</v>
      </c>
      <c r="C776" t="s">
        <v>1334</v>
      </c>
      <c r="D776" t="s">
        <v>5525</v>
      </c>
      <c r="E776" t="s">
        <v>1309</v>
      </c>
      <c r="F776">
        <v>2</v>
      </c>
      <c r="G776">
        <v>8</v>
      </c>
      <c r="H776">
        <v>24</v>
      </c>
      <c r="I776">
        <v>16</v>
      </c>
      <c r="J776" s="110">
        <v>774</v>
      </c>
      <c r="K776" t="s">
        <v>1308</v>
      </c>
      <c r="L776">
        <f>IF(Table_TRM_Fixtures[[#This Row],[Technology]]="LED", Table_TRM_Fixtures[[#This Row],[Fixture Watts  (TRM Data)]], Table_TRM_Fixtures[[#This Row],[Lamp Watts  (TRM Data)]])</f>
        <v>8</v>
      </c>
      <c r="M776">
        <f>Table_TRM_Fixtures[[#This Row],[No. of Lamps  (TRM Data)]]</f>
        <v>2</v>
      </c>
      <c r="N776" t="s">
        <v>186</v>
      </c>
      <c r="O776" t="s">
        <v>186</v>
      </c>
      <c r="R776" t="s">
        <v>2923</v>
      </c>
      <c r="S776" t="str">
        <f>Table_TRM_Fixtures[[#This Row],[Description  (TRM Data)]]</f>
        <v>EXIT T5 Fluorescent, (2) 8W lamps</v>
      </c>
      <c r="T776" t="str">
        <f>Table_TRM_Fixtures[[#This Row],[Fixture code  (TRM Data)]]</f>
        <v>EF8/2</v>
      </c>
      <c r="U776" t="s">
        <v>2882</v>
      </c>
      <c r="V776" t="s">
        <v>186</v>
      </c>
      <c r="W776" t="s">
        <v>3120</v>
      </c>
      <c r="X776" t="s">
        <v>186</v>
      </c>
      <c r="Y776" t="str">
        <f>_xlfn.CONCAT(Table_TRM_Fixtures[[#This Row],[Combined Lighting/Ballast Types]],":",Table_TRM_Fixtures[[#This Row],[No. of Lamps]], ":", Table_TRM_Fixtures[[#This Row],[Lamp Watts  (TRM Data)]])</f>
        <v>Fluorescent:2:8</v>
      </c>
      <c r="Z776"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Fluorescent:2:8</v>
      </c>
      <c r="AA776">
        <f>IF(Table_TRM_Fixtures[[#This Row],[Pre-EISA Baseline]]="Nominal", Table_TRM_Fixtures[[#This Row],[Fixture Watts  (TRM Data)]], Table_TRM_Fixtures[[#This Row],[Modified Baseline Fixture Watts]])</f>
        <v>24</v>
      </c>
    </row>
    <row r="777" spans="1:27" x14ac:dyDescent="0.2">
      <c r="A777" t="s">
        <v>1337</v>
      </c>
      <c r="B777" t="s">
        <v>5526</v>
      </c>
      <c r="C777" t="s">
        <v>1336</v>
      </c>
      <c r="D777" t="s">
        <v>5527</v>
      </c>
      <c r="F777">
        <v>1</v>
      </c>
      <c r="G777">
        <v>5</v>
      </c>
      <c r="H777">
        <v>5</v>
      </c>
      <c r="I777">
        <v>1.5</v>
      </c>
      <c r="J777" s="110">
        <v>775</v>
      </c>
      <c r="K777" t="s">
        <v>1308</v>
      </c>
      <c r="L777">
        <f>IF(Table_TRM_Fixtures[[#This Row],[Technology]]="LED", Table_TRM_Fixtures[[#This Row],[Fixture Watts  (TRM Data)]], Table_TRM_Fixtures[[#This Row],[Lamp Watts  (TRM Data)]])</f>
        <v>5</v>
      </c>
      <c r="M777">
        <f>Table_TRM_Fixtures[[#This Row],[No. of Lamps  (TRM Data)]]</f>
        <v>1</v>
      </c>
      <c r="N777" t="s">
        <v>186</v>
      </c>
      <c r="O777" t="s">
        <v>186</v>
      </c>
      <c r="R777" t="s">
        <v>2946</v>
      </c>
      <c r="S777" t="str">
        <f>Table_TRM_Fixtures[[#This Row],[Description  (TRM Data)]]</f>
        <v>EXIT Incandescent, (1) 5W lamp</v>
      </c>
      <c r="T777" t="str">
        <f>Table_TRM_Fixtures[[#This Row],[Fixture code  (TRM Data)]]</f>
        <v>EI5/1</v>
      </c>
      <c r="U777" t="s">
        <v>2882</v>
      </c>
      <c r="V777" t="s">
        <v>186</v>
      </c>
      <c r="W777" t="s">
        <v>3120</v>
      </c>
      <c r="X777" t="s">
        <v>186</v>
      </c>
      <c r="Y777" t="str">
        <f>_xlfn.CONCAT(Table_TRM_Fixtures[[#This Row],[Combined Lighting/Ballast Types]],":",Table_TRM_Fixtures[[#This Row],[No. of Lamps]], ":", Table_TRM_Fixtures[[#This Row],[Lamp Watts  (TRM Data)]])</f>
        <v>Halogen/Incandescent:1:5</v>
      </c>
      <c r="Z777"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Halogen/Incandescent:1:5</v>
      </c>
      <c r="AA777">
        <f>IF(Table_TRM_Fixtures[[#This Row],[Pre-EISA Baseline]]="Nominal", Table_TRM_Fixtures[[#This Row],[Fixture Watts  (TRM Data)]], Table_TRM_Fixtures[[#This Row],[Modified Baseline Fixture Watts]])</f>
        <v>5</v>
      </c>
    </row>
    <row r="778" spans="1:27" x14ac:dyDescent="0.2">
      <c r="A778" t="s">
        <v>1339</v>
      </c>
      <c r="B778" t="s">
        <v>5526</v>
      </c>
      <c r="C778" t="s">
        <v>1338</v>
      </c>
      <c r="D778" t="s">
        <v>5528</v>
      </c>
      <c r="F778">
        <v>2</v>
      </c>
      <c r="G778">
        <v>5</v>
      </c>
      <c r="H778">
        <v>10</v>
      </c>
      <c r="I778">
        <v>1.5</v>
      </c>
      <c r="J778" s="110">
        <v>776</v>
      </c>
      <c r="K778" t="s">
        <v>1308</v>
      </c>
      <c r="L778">
        <f>IF(Table_TRM_Fixtures[[#This Row],[Technology]]="LED", Table_TRM_Fixtures[[#This Row],[Fixture Watts  (TRM Data)]], Table_TRM_Fixtures[[#This Row],[Lamp Watts  (TRM Data)]])</f>
        <v>5</v>
      </c>
      <c r="M778">
        <f>Table_TRM_Fixtures[[#This Row],[No. of Lamps  (TRM Data)]]</f>
        <v>2</v>
      </c>
      <c r="N778" t="s">
        <v>186</v>
      </c>
      <c r="O778" t="s">
        <v>186</v>
      </c>
      <c r="R778" t="s">
        <v>2946</v>
      </c>
      <c r="S778" t="str">
        <f>Table_TRM_Fixtures[[#This Row],[Description  (TRM Data)]]</f>
        <v>EXIT Incandescent, (2) 5W lamps</v>
      </c>
      <c r="T778" t="str">
        <f>Table_TRM_Fixtures[[#This Row],[Fixture code  (TRM Data)]]</f>
        <v>EI5/2</v>
      </c>
      <c r="U778" t="s">
        <v>2882</v>
      </c>
      <c r="V778" t="s">
        <v>186</v>
      </c>
      <c r="W778" t="s">
        <v>3120</v>
      </c>
      <c r="X778" t="s">
        <v>186</v>
      </c>
      <c r="Y778" t="str">
        <f>_xlfn.CONCAT(Table_TRM_Fixtures[[#This Row],[Combined Lighting/Ballast Types]],":",Table_TRM_Fixtures[[#This Row],[No. of Lamps]], ":", Table_TRM_Fixtures[[#This Row],[Lamp Watts  (TRM Data)]])</f>
        <v>Halogen/Incandescent:2:5</v>
      </c>
      <c r="Z778"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Halogen/Incandescent:2:5</v>
      </c>
      <c r="AA778">
        <f>IF(Table_TRM_Fixtures[[#This Row],[Pre-EISA Baseline]]="Nominal", Table_TRM_Fixtures[[#This Row],[Fixture Watts  (TRM Data)]], Table_TRM_Fixtures[[#This Row],[Modified Baseline Fixture Watts]])</f>
        <v>10</v>
      </c>
    </row>
    <row r="779" spans="1:27" x14ac:dyDescent="0.2">
      <c r="A779" t="s">
        <v>1341</v>
      </c>
      <c r="B779" t="s">
        <v>5529</v>
      </c>
      <c r="C779" t="s">
        <v>1340</v>
      </c>
      <c r="D779" t="s">
        <v>5530</v>
      </c>
      <c r="F779">
        <v>1</v>
      </c>
      <c r="G779">
        <v>7.5</v>
      </c>
      <c r="H779">
        <v>8</v>
      </c>
      <c r="I779">
        <v>1.5</v>
      </c>
      <c r="J779" s="110">
        <v>777</v>
      </c>
      <c r="K779" t="s">
        <v>1308</v>
      </c>
      <c r="L779">
        <f>IF(Table_TRM_Fixtures[[#This Row],[Technology]]="LED", Table_TRM_Fixtures[[#This Row],[Fixture Watts  (TRM Data)]], Table_TRM_Fixtures[[#This Row],[Lamp Watts  (TRM Data)]])</f>
        <v>7.5</v>
      </c>
      <c r="M779">
        <f>Table_TRM_Fixtures[[#This Row],[No. of Lamps  (TRM Data)]]</f>
        <v>1</v>
      </c>
      <c r="N779" t="s">
        <v>186</v>
      </c>
      <c r="O779" t="s">
        <v>186</v>
      </c>
      <c r="R779" t="s">
        <v>2965</v>
      </c>
      <c r="S779" t="str">
        <f>Table_TRM_Fixtures[[#This Row],[Description  (TRM Data)]]</f>
        <v>EXIT Tungsten, (1) 7.5 W lamp</v>
      </c>
      <c r="T779" t="str">
        <f>Table_TRM_Fixtures[[#This Row],[Fixture code  (TRM Data)]]</f>
        <v>EI7.5/1</v>
      </c>
      <c r="U779" t="s">
        <v>2882</v>
      </c>
      <c r="V779" t="s">
        <v>186</v>
      </c>
      <c r="W779" t="s">
        <v>3120</v>
      </c>
      <c r="X779" t="s">
        <v>186</v>
      </c>
      <c r="Y779" t="str">
        <f>_xlfn.CONCAT(Table_TRM_Fixtures[[#This Row],[Combined Lighting/Ballast Types]],":",Table_TRM_Fixtures[[#This Row],[No. of Lamps]], ":", Table_TRM_Fixtures[[#This Row],[Lamp Watts  (TRM Data)]])</f>
        <v>Tungsten:1:7.5</v>
      </c>
      <c r="Z779"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Tungsten:1:7.5</v>
      </c>
      <c r="AA779">
        <f>IF(Table_TRM_Fixtures[[#This Row],[Pre-EISA Baseline]]="Nominal", Table_TRM_Fixtures[[#This Row],[Fixture Watts  (TRM Data)]], Table_TRM_Fixtures[[#This Row],[Modified Baseline Fixture Watts]])</f>
        <v>8</v>
      </c>
    </row>
    <row r="780" spans="1:27" x14ac:dyDescent="0.2">
      <c r="A780" t="s">
        <v>1343</v>
      </c>
      <c r="B780" t="s">
        <v>5529</v>
      </c>
      <c r="C780" t="s">
        <v>1342</v>
      </c>
      <c r="D780" t="s">
        <v>5531</v>
      </c>
      <c r="F780">
        <v>2</v>
      </c>
      <c r="G780">
        <v>7.5</v>
      </c>
      <c r="H780">
        <v>15</v>
      </c>
      <c r="I780">
        <v>1.5</v>
      </c>
      <c r="J780" s="110">
        <v>778</v>
      </c>
      <c r="K780" t="s">
        <v>1308</v>
      </c>
      <c r="L780">
        <f>IF(Table_TRM_Fixtures[[#This Row],[Technology]]="LED", Table_TRM_Fixtures[[#This Row],[Fixture Watts  (TRM Data)]], Table_TRM_Fixtures[[#This Row],[Lamp Watts  (TRM Data)]])</f>
        <v>7.5</v>
      </c>
      <c r="M780">
        <f>Table_TRM_Fixtures[[#This Row],[No. of Lamps  (TRM Data)]]</f>
        <v>2</v>
      </c>
      <c r="N780" t="s">
        <v>186</v>
      </c>
      <c r="O780" t="s">
        <v>186</v>
      </c>
      <c r="R780" t="s">
        <v>2965</v>
      </c>
      <c r="S780" t="str">
        <f>Table_TRM_Fixtures[[#This Row],[Description  (TRM Data)]]</f>
        <v>EXIT Tungsten, (2) 7.5 W lamps</v>
      </c>
      <c r="T780" t="str">
        <f>Table_TRM_Fixtures[[#This Row],[Fixture code  (TRM Data)]]</f>
        <v>EI7.5/2</v>
      </c>
      <c r="U780" t="s">
        <v>2882</v>
      </c>
      <c r="V780" t="s">
        <v>186</v>
      </c>
      <c r="W780" t="s">
        <v>3120</v>
      </c>
      <c r="X780" t="s">
        <v>186</v>
      </c>
      <c r="Y780" t="str">
        <f>_xlfn.CONCAT(Table_TRM_Fixtures[[#This Row],[Combined Lighting/Ballast Types]],":",Table_TRM_Fixtures[[#This Row],[No. of Lamps]], ":", Table_TRM_Fixtures[[#This Row],[Lamp Watts  (TRM Data)]])</f>
        <v>Tungsten:2:7.5</v>
      </c>
      <c r="Z780"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Tungsten:2:7.5</v>
      </c>
      <c r="AA780">
        <f>IF(Table_TRM_Fixtures[[#This Row],[Pre-EISA Baseline]]="Nominal", Table_TRM_Fixtures[[#This Row],[Fixture Watts  (TRM Data)]], Table_TRM_Fixtures[[#This Row],[Modified Baseline Fixture Watts]])</f>
        <v>15</v>
      </c>
    </row>
    <row r="781" spans="1:27" x14ac:dyDescent="0.2">
      <c r="A781" t="s">
        <v>1345</v>
      </c>
      <c r="B781" t="s">
        <v>5532</v>
      </c>
      <c r="C781" t="s">
        <v>1344</v>
      </c>
      <c r="D781" t="s">
        <v>5533</v>
      </c>
      <c r="F781">
        <v>2</v>
      </c>
      <c r="G781">
        <v>10</v>
      </c>
      <c r="H781">
        <v>20</v>
      </c>
      <c r="I781">
        <v>1.5</v>
      </c>
      <c r="J781" s="110">
        <v>779</v>
      </c>
      <c r="K781" t="s">
        <v>1308</v>
      </c>
      <c r="L781">
        <f>IF(Table_TRM_Fixtures[[#This Row],[Technology]]="LED", Table_TRM_Fixtures[[#This Row],[Fixture Watts  (TRM Data)]], Table_TRM_Fixtures[[#This Row],[Lamp Watts  (TRM Data)]])</f>
        <v>10</v>
      </c>
      <c r="M781">
        <f>Table_TRM_Fixtures[[#This Row],[No. of Lamps  (TRM Data)]]</f>
        <v>2</v>
      </c>
      <c r="N781" t="s">
        <v>186</v>
      </c>
      <c r="O781" t="s">
        <v>186</v>
      </c>
      <c r="R781" t="s">
        <v>2946</v>
      </c>
      <c r="S781" t="str">
        <f>Table_TRM_Fixtures[[#This Row],[Description  (TRM Data)]]</f>
        <v>EXIT Incandescent, (2) 10W lamps</v>
      </c>
      <c r="T781" t="str">
        <f>Table_TRM_Fixtures[[#This Row],[Fixture code  (TRM Data)]]</f>
        <v>EI10/2</v>
      </c>
      <c r="U781" t="s">
        <v>2882</v>
      </c>
      <c r="V781" t="s">
        <v>186</v>
      </c>
      <c r="W781" t="s">
        <v>3120</v>
      </c>
      <c r="X781" t="s">
        <v>186</v>
      </c>
      <c r="Y781" t="str">
        <f>_xlfn.CONCAT(Table_TRM_Fixtures[[#This Row],[Combined Lighting/Ballast Types]],":",Table_TRM_Fixtures[[#This Row],[No. of Lamps]], ":", Table_TRM_Fixtures[[#This Row],[Lamp Watts  (TRM Data)]])</f>
        <v>Halogen/Incandescent:2:10</v>
      </c>
      <c r="Z781"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Halogen/Incandescent:2:10</v>
      </c>
      <c r="AA781">
        <f>IF(Table_TRM_Fixtures[[#This Row],[Pre-EISA Baseline]]="Nominal", Table_TRM_Fixtures[[#This Row],[Fixture Watts  (TRM Data)]], Table_TRM_Fixtures[[#This Row],[Modified Baseline Fixture Watts]])</f>
        <v>20</v>
      </c>
    </row>
    <row r="782" spans="1:27" x14ac:dyDescent="0.2">
      <c r="A782" t="s">
        <v>1347</v>
      </c>
      <c r="B782" t="s">
        <v>5534</v>
      </c>
      <c r="C782" t="s">
        <v>1346</v>
      </c>
      <c r="D782" t="s">
        <v>5535</v>
      </c>
      <c r="F782">
        <v>1</v>
      </c>
      <c r="G782">
        <v>15</v>
      </c>
      <c r="H782">
        <v>15</v>
      </c>
      <c r="I782">
        <v>1.5</v>
      </c>
      <c r="J782" s="110">
        <v>780</v>
      </c>
      <c r="K782" t="s">
        <v>1308</v>
      </c>
      <c r="L782">
        <f>IF(Table_TRM_Fixtures[[#This Row],[Technology]]="LED", Table_TRM_Fixtures[[#This Row],[Fixture Watts  (TRM Data)]], Table_TRM_Fixtures[[#This Row],[Lamp Watts  (TRM Data)]])</f>
        <v>15</v>
      </c>
      <c r="M782">
        <f>Table_TRM_Fixtures[[#This Row],[No. of Lamps  (TRM Data)]]</f>
        <v>1</v>
      </c>
      <c r="N782" t="s">
        <v>186</v>
      </c>
      <c r="O782" t="s">
        <v>186</v>
      </c>
      <c r="R782" t="s">
        <v>2946</v>
      </c>
      <c r="S782" t="str">
        <f>Table_TRM_Fixtures[[#This Row],[Description  (TRM Data)]]</f>
        <v>EXIT Incandescent, (1) 15W lamp</v>
      </c>
      <c r="T782" t="str">
        <f>Table_TRM_Fixtures[[#This Row],[Fixture code  (TRM Data)]]</f>
        <v>EI15/1</v>
      </c>
      <c r="U782" t="s">
        <v>2882</v>
      </c>
      <c r="V782" t="s">
        <v>186</v>
      </c>
      <c r="W782" t="s">
        <v>3120</v>
      </c>
      <c r="X782" t="s">
        <v>186</v>
      </c>
      <c r="Y782" t="str">
        <f>_xlfn.CONCAT(Table_TRM_Fixtures[[#This Row],[Combined Lighting/Ballast Types]],":",Table_TRM_Fixtures[[#This Row],[No. of Lamps]], ":", Table_TRM_Fixtures[[#This Row],[Lamp Watts  (TRM Data)]])</f>
        <v>Halogen/Incandescent:1:15</v>
      </c>
      <c r="Z782"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Halogen/Incandescent:1:15</v>
      </c>
      <c r="AA782">
        <f>IF(Table_TRM_Fixtures[[#This Row],[Pre-EISA Baseline]]="Nominal", Table_TRM_Fixtures[[#This Row],[Fixture Watts  (TRM Data)]], Table_TRM_Fixtures[[#This Row],[Modified Baseline Fixture Watts]])</f>
        <v>15</v>
      </c>
    </row>
    <row r="783" spans="1:27" x14ac:dyDescent="0.2">
      <c r="A783" t="s">
        <v>1349</v>
      </c>
      <c r="B783" t="s">
        <v>5534</v>
      </c>
      <c r="C783" t="s">
        <v>1348</v>
      </c>
      <c r="D783" t="s">
        <v>5536</v>
      </c>
      <c r="F783">
        <v>2</v>
      </c>
      <c r="G783">
        <v>15</v>
      </c>
      <c r="H783">
        <v>30</v>
      </c>
      <c r="I783">
        <v>1.5</v>
      </c>
      <c r="J783" s="110">
        <v>781</v>
      </c>
      <c r="K783" t="s">
        <v>1308</v>
      </c>
      <c r="L783">
        <f>IF(Table_TRM_Fixtures[[#This Row],[Technology]]="LED", Table_TRM_Fixtures[[#This Row],[Fixture Watts  (TRM Data)]], Table_TRM_Fixtures[[#This Row],[Lamp Watts  (TRM Data)]])</f>
        <v>15</v>
      </c>
      <c r="M783">
        <f>Table_TRM_Fixtures[[#This Row],[No. of Lamps  (TRM Data)]]</f>
        <v>2</v>
      </c>
      <c r="N783" t="s">
        <v>186</v>
      </c>
      <c r="O783" t="s">
        <v>186</v>
      </c>
      <c r="R783" t="s">
        <v>2946</v>
      </c>
      <c r="S783" t="str">
        <f>Table_TRM_Fixtures[[#This Row],[Description  (TRM Data)]]</f>
        <v>EXIT Incandescent, (2) 15W lamps</v>
      </c>
      <c r="T783" t="str">
        <f>Table_TRM_Fixtures[[#This Row],[Fixture code  (TRM Data)]]</f>
        <v>EI15/2</v>
      </c>
      <c r="U783" t="s">
        <v>2882</v>
      </c>
      <c r="V783" t="s">
        <v>186</v>
      </c>
      <c r="W783" t="s">
        <v>3120</v>
      </c>
      <c r="X783" t="s">
        <v>186</v>
      </c>
      <c r="Y783" t="str">
        <f>_xlfn.CONCAT(Table_TRM_Fixtures[[#This Row],[Combined Lighting/Ballast Types]],":",Table_TRM_Fixtures[[#This Row],[No. of Lamps]], ":", Table_TRM_Fixtures[[#This Row],[Lamp Watts  (TRM Data)]])</f>
        <v>Halogen/Incandescent:2:15</v>
      </c>
      <c r="Z783"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Halogen/Incandescent:2:15</v>
      </c>
      <c r="AA783">
        <f>IF(Table_TRM_Fixtures[[#This Row],[Pre-EISA Baseline]]="Nominal", Table_TRM_Fixtures[[#This Row],[Fixture Watts  (TRM Data)]], Table_TRM_Fixtures[[#This Row],[Modified Baseline Fixture Watts]])</f>
        <v>30</v>
      </c>
    </row>
    <row r="784" spans="1:27" x14ac:dyDescent="0.2">
      <c r="A784" t="s">
        <v>1351</v>
      </c>
      <c r="B784" t="s">
        <v>5537</v>
      </c>
      <c r="C784" t="s">
        <v>1350</v>
      </c>
      <c r="D784" t="s">
        <v>5538</v>
      </c>
      <c r="F784">
        <v>1</v>
      </c>
      <c r="G784">
        <v>20</v>
      </c>
      <c r="H784">
        <v>20</v>
      </c>
      <c r="I784">
        <v>1.5</v>
      </c>
      <c r="J784" s="110">
        <v>782</v>
      </c>
      <c r="K784" t="s">
        <v>1308</v>
      </c>
      <c r="L784">
        <f>IF(Table_TRM_Fixtures[[#This Row],[Technology]]="LED", Table_TRM_Fixtures[[#This Row],[Fixture Watts  (TRM Data)]], Table_TRM_Fixtures[[#This Row],[Lamp Watts  (TRM Data)]])</f>
        <v>20</v>
      </c>
      <c r="M784">
        <f>Table_TRM_Fixtures[[#This Row],[No. of Lamps  (TRM Data)]]</f>
        <v>1</v>
      </c>
      <c r="N784" t="s">
        <v>186</v>
      </c>
      <c r="O784" t="s">
        <v>186</v>
      </c>
      <c r="R784" t="s">
        <v>2946</v>
      </c>
      <c r="S784" t="str">
        <f>Table_TRM_Fixtures[[#This Row],[Description  (TRM Data)]]</f>
        <v>EXIT Incandescent, (1) 20W lamp</v>
      </c>
      <c r="T784" t="str">
        <f>Table_TRM_Fixtures[[#This Row],[Fixture code  (TRM Data)]]</f>
        <v>EI20/1</v>
      </c>
      <c r="U784" t="s">
        <v>2882</v>
      </c>
      <c r="V784" t="s">
        <v>186</v>
      </c>
      <c r="W784" t="s">
        <v>3120</v>
      </c>
      <c r="X784" t="s">
        <v>186</v>
      </c>
      <c r="Y784" t="s">
        <v>4815</v>
      </c>
      <c r="Z784" t="s">
        <v>4815</v>
      </c>
      <c r="AA784">
        <f>IF(Table_TRM_Fixtures[[#This Row],[Pre-EISA Baseline]]="Nominal", Table_TRM_Fixtures[[#This Row],[Fixture Watts  (TRM Data)]], Table_TRM_Fixtures[[#This Row],[Modified Baseline Fixture Watts]])</f>
        <v>20</v>
      </c>
    </row>
    <row r="785" spans="1:27" x14ac:dyDescent="0.2">
      <c r="A785" t="s">
        <v>1353</v>
      </c>
      <c r="B785" t="s">
        <v>5537</v>
      </c>
      <c r="C785" t="s">
        <v>1352</v>
      </c>
      <c r="D785" t="s">
        <v>5539</v>
      </c>
      <c r="F785">
        <v>2</v>
      </c>
      <c r="G785">
        <v>20</v>
      </c>
      <c r="H785">
        <v>40</v>
      </c>
      <c r="I785">
        <v>1.5</v>
      </c>
      <c r="J785" s="110">
        <v>783</v>
      </c>
      <c r="K785" t="s">
        <v>1308</v>
      </c>
      <c r="L785">
        <f>IF(Table_TRM_Fixtures[[#This Row],[Technology]]="LED", Table_TRM_Fixtures[[#This Row],[Fixture Watts  (TRM Data)]], Table_TRM_Fixtures[[#This Row],[Lamp Watts  (TRM Data)]])</f>
        <v>20</v>
      </c>
      <c r="M785">
        <f>Table_TRM_Fixtures[[#This Row],[No. of Lamps  (TRM Data)]]</f>
        <v>2</v>
      </c>
      <c r="N785" t="s">
        <v>186</v>
      </c>
      <c r="O785" t="s">
        <v>186</v>
      </c>
      <c r="R785" t="s">
        <v>2946</v>
      </c>
      <c r="S785" t="str">
        <f>Table_TRM_Fixtures[[#This Row],[Description  (TRM Data)]]</f>
        <v>EXIT Incandescent, (2) 20W lamps</v>
      </c>
      <c r="T785" t="str">
        <f>Table_TRM_Fixtures[[#This Row],[Fixture code  (TRM Data)]]</f>
        <v>EI20/2</v>
      </c>
      <c r="U785" t="s">
        <v>2882</v>
      </c>
      <c r="V785" t="s">
        <v>186</v>
      </c>
      <c r="W785" t="s">
        <v>3120</v>
      </c>
      <c r="X785" t="s">
        <v>186</v>
      </c>
      <c r="Y785" t="str">
        <f>_xlfn.CONCAT(Table_TRM_Fixtures[[#This Row],[Combined Lighting/Ballast Types]],":",Table_TRM_Fixtures[[#This Row],[No. of Lamps]], ":", Table_TRM_Fixtures[[#This Row],[Lamp Watts  (TRM Data)]])</f>
        <v>Halogen/Incandescent:2:20</v>
      </c>
      <c r="Z785"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Halogen/Incandescent:2:20</v>
      </c>
      <c r="AA785">
        <f>IF(Table_TRM_Fixtures[[#This Row],[Pre-EISA Baseline]]="Nominal", Table_TRM_Fixtures[[#This Row],[Fixture Watts  (TRM Data)]], Table_TRM_Fixtures[[#This Row],[Modified Baseline Fixture Watts]])</f>
        <v>40</v>
      </c>
    </row>
    <row r="786" spans="1:27" x14ac:dyDescent="0.2">
      <c r="A786" t="s">
        <v>1355</v>
      </c>
      <c r="B786" t="s">
        <v>5540</v>
      </c>
      <c r="C786" t="s">
        <v>1354</v>
      </c>
      <c r="D786" t="s">
        <v>5541</v>
      </c>
      <c r="F786">
        <v>1</v>
      </c>
      <c r="G786">
        <v>25</v>
      </c>
      <c r="H786">
        <v>25</v>
      </c>
      <c r="I786">
        <v>1.5</v>
      </c>
      <c r="J786" s="110">
        <v>784</v>
      </c>
      <c r="K786" t="s">
        <v>1308</v>
      </c>
      <c r="L786">
        <f>IF(Table_TRM_Fixtures[[#This Row],[Technology]]="LED", Table_TRM_Fixtures[[#This Row],[Fixture Watts  (TRM Data)]], Table_TRM_Fixtures[[#This Row],[Lamp Watts  (TRM Data)]])</f>
        <v>25</v>
      </c>
      <c r="M786">
        <f>Table_TRM_Fixtures[[#This Row],[No. of Lamps  (TRM Data)]]</f>
        <v>1</v>
      </c>
      <c r="N786" t="s">
        <v>186</v>
      </c>
      <c r="O786" t="s">
        <v>186</v>
      </c>
      <c r="R786" t="s">
        <v>2946</v>
      </c>
      <c r="S786" t="str">
        <f>Table_TRM_Fixtures[[#This Row],[Description  (TRM Data)]]</f>
        <v>EXIT Incandescent, (1) 25W lamp</v>
      </c>
      <c r="T786" t="str">
        <f>Table_TRM_Fixtures[[#This Row],[Fixture code  (TRM Data)]]</f>
        <v>EI25/1</v>
      </c>
      <c r="U786" t="s">
        <v>2882</v>
      </c>
      <c r="V786" t="s">
        <v>186</v>
      </c>
      <c r="W786" t="s">
        <v>3120</v>
      </c>
      <c r="X786" t="s">
        <v>186</v>
      </c>
      <c r="Y786" t="s">
        <v>4815</v>
      </c>
      <c r="Z786" t="s">
        <v>4815</v>
      </c>
      <c r="AA786">
        <f>IF(Table_TRM_Fixtures[[#This Row],[Pre-EISA Baseline]]="Nominal", Table_TRM_Fixtures[[#This Row],[Fixture Watts  (TRM Data)]], Table_TRM_Fixtures[[#This Row],[Modified Baseline Fixture Watts]])</f>
        <v>25</v>
      </c>
    </row>
    <row r="787" spans="1:27" x14ac:dyDescent="0.2">
      <c r="A787" t="s">
        <v>1357</v>
      </c>
      <c r="B787" t="s">
        <v>5540</v>
      </c>
      <c r="C787" t="s">
        <v>1356</v>
      </c>
      <c r="D787" t="s">
        <v>5542</v>
      </c>
      <c r="F787">
        <v>2</v>
      </c>
      <c r="G787">
        <v>25</v>
      </c>
      <c r="H787">
        <v>50</v>
      </c>
      <c r="I787">
        <v>1.5</v>
      </c>
      <c r="J787" s="110">
        <v>785</v>
      </c>
      <c r="K787" t="s">
        <v>1308</v>
      </c>
      <c r="L787">
        <f>IF(Table_TRM_Fixtures[[#This Row],[Technology]]="LED", Table_TRM_Fixtures[[#This Row],[Fixture Watts  (TRM Data)]], Table_TRM_Fixtures[[#This Row],[Lamp Watts  (TRM Data)]])</f>
        <v>25</v>
      </c>
      <c r="M787">
        <f>Table_TRM_Fixtures[[#This Row],[No. of Lamps  (TRM Data)]]</f>
        <v>2</v>
      </c>
      <c r="N787" t="s">
        <v>186</v>
      </c>
      <c r="O787" t="s">
        <v>186</v>
      </c>
      <c r="R787" t="s">
        <v>2946</v>
      </c>
      <c r="S787" t="str">
        <f>Table_TRM_Fixtures[[#This Row],[Description  (TRM Data)]]</f>
        <v>EXIT Incandescent, (2) 25W lamps</v>
      </c>
      <c r="T787" t="str">
        <f>Table_TRM_Fixtures[[#This Row],[Fixture code  (TRM Data)]]</f>
        <v>EI25/2</v>
      </c>
      <c r="U787" t="s">
        <v>2882</v>
      </c>
      <c r="V787" t="s">
        <v>186</v>
      </c>
      <c r="W787" t="s">
        <v>3120</v>
      </c>
      <c r="X787" t="s">
        <v>186</v>
      </c>
      <c r="Y787" t="str">
        <f>_xlfn.CONCAT(Table_TRM_Fixtures[[#This Row],[Combined Lighting/Ballast Types]],":",Table_TRM_Fixtures[[#This Row],[No. of Lamps]], ":", Table_TRM_Fixtures[[#This Row],[Lamp Watts  (TRM Data)]])</f>
        <v>Halogen/Incandescent:2:25</v>
      </c>
      <c r="Z787"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Halogen/Incandescent:2:25</v>
      </c>
      <c r="AA787">
        <f>IF(Table_TRM_Fixtures[[#This Row],[Pre-EISA Baseline]]="Nominal", Table_TRM_Fixtures[[#This Row],[Fixture Watts  (TRM Data)]], Table_TRM_Fixtures[[#This Row],[Modified Baseline Fixture Watts]])</f>
        <v>50</v>
      </c>
    </row>
    <row r="788" spans="1:27" x14ac:dyDescent="0.2">
      <c r="A788" t="s">
        <v>1359</v>
      </c>
      <c r="B788" t="s">
        <v>5543</v>
      </c>
      <c r="C788" t="s">
        <v>1358</v>
      </c>
      <c r="D788" t="s">
        <v>5544</v>
      </c>
      <c r="F788">
        <v>1</v>
      </c>
      <c r="G788">
        <v>34</v>
      </c>
      <c r="H788">
        <v>34</v>
      </c>
      <c r="I788">
        <v>1.5</v>
      </c>
      <c r="J788" s="110">
        <v>786</v>
      </c>
      <c r="K788" t="s">
        <v>1308</v>
      </c>
      <c r="L788">
        <f>IF(Table_TRM_Fixtures[[#This Row],[Technology]]="LED", Table_TRM_Fixtures[[#This Row],[Fixture Watts  (TRM Data)]], Table_TRM_Fixtures[[#This Row],[Lamp Watts  (TRM Data)]])</f>
        <v>34</v>
      </c>
      <c r="M788">
        <f>Table_TRM_Fixtures[[#This Row],[No. of Lamps  (TRM Data)]]</f>
        <v>1</v>
      </c>
      <c r="N788" t="s">
        <v>186</v>
      </c>
      <c r="O788" t="s">
        <v>186</v>
      </c>
      <c r="R788" t="s">
        <v>2946</v>
      </c>
      <c r="S788" t="str">
        <f>Table_TRM_Fixtures[[#This Row],[Description  (TRM Data)]]</f>
        <v>EXIT Incandescent, (1) 34W lamp</v>
      </c>
      <c r="T788" t="str">
        <f>Table_TRM_Fixtures[[#This Row],[Fixture code  (TRM Data)]]</f>
        <v>EI34/1</v>
      </c>
      <c r="U788" t="s">
        <v>2882</v>
      </c>
      <c r="V788" t="s">
        <v>186</v>
      </c>
      <c r="W788" t="s">
        <v>3120</v>
      </c>
      <c r="X788" t="s">
        <v>186</v>
      </c>
      <c r="Y788" t="s">
        <v>4815</v>
      </c>
      <c r="Z788" t="s">
        <v>4815</v>
      </c>
      <c r="AA788">
        <f>IF(Table_TRM_Fixtures[[#This Row],[Pre-EISA Baseline]]="Nominal", Table_TRM_Fixtures[[#This Row],[Fixture Watts  (TRM Data)]], Table_TRM_Fixtures[[#This Row],[Modified Baseline Fixture Watts]])</f>
        <v>34</v>
      </c>
    </row>
    <row r="789" spans="1:27" x14ac:dyDescent="0.2">
      <c r="A789" t="s">
        <v>1361</v>
      </c>
      <c r="B789" t="s">
        <v>5543</v>
      </c>
      <c r="C789" t="s">
        <v>1360</v>
      </c>
      <c r="D789" t="s">
        <v>5545</v>
      </c>
      <c r="F789">
        <v>2</v>
      </c>
      <c r="G789">
        <v>34</v>
      </c>
      <c r="H789">
        <v>68</v>
      </c>
      <c r="I789">
        <v>1.5</v>
      </c>
      <c r="J789" s="110">
        <v>787</v>
      </c>
      <c r="K789" t="s">
        <v>1308</v>
      </c>
      <c r="L789">
        <f>IF(Table_TRM_Fixtures[[#This Row],[Technology]]="LED", Table_TRM_Fixtures[[#This Row],[Fixture Watts  (TRM Data)]], Table_TRM_Fixtures[[#This Row],[Lamp Watts  (TRM Data)]])</f>
        <v>34</v>
      </c>
      <c r="M789">
        <f>Table_TRM_Fixtures[[#This Row],[No. of Lamps  (TRM Data)]]</f>
        <v>2</v>
      </c>
      <c r="N789" t="s">
        <v>186</v>
      </c>
      <c r="O789" t="s">
        <v>186</v>
      </c>
      <c r="R789" t="s">
        <v>2946</v>
      </c>
      <c r="S789" t="str">
        <f>Table_TRM_Fixtures[[#This Row],[Description  (TRM Data)]]</f>
        <v>EXIT Incandescent, (2) 34W lamps</v>
      </c>
      <c r="T789" t="str">
        <f>Table_TRM_Fixtures[[#This Row],[Fixture code  (TRM Data)]]</f>
        <v>EI34/2</v>
      </c>
      <c r="U789" t="s">
        <v>2882</v>
      </c>
      <c r="V789" t="s">
        <v>186</v>
      </c>
      <c r="W789" t="s">
        <v>3120</v>
      </c>
      <c r="X789" t="s">
        <v>186</v>
      </c>
      <c r="Y789" t="str">
        <f>_xlfn.CONCAT(Table_TRM_Fixtures[[#This Row],[Combined Lighting/Ballast Types]],":",Table_TRM_Fixtures[[#This Row],[No. of Lamps]], ":", Table_TRM_Fixtures[[#This Row],[Lamp Watts  (TRM Data)]])</f>
        <v>Halogen/Incandescent:2:34</v>
      </c>
      <c r="Z789"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Halogen/Incandescent:2:34</v>
      </c>
      <c r="AA789">
        <f>IF(Table_TRM_Fixtures[[#This Row],[Pre-EISA Baseline]]="Nominal", Table_TRM_Fixtures[[#This Row],[Fixture Watts  (TRM Data)]], Table_TRM_Fixtures[[#This Row],[Modified Baseline Fixture Watts]])</f>
        <v>68</v>
      </c>
    </row>
    <row r="790" spans="1:27" x14ac:dyDescent="0.2">
      <c r="A790" t="s">
        <v>1363</v>
      </c>
      <c r="B790" t="s">
        <v>5546</v>
      </c>
      <c r="C790" t="s">
        <v>1362</v>
      </c>
      <c r="D790" t="s">
        <v>5547</v>
      </c>
      <c r="F790">
        <v>1</v>
      </c>
      <c r="G790">
        <v>40</v>
      </c>
      <c r="H790">
        <v>40</v>
      </c>
      <c r="I790">
        <v>1.5</v>
      </c>
      <c r="J790" s="110">
        <v>788</v>
      </c>
      <c r="K790" t="s">
        <v>1308</v>
      </c>
      <c r="L790">
        <f>IF(Table_TRM_Fixtures[[#This Row],[Technology]]="LED", Table_TRM_Fixtures[[#This Row],[Fixture Watts  (TRM Data)]], Table_TRM_Fixtures[[#This Row],[Lamp Watts  (TRM Data)]])</f>
        <v>40</v>
      </c>
      <c r="M790">
        <f>Table_TRM_Fixtures[[#This Row],[No. of Lamps  (TRM Data)]]</f>
        <v>1</v>
      </c>
      <c r="N790" t="s">
        <v>186</v>
      </c>
      <c r="O790" t="s">
        <v>186</v>
      </c>
      <c r="R790" t="s">
        <v>2946</v>
      </c>
      <c r="S790" t="str">
        <f>Table_TRM_Fixtures[[#This Row],[Description  (TRM Data)]]</f>
        <v>EXIT Incandescent, (1) 40W lamp</v>
      </c>
      <c r="T790" t="str">
        <f>Table_TRM_Fixtures[[#This Row],[Fixture code  (TRM Data)]]</f>
        <v>EI40/1</v>
      </c>
      <c r="U790" t="s">
        <v>2882</v>
      </c>
      <c r="V790" t="s">
        <v>186</v>
      </c>
      <c r="W790" t="s">
        <v>3120</v>
      </c>
      <c r="X790" t="s">
        <v>186</v>
      </c>
      <c r="Y790" t="s">
        <v>4815</v>
      </c>
      <c r="Z790" t="s">
        <v>4815</v>
      </c>
      <c r="AA790">
        <f>IF(Table_TRM_Fixtures[[#This Row],[Pre-EISA Baseline]]="Nominal", Table_TRM_Fixtures[[#This Row],[Fixture Watts  (TRM Data)]], Table_TRM_Fixtures[[#This Row],[Modified Baseline Fixture Watts]])</f>
        <v>40</v>
      </c>
    </row>
    <row r="791" spans="1:27" x14ac:dyDescent="0.2">
      <c r="A791" t="s">
        <v>1365</v>
      </c>
      <c r="B791" t="s">
        <v>5546</v>
      </c>
      <c r="C791" t="s">
        <v>1364</v>
      </c>
      <c r="D791" t="s">
        <v>5548</v>
      </c>
      <c r="F791">
        <v>2</v>
      </c>
      <c r="G791">
        <v>40</v>
      </c>
      <c r="H791">
        <v>80</v>
      </c>
      <c r="I791">
        <v>1.5</v>
      </c>
      <c r="J791" s="110">
        <v>789</v>
      </c>
      <c r="K791" t="s">
        <v>1308</v>
      </c>
      <c r="L791">
        <f>IF(Table_TRM_Fixtures[[#This Row],[Technology]]="LED", Table_TRM_Fixtures[[#This Row],[Fixture Watts  (TRM Data)]], Table_TRM_Fixtures[[#This Row],[Lamp Watts  (TRM Data)]])</f>
        <v>40</v>
      </c>
      <c r="M791">
        <f>Table_TRM_Fixtures[[#This Row],[No. of Lamps  (TRM Data)]]</f>
        <v>2</v>
      </c>
      <c r="N791" t="s">
        <v>186</v>
      </c>
      <c r="O791" t="s">
        <v>186</v>
      </c>
      <c r="R791" t="s">
        <v>2946</v>
      </c>
      <c r="S791" t="str">
        <f>Table_TRM_Fixtures[[#This Row],[Description  (TRM Data)]]</f>
        <v>EXIT Incandescent, (2) 40W lamps</v>
      </c>
      <c r="T791" t="str">
        <f>Table_TRM_Fixtures[[#This Row],[Fixture code  (TRM Data)]]</f>
        <v>EI40/2</v>
      </c>
      <c r="U791" t="s">
        <v>2882</v>
      </c>
      <c r="V791" t="s">
        <v>186</v>
      </c>
      <c r="W791" t="s">
        <v>3120</v>
      </c>
      <c r="X791" t="s">
        <v>186</v>
      </c>
      <c r="Y791" t="str">
        <f>_xlfn.CONCAT(Table_TRM_Fixtures[[#This Row],[Combined Lighting/Ballast Types]],":",Table_TRM_Fixtures[[#This Row],[No. of Lamps]], ":", Table_TRM_Fixtures[[#This Row],[Lamp Watts  (TRM Data)]])</f>
        <v>Halogen/Incandescent:2:40</v>
      </c>
      <c r="Z791"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Halogen/Incandescent:2:40</v>
      </c>
      <c r="AA791">
        <f>IF(Table_TRM_Fixtures[[#This Row],[Pre-EISA Baseline]]="Nominal", Table_TRM_Fixtures[[#This Row],[Fixture Watts  (TRM Data)]], Table_TRM_Fixtures[[#This Row],[Modified Baseline Fixture Watts]])</f>
        <v>80</v>
      </c>
    </row>
    <row r="792" spans="1:27" x14ac:dyDescent="0.2">
      <c r="A792" t="s">
        <v>1367</v>
      </c>
      <c r="B792" t="s">
        <v>5549</v>
      </c>
      <c r="C792" t="s">
        <v>1366</v>
      </c>
      <c r="D792" t="s">
        <v>5550</v>
      </c>
      <c r="F792">
        <v>2</v>
      </c>
      <c r="G792">
        <v>50</v>
      </c>
      <c r="H792">
        <v>100</v>
      </c>
      <c r="I792">
        <v>1.5</v>
      </c>
      <c r="J792" s="110">
        <v>790</v>
      </c>
      <c r="K792" t="s">
        <v>1308</v>
      </c>
      <c r="L792">
        <f>IF(Table_TRM_Fixtures[[#This Row],[Technology]]="LED", Table_TRM_Fixtures[[#This Row],[Fixture Watts  (TRM Data)]], Table_TRM_Fixtures[[#This Row],[Lamp Watts  (TRM Data)]])</f>
        <v>50</v>
      </c>
      <c r="M792">
        <f>Table_TRM_Fixtures[[#This Row],[No. of Lamps  (TRM Data)]]</f>
        <v>2</v>
      </c>
      <c r="N792" t="s">
        <v>186</v>
      </c>
      <c r="O792" t="s">
        <v>186</v>
      </c>
      <c r="R792" t="s">
        <v>2946</v>
      </c>
      <c r="S792" t="str">
        <f>Table_TRM_Fixtures[[#This Row],[Description  (TRM Data)]]</f>
        <v>EXIT Incandescent, (2) 50W lamps</v>
      </c>
      <c r="T792" t="str">
        <f>Table_TRM_Fixtures[[#This Row],[Fixture code  (TRM Data)]]</f>
        <v>EI50/2</v>
      </c>
      <c r="U792" t="s">
        <v>2882</v>
      </c>
      <c r="V792" t="s">
        <v>186</v>
      </c>
      <c r="W792" t="s">
        <v>3120</v>
      </c>
      <c r="X792" t="s">
        <v>186</v>
      </c>
      <c r="Y792" t="str">
        <f>_xlfn.CONCAT(Table_TRM_Fixtures[[#This Row],[Combined Lighting/Ballast Types]],":",Table_TRM_Fixtures[[#This Row],[No. of Lamps]], ":", Table_TRM_Fixtures[[#This Row],[Lamp Watts  (TRM Data)]])</f>
        <v>Halogen/Incandescent:2:50</v>
      </c>
      <c r="Z792"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Halogen/Incandescent:2:50</v>
      </c>
      <c r="AA792">
        <f>IF(Table_TRM_Fixtures[[#This Row],[Pre-EISA Baseline]]="Nominal", Table_TRM_Fixtures[[#This Row],[Fixture Watts  (TRM Data)]], Table_TRM_Fixtures[[#This Row],[Modified Baseline Fixture Watts]])</f>
        <v>100</v>
      </c>
    </row>
    <row r="793" spans="1:27" x14ac:dyDescent="0.2">
      <c r="A793" t="s">
        <v>1369</v>
      </c>
      <c r="B793" t="s">
        <v>5551</v>
      </c>
      <c r="C793" t="s">
        <v>1368</v>
      </c>
      <c r="D793" t="s">
        <v>5552</v>
      </c>
      <c r="F793">
        <v>1</v>
      </c>
      <c r="G793">
        <v>6</v>
      </c>
      <c r="H793">
        <v>6</v>
      </c>
      <c r="I793">
        <v>1.5</v>
      </c>
      <c r="J793" s="110">
        <v>791</v>
      </c>
      <c r="K793" t="s">
        <v>1308</v>
      </c>
      <c r="L793">
        <f>IF(Table_TRM_Fixtures[[#This Row],[Technology]]="LED", Table_TRM_Fixtures[[#This Row],[Fixture Watts  (TRM Data)]], Table_TRM_Fixtures[[#This Row],[Lamp Watts  (TRM Data)]])</f>
        <v>6</v>
      </c>
      <c r="M793">
        <f>Table_TRM_Fixtures[[#This Row],[No. of Lamps  (TRM Data)]]</f>
        <v>1</v>
      </c>
      <c r="N793" t="s">
        <v>186</v>
      </c>
      <c r="O793" t="s">
        <v>186</v>
      </c>
      <c r="R793" t="s">
        <v>2946</v>
      </c>
      <c r="S793" t="str">
        <f>Table_TRM_Fixtures[[#This Row],[Description  (TRM Data)]]</f>
        <v>EXIT Incandescent, (1) 6 W lamp</v>
      </c>
      <c r="T793" t="str">
        <f>Table_TRM_Fixtures[[#This Row],[Fixture code  (TRM Data)]]</f>
        <v>EI6/1</v>
      </c>
      <c r="U793" t="s">
        <v>2882</v>
      </c>
      <c r="V793" t="s">
        <v>186</v>
      </c>
      <c r="W793" t="s">
        <v>3120</v>
      </c>
      <c r="X793" t="s">
        <v>186</v>
      </c>
      <c r="Y793" t="str">
        <f>_xlfn.CONCAT(Table_TRM_Fixtures[[#This Row],[Combined Lighting/Ballast Types]],":",Table_TRM_Fixtures[[#This Row],[No. of Lamps]], ":", Table_TRM_Fixtures[[#This Row],[Lamp Watts  (TRM Data)]])</f>
        <v>Halogen/Incandescent:1:6</v>
      </c>
      <c r="Z793"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Halogen/Incandescent:1:6</v>
      </c>
      <c r="AA793">
        <f>IF(Table_TRM_Fixtures[[#This Row],[Pre-EISA Baseline]]="Nominal", Table_TRM_Fixtures[[#This Row],[Fixture Watts  (TRM Data)]], Table_TRM_Fixtures[[#This Row],[Modified Baseline Fixture Watts]])</f>
        <v>6</v>
      </c>
    </row>
    <row r="794" spans="1:27" x14ac:dyDescent="0.2">
      <c r="A794" t="s">
        <v>1371</v>
      </c>
      <c r="B794" t="s">
        <v>5551</v>
      </c>
      <c r="C794" t="s">
        <v>1370</v>
      </c>
      <c r="D794" t="s">
        <v>5553</v>
      </c>
      <c r="F794">
        <v>2</v>
      </c>
      <c r="G794">
        <v>6</v>
      </c>
      <c r="H794">
        <v>12</v>
      </c>
      <c r="I794">
        <v>1.5</v>
      </c>
      <c r="J794" s="110">
        <v>792</v>
      </c>
      <c r="K794" t="s">
        <v>1308</v>
      </c>
      <c r="L794">
        <f>IF(Table_TRM_Fixtures[[#This Row],[Technology]]="LED", Table_TRM_Fixtures[[#This Row],[Fixture Watts  (TRM Data)]], Table_TRM_Fixtures[[#This Row],[Lamp Watts  (TRM Data)]])</f>
        <v>6</v>
      </c>
      <c r="M794">
        <f>Table_TRM_Fixtures[[#This Row],[No. of Lamps  (TRM Data)]]</f>
        <v>2</v>
      </c>
      <c r="N794" t="s">
        <v>186</v>
      </c>
      <c r="O794" t="s">
        <v>186</v>
      </c>
      <c r="R794" t="s">
        <v>2946</v>
      </c>
      <c r="S794" t="str">
        <f>Table_TRM_Fixtures[[#This Row],[Description  (TRM Data)]]</f>
        <v>EXIT Incandescent, (2) 6 W lamps</v>
      </c>
      <c r="T794" t="str">
        <f>Table_TRM_Fixtures[[#This Row],[Fixture code  (TRM Data)]]</f>
        <v>EI6/2</v>
      </c>
      <c r="U794" t="s">
        <v>2882</v>
      </c>
      <c r="V794" t="s">
        <v>186</v>
      </c>
      <c r="W794" t="s">
        <v>3120</v>
      </c>
      <c r="X794" t="s">
        <v>186</v>
      </c>
      <c r="Y794" t="str">
        <f>_xlfn.CONCAT(Table_TRM_Fixtures[[#This Row],[Combined Lighting/Ballast Types]],":",Table_TRM_Fixtures[[#This Row],[No. of Lamps]], ":", Table_TRM_Fixtures[[#This Row],[Lamp Watts  (TRM Data)]])</f>
        <v>Halogen/Incandescent:2:6</v>
      </c>
      <c r="Z794"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Halogen/Incandescent:2:6</v>
      </c>
      <c r="AA794">
        <f>IF(Table_TRM_Fixtures[[#This Row],[Pre-EISA Baseline]]="Nominal", Table_TRM_Fixtures[[#This Row],[Fixture Watts  (TRM Data)]], Table_TRM_Fixtures[[#This Row],[Modified Baseline Fixture Watts]])</f>
        <v>12</v>
      </c>
    </row>
    <row r="795" spans="1:27" x14ac:dyDescent="0.2">
      <c r="A795" t="s">
        <v>1373</v>
      </c>
      <c r="B795" t="s">
        <v>3271</v>
      </c>
      <c r="C795" t="s">
        <v>1372</v>
      </c>
      <c r="D795" t="s">
        <v>5554</v>
      </c>
      <c r="F795">
        <v>1</v>
      </c>
      <c r="G795">
        <v>2</v>
      </c>
      <c r="H795">
        <v>2</v>
      </c>
      <c r="I795">
        <v>15</v>
      </c>
      <c r="J795" s="110">
        <v>793</v>
      </c>
      <c r="K795" t="s">
        <v>1308</v>
      </c>
      <c r="L795">
        <f>IF(Table_TRM_Fixtures[[#This Row],[Technology]]="LED", Table_TRM_Fixtures[[#This Row],[Fixture Watts  (TRM Data)]], Table_TRM_Fixtures[[#This Row],[Lamp Watts  (TRM Data)]])</f>
        <v>2</v>
      </c>
      <c r="M795">
        <f>Table_TRM_Fixtures[[#This Row],[No. of Lamps  (TRM Data)]]</f>
        <v>1</v>
      </c>
      <c r="N795" t="s">
        <v>186</v>
      </c>
      <c r="O795" t="s">
        <v>186</v>
      </c>
      <c r="P795" t="s">
        <v>187</v>
      </c>
      <c r="S795" t="str">
        <f>Table_TRM_Fixtures[[#This Row],[Description  (TRM Data)]]</f>
        <v>EXIT Light Emitting Diode, (1) 2W lamp, Single Sided</v>
      </c>
      <c r="T795" t="str">
        <f>Table_TRM_Fixtures[[#This Row],[Fixture code  (TRM Data)]]</f>
        <v>ELED2/1</v>
      </c>
      <c r="U795" t="s">
        <v>2883</v>
      </c>
      <c r="V795" t="s">
        <v>185</v>
      </c>
      <c r="W795" t="s">
        <v>3120</v>
      </c>
      <c r="X795" t="s">
        <v>186</v>
      </c>
      <c r="AA795">
        <f>IF(Table_TRM_Fixtures[[#This Row],[Pre-EISA Baseline]]="Nominal", Table_TRM_Fixtures[[#This Row],[Fixture Watts  (TRM Data)]], Table_TRM_Fixtures[[#This Row],[Modified Baseline Fixture Watts]])</f>
        <v>2</v>
      </c>
    </row>
    <row r="796" spans="1:27" x14ac:dyDescent="0.2">
      <c r="A796" t="s">
        <v>1375</v>
      </c>
      <c r="B796" t="s">
        <v>3271</v>
      </c>
      <c r="C796" t="s">
        <v>1374</v>
      </c>
      <c r="D796" t="s">
        <v>5555</v>
      </c>
      <c r="F796">
        <v>2</v>
      </c>
      <c r="G796">
        <v>2</v>
      </c>
      <c r="H796">
        <v>4</v>
      </c>
      <c r="I796">
        <v>15</v>
      </c>
      <c r="J796" s="110">
        <v>794</v>
      </c>
      <c r="K796" t="s">
        <v>1308</v>
      </c>
      <c r="L796">
        <f>IF(Table_TRM_Fixtures[[#This Row],[Technology]]="LED", Table_TRM_Fixtures[[#This Row],[Fixture Watts  (TRM Data)]], Table_TRM_Fixtures[[#This Row],[Lamp Watts  (TRM Data)]])</f>
        <v>2</v>
      </c>
      <c r="M796">
        <f>Table_TRM_Fixtures[[#This Row],[No. of Lamps  (TRM Data)]]</f>
        <v>2</v>
      </c>
      <c r="N796" t="s">
        <v>186</v>
      </c>
      <c r="O796" t="s">
        <v>186</v>
      </c>
      <c r="P796" t="s">
        <v>187</v>
      </c>
      <c r="S796" t="str">
        <f>Table_TRM_Fixtures[[#This Row],[Description  (TRM Data)]]</f>
        <v>EXIT Light Emitting Diode, (2) 2W lamps, Dual Sided</v>
      </c>
      <c r="T796" t="str">
        <f>Table_TRM_Fixtures[[#This Row],[Fixture code  (TRM Data)]]</f>
        <v>ELED2/2</v>
      </c>
      <c r="U796" t="s">
        <v>2883</v>
      </c>
      <c r="V796" t="s">
        <v>185</v>
      </c>
      <c r="W796" t="s">
        <v>3120</v>
      </c>
      <c r="X796" t="s">
        <v>186</v>
      </c>
      <c r="AA796">
        <f>IF(Table_TRM_Fixtures[[#This Row],[Pre-EISA Baseline]]="Nominal", Table_TRM_Fixtures[[#This Row],[Fixture Watts  (TRM Data)]], Table_TRM_Fixtures[[#This Row],[Modified Baseline Fixture Watts]])</f>
        <v>4</v>
      </c>
    </row>
    <row r="797" spans="1:27" x14ac:dyDescent="0.2">
      <c r="A797" t="s">
        <v>1377</v>
      </c>
      <c r="B797" t="s">
        <v>3274</v>
      </c>
      <c r="C797" t="s">
        <v>1376</v>
      </c>
      <c r="D797" t="s">
        <v>5556</v>
      </c>
      <c r="F797">
        <v>1</v>
      </c>
      <c r="G797">
        <v>3</v>
      </c>
      <c r="H797">
        <v>3</v>
      </c>
      <c r="I797">
        <v>15</v>
      </c>
      <c r="J797" s="110">
        <v>795</v>
      </c>
      <c r="K797" t="s">
        <v>1308</v>
      </c>
      <c r="L797">
        <f>IF(Table_TRM_Fixtures[[#This Row],[Technology]]="LED", Table_TRM_Fixtures[[#This Row],[Fixture Watts  (TRM Data)]], Table_TRM_Fixtures[[#This Row],[Lamp Watts  (TRM Data)]])</f>
        <v>3</v>
      </c>
      <c r="M797">
        <f>Table_TRM_Fixtures[[#This Row],[No. of Lamps  (TRM Data)]]</f>
        <v>1</v>
      </c>
      <c r="N797" t="s">
        <v>186</v>
      </c>
      <c r="O797" t="s">
        <v>186</v>
      </c>
      <c r="P797" t="s">
        <v>187</v>
      </c>
      <c r="S797" t="str">
        <f>Table_TRM_Fixtures[[#This Row],[Description  (TRM Data)]]</f>
        <v>EXIT Light Emitting Diode, (1) 3W lamp, Single Sided</v>
      </c>
      <c r="T797" t="str">
        <f>Table_TRM_Fixtures[[#This Row],[Fixture code  (TRM Data)]]</f>
        <v>ELED3</v>
      </c>
      <c r="U797" t="s">
        <v>2883</v>
      </c>
      <c r="V797" t="s">
        <v>185</v>
      </c>
      <c r="W797" t="s">
        <v>3120</v>
      </c>
      <c r="X797" t="s">
        <v>186</v>
      </c>
      <c r="AA797">
        <f>IF(Table_TRM_Fixtures[[#This Row],[Pre-EISA Baseline]]="Nominal", Table_TRM_Fixtures[[#This Row],[Fixture Watts  (TRM Data)]], Table_TRM_Fixtures[[#This Row],[Modified Baseline Fixture Watts]])</f>
        <v>3</v>
      </c>
    </row>
    <row r="798" spans="1:27" x14ac:dyDescent="0.2">
      <c r="A798" t="s">
        <v>1379</v>
      </c>
      <c r="B798" t="s">
        <v>5557</v>
      </c>
      <c r="C798" t="s">
        <v>1378</v>
      </c>
      <c r="D798" t="s">
        <v>5558</v>
      </c>
      <c r="F798">
        <v>0</v>
      </c>
      <c r="G798">
        <v>0</v>
      </c>
      <c r="H798">
        <v>0</v>
      </c>
      <c r="I798">
        <v>15</v>
      </c>
      <c r="J798" s="110">
        <v>796</v>
      </c>
      <c r="K798" t="s">
        <v>1308</v>
      </c>
      <c r="L798">
        <f>IF(Table_TRM_Fixtures[[#This Row],[Technology]]="LED", Table_TRM_Fixtures[[#This Row],[Fixture Watts  (TRM Data)]], Table_TRM_Fixtures[[#This Row],[Lamp Watts  (TRM Data)]])</f>
        <v>0</v>
      </c>
      <c r="M798">
        <f>Table_TRM_Fixtures[[#This Row],[No. of Lamps  (TRM Data)]]</f>
        <v>0</v>
      </c>
      <c r="N798" t="s">
        <v>186</v>
      </c>
      <c r="O798" t="s">
        <v>186</v>
      </c>
      <c r="P798" t="s">
        <v>187</v>
      </c>
      <c r="S798" t="str">
        <f>Table_TRM_Fixtures[[#This Row],[Description  (TRM Data)]]</f>
        <v>EXIT Photoluminescent, 0W</v>
      </c>
      <c r="T798" t="str">
        <f>Table_TRM_Fixtures[[#This Row],[Fixture code  (TRM Data)]]</f>
        <v>EP</v>
      </c>
      <c r="U798" t="s">
        <v>2883</v>
      </c>
      <c r="V798" t="s">
        <v>5559</v>
      </c>
      <c r="W798" t="s">
        <v>3120</v>
      </c>
      <c r="X798" t="s">
        <v>186</v>
      </c>
      <c r="AA798">
        <f>IF(Table_TRM_Fixtures[[#This Row],[Pre-EISA Baseline]]="Nominal", Table_TRM_Fixtures[[#This Row],[Fixture Watts  (TRM Data)]], Table_TRM_Fixtures[[#This Row],[Modified Baseline Fixture Watts]])</f>
        <v>0</v>
      </c>
    </row>
    <row r="799" spans="1:27" x14ac:dyDescent="0.2">
      <c r="A799" t="s">
        <v>1383</v>
      </c>
      <c r="B799" t="s">
        <v>5560</v>
      </c>
      <c r="C799" t="s">
        <v>1382</v>
      </c>
      <c r="D799" t="s">
        <v>5561</v>
      </c>
      <c r="E799" t="s">
        <v>1309</v>
      </c>
      <c r="F799">
        <v>2</v>
      </c>
      <c r="G799">
        <v>13</v>
      </c>
      <c r="H799">
        <v>26</v>
      </c>
      <c r="I799">
        <v>15.5</v>
      </c>
      <c r="J799" s="110">
        <v>797</v>
      </c>
      <c r="K799" t="s">
        <v>1380</v>
      </c>
      <c r="L799">
        <f>IF(Table_TRM_Fixtures[[#This Row],[Technology]]="LED", Table_TRM_Fixtures[[#This Row],[Fixture Watts  (TRM Data)]], Table_TRM_Fixtures[[#This Row],[Lamp Watts  (TRM Data)]])</f>
        <v>13</v>
      </c>
      <c r="M799">
        <f>Table_TRM_Fixtures[[#This Row],[No. of Lamps  (TRM Data)]]</f>
        <v>2</v>
      </c>
      <c r="N799">
        <v>21</v>
      </c>
      <c r="O799" t="s">
        <v>1381</v>
      </c>
      <c r="P799" t="s">
        <v>2640</v>
      </c>
      <c r="Q799" t="s">
        <v>2640</v>
      </c>
      <c r="R799" t="str">
        <f>_xlfn.CONCAT(Table_TRM_Fixtures[[#This Row],[Technology]], " ", Table_TRM_Fixtures[[#This Row],[Ballast Code]], " Ballast")</f>
        <v>T5 Magnetic Ballast</v>
      </c>
      <c r="S799" t="str">
        <f>Table_TRM_Fixtures[[#This Row],[Description  (TRM Data)]]</f>
        <v>Fluorescent, (2) 21", Preheat T5 lamps, (1) Magnetic ballasts with integral starter, (BF=0.80)</v>
      </c>
      <c r="T799" t="str">
        <f>Table_TRM_Fixtures[[#This Row],[Fixture code  (TRM Data)]]</f>
        <v>F22PS</v>
      </c>
      <c r="U799" t="s">
        <v>2883</v>
      </c>
      <c r="V799" t="s">
        <v>5562</v>
      </c>
      <c r="W799" t="s">
        <v>3120</v>
      </c>
      <c r="X799" t="s">
        <v>186</v>
      </c>
      <c r="AA799">
        <f>IF(Table_TRM_Fixtures[[#This Row],[Pre-EISA Baseline]]="Nominal", Table_TRM_Fixtures[[#This Row],[Fixture Watts  (TRM Data)]], Table_TRM_Fixtures[[#This Row],[Modified Baseline Fixture Watts]])</f>
        <v>26</v>
      </c>
    </row>
    <row r="800" spans="1:27" x14ac:dyDescent="0.2">
      <c r="A800" t="s">
        <v>1385</v>
      </c>
      <c r="B800" t="s">
        <v>5560</v>
      </c>
      <c r="C800" t="s">
        <v>1384</v>
      </c>
      <c r="D800" t="s">
        <v>5563</v>
      </c>
      <c r="E800" t="s">
        <v>1309</v>
      </c>
      <c r="F800">
        <v>4</v>
      </c>
      <c r="G800">
        <v>13</v>
      </c>
      <c r="H800">
        <v>53</v>
      </c>
      <c r="I800">
        <v>15.5</v>
      </c>
      <c r="J800" s="110">
        <v>798</v>
      </c>
      <c r="K800" t="s">
        <v>1380</v>
      </c>
      <c r="L800">
        <f>IF(Table_TRM_Fixtures[[#This Row],[Technology]]="LED", Table_TRM_Fixtures[[#This Row],[Fixture Watts  (TRM Data)]], Table_TRM_Fixtures[[#This Row],[Lamp Watts  (TRM Data)]])</f>
        <v>13</v>
      </c>
      <c r="M800">
        <f>Table_TRM_Fixtures[[#This Row],[No. of Lamps  (TRM Data)]]</f>
        <v>4</v>
      </c>
      <c r="N800">
        <v>21</v>
      </c>
      <c r="O800" t="s">
        <v>1381</v>
      </c>
      <c r="P800" t="s">
        <v>2640</v>
      </c>
      <c r="Q800" t="s">
        <v>2640</v>
      </c>
      <c r="R800" t="str">
        <f>_xlfn.CONCAT(Table_TRM_Fixtures[[#This Row],[Technology]], " ", Table_TRM_Fixtures[[#This Row],[Ballast Code]], " Ballast")</f>
        <v>T5 Magnetic Ballast</v>
      </c>
      <c r="S800" t="str">
        <f>Table_TRM_Fixtures[[#This Row],[Description  (TRM Data)]]</f>
        <v>Fluorescent, (4) 21", Preheat T5 lamps, (2) Magnetic ballasts with integral starter (BF=0.80)</v>
      </c>
      <c r="T800" t="str">
        <f>Table_TRM_Fixtures[[#This Row],[Fixture code  (TRM Data)]]</f>
        <v>F24PS</v>
      </c>
      <c r="U800" t="s">
        <v>2883</v>
      </c>
      <c r="V800" t="s">
        <v>5562</v>
      </c>
      <c r="W800" t="s">
        <v>3120</v>
      </c>
      <c r="X800" t="s">
        <v>186</v>
      </c>
      <c r="AA800">
        <f>IF(Table_TRM_Fixtures[[#This Row],[Pre-EISA Baseline]]="Nominal", Table_TRM_Fixtures[[#This Row],[Fixture Watts  (TRM Data)]], Table_TRM_Fixtures[[#This Row],[Modified Baseline Fixture Watts]])</f>
        <v>53</v>
      </c>
    </row>
    <row r="801" spans="1:27" x14ac:dyDescent="0.2">
      <c r="A801" t="s">
        <v>1388</v>
      </c>
      <c r="B801" t="s">
        <v>5564</v>
      </c>
      <c r="C801" t="s">
        <v>1387</v>
      </c>
      <c r="D801" t="s">
        <v>5565</v>
      </c>
      <c r="E801" t="s">
        <v>1386</v>
      </c>
      <c r="F801">
        <v>1</v>
      </c>
      <c r="G801">
        <v>14</v>
      </c>
      <c r="H801">
        <v>18</v>
      </c>
      <c r="I801">
        <v>15.5</v>
      </c>
      <c r="J801" s="110">
        <v>799</v>
      </c>
      <c r="K801" t="s">
        <v>1380</v>
      </c>
      <c r="L801">
        <f>IF(Table_TRM_Fixtures[[#This Row],[Technology]]="LED", Table_TRM_Fixtures[[#This Row],[Fixture Watts  (TRM Data)]], Table_TRM_Fixtures[[#This Row],[Lamp Watts  (TRM Data)]])</f>
        <v>14</v>
      </c>
      <c r="M801">
        <f>Table_TRM_Fixtures[[#This Row],[No. of Lamps  (TRM Data)]]</f>
        <v>1</v>
      </c>
      <c r="N801">
        <v>22</v>
      </c>
      <c r="O801" t="s">
        <v>1381</v>
      </c>
      <c r="P801" t="s">
        <v>187</v>
      </c>
      <c r="Q801" t="s">
        <v>5566</v>
      </c>
      <c r="R801" t="str">
        <f>_xlfn.CONCAT(Table_TRM_Fixtures[[#This Row],[Technology]], " ", Table_TRM_Fixtures[[#This Row],[Ballast Code]], " Ballast")</f>
        <v>T5 Electronic HLO Ballast</v>
      </c>
      <c r="S801" t="str">
        <f>Table_TRM_Fixtures[[#This Row],[Description  (TRM Data)]]</f>
        <v>Fluorescent (1) 22" (563mm) T-5 lamp; (1) Prog.Start or PRS Ballast, HLO (.95 &lt; BF &lt; 1.1)</v>
      </c>
      <c r="T801" t="str">
        <f>Table_TRM_Fixtures[[#This Row],[Fixture code  (TRM Data)]]</f>
        <v>F21GPL-H</v>
      </c>
      <c r="U801" t="s">
        <v>2883</v>
      </c>
      <c r="V801" t="s">
        <v>5562</v>
      </c>
      <c r="W801" t="s">
        <v>3120</v>
      </c>
      <c r="X801" t="s">
        <v>186</v>
      </c>
      <c r="AA801">
        <f>IF(Table_TRM_Fixtures[[#This Row],[Pre-EISA Baseline]]="Nominal", Table_TRM_Fixtures[[#This Row],[Fixture Watts  (TRM Data)]], Table_TRM_Fixtures[[#This Row],[Modified Baseline Fixture Watts]])</f>
        <v>18</v>
      </c>
    </row>
    <row r="802" spans="1:27" x14ac:dyDescent="0.2">
      <c r="A802" t="s">
        <v>1390</v>
      </c>
      <c r="B802" t="s">
        <v>5564</v>
      </c>
      <c r="C802" t="s">
        <v>1389</v>
      </c>
      <c r="D802" t="s">
        <v>5561</v>
      </c>
      <c r="E802" t="s">
        <v>1386</v>
      </c>
      <c r="F802">
        <v>2</v>
      </c>
      <c r="G802">
        <v>14</v>
      </c>
      <c r="H802">
        <v>33</v>
      </c>
      <c r="I802">
        <v>15.5</v>
      </c>
      <c r="J802" s="110">
        <v>800</v>
      </c>
      <c r="K802" t="s">
        <v>1380</v>
      </c>
      <c r="L802">
        <f>IF(Table_TRM_Fixtures[[#This Row],[Technology]]="LED", Table_TRM_Fixtures[[#This Row],[Fixture Watts  (TRM Data)]], Table_TRM_Fixtures[[#This Row],[Lamp Watts  (TRM Data)]])</f>
        <v>14</v>
      </c>
      <c r="M802">
        <f>Table_TRM_Fixtures[[#This Row],[No. of Lamps  (TRM Data)]]</f>
        <v>2</v>
      </c>
      <c r="N802">
        <v>22</v>
      </c>
      <c r="O802" t="s">
        <v>1381</v>
      </c>
      <c r="P802" t="s">
        <v>187</v>
      </c>
      <c r="Q802" t="s">
        <v>5566</v>
      </c>
      <c r="R802" t="str">
        <f>_xlfn.CONCAT(Table_TRM_Fixtures[[#This Row],[Technology]], " ", Table_TRM_Fixtures[[#This Row],[Ballast Code]], " Ballast")</f>
        <v>T5 Electronic HLO Ballast</v>
      </c>
      <c r="S802" t="str">
        <f>Table_TRM_Fixtures[[#This Row],[Description  (TRM Data)]]</f>
        <v>Fluorescent (2) 22" (563mm) T-5 lamps; (1) Prog.Start or PRS Ballast, HLO (.95 &lt; BF &lt; 1.1)</v>
      </c>
      <c r="T802" t="str">
        <f>Table_TRM_Fixtures[[#This Row],[Fixture code  (TRM Data)]]</f>
        <v>F22GPL-H</v>
      </c>
      <c r="U802" t="s">
        <v>2883</v>
      </c>
      <c r="V802" t="s">
        <v>5562</v>
      </c>
      <c r="W802" t="s">
        <v>3120</v>
      </c>
      <c r="X802" t="s">
        <v>186</v>
      </c>
      <c r="AA802">
        <f>IF(Table_TRM_Fixtures[[#This Row],[Pre-EISA Baseline]]="Nominal", Table_TRM_Fixtures[[#This Row],[Fixture Watts  (TRM Data)]], Table_TRM_Fixtures[[#This Row],[Modified Baseline Fixture Watts]])</f>
        <v>33</v>
      </c>
    </row>
    <row r="803" spans="1:27" x14ac:dyDescent="0.2">
      <c r="A803" t="s">
        <v>1392</v>
      </c>
      <c r="B803" t="s">
        <v>5564</v>
      </c>
      <c r="C803" t="s">
        <v>1391</v>
      </c>
      <c r="D803" t="s">
        <v>5567</v>
      </c>
      <c r="E803" t="s">
        <v>1386</v>
      </c>
      <c r="F803">
        <v>3</v>
      </c>
      <c r="G803">
        <v>14</v>
      </c>
      <c r="H803">
        <v>50</v>
      </c>
      <c r="I803">
        <v>15.5</v>
      </c>
      <c r="J803" s="110">
        <v>801</v>
      </c>
      <c r="K803" t="s">
        <v>1380</v>
      </c>
      <c r="L803">
        <f>IF(Table_TRM_Fixtures[[#This Row],[Technology]]="LED", Table_TRM_Fixtures[[#This Row],[Fixture Watts  (TRM Data)]], Table_TRM_Fixtures[[#This Row],[Lamp Watts  (TRM Data)]])</f>
        <v>14</v>
      </c>
      <c r="M803">
        <f>Table_TRM_Fixtures[[#This Row],[No. of Lamps  (TRM Data)]]</f>
        <v>3</v>
      </c>
      <c r="N803">
        <v>22</v>
      </c>
      <c r="O803" t="s">
        <v>1381</v>
      </c>
      <c r="P803" t="s">
        <v>187</v>
      </c>
      <c r="Q803" t="s">
        <v>5566</v>
      </c>
      <c r="R803" t="str">
        <f>_xlfn.CONCAT(Table_TRM_Fixtures[[#This Row],[Technology]], " ", Table_TRM_Fixtures[[#This Row],[Ballast Code]], " Ballast")</f>
        <v>T5 Electronic HLO Ballast</v>
      </c>
      <c r="S803" t="str">
        <f>Table_TRM_Fixtures[[#This Row],[Description  (TRM Data)]]</f>
        <v>Fluorescent (3) 22" (563mm)T-5 lamps; (1) Prog.Start or PRS Ballast, HLO (.95 &lt; BF &lt; 1.1)</v>
      </c>
      <c r="T803" t="str">
        <f>Table_TRM_Fixtures[[#This Row],[Fixture code  (TRM Data)]]</f>
        <v>F23GPL-H</v>
      </c>
      <c r="U803" t="s">
        <v>2883</v>
      </c>
      <c r="V803" t="s">
        <v>5562</v>
      </c>
      <c r="W803" t="s">
        <v>3120</v>
      </c>
      <c r="X803" t="s">
        <v>186</v>
      </c>
      <c r="AA803">
        <f>IF(Table_TRM_Fixtures[[#This Row],[Pre-EISA Baseline]]="Nominal", Table_TRM_Fixtures[[#This Row],[Fixture Watts  (TRM Data)]], Table_TRM_Fixtures[[#This Row],[Modified Baseline Fixture Watts]])</f>
        <v>50</v>
      </c>
    </row>
    <row r="804" spans="1:27" x14ac:dyDescent="0.2">
      <c r="A804" t="s">
        <v>1394</v>
      </c>
      <c r="B804" t="s">
        <v>5564</v>
      </c>
      <c r="C804" t="s">
        <v>1393</v>
      </c>
      <c r="D804" t="s">
        <v>5567</v>
      </c>
      <c r="E804" t="s">
        <v>1386</v>
      </c>
      <c r="F804">
        <v>3</v>
      </c>
      <c r="G804">
        <v>14</v>
      </c>
      <c r="H804">
        <v>51</v>
      </c>
      <c r="I804">
        <v>15.5</v>
      </c>
      <c r="J804" s="110">
        <v>802</v>
      </c>
      <c r="K804" t="s">
        <v>1380</v>
      </c>
      <c r="L804">
        <f>IF(Table_TRM_Fixtures[[#This Row],[Technology]]="LED", Table_TRM_Fixtures[[#This Row],[Fixture Watts  (TRM Data)]], Table_TRM_Fixtures[[#This Row],[Lamp Watts  (TRM Data)]])</f>
        <v>14</v>
      </c>
      <c r="M804">
        <f>Table_TRM_Fixtures[[#This Row],[No. of Lamps  (TRM Data)]]</f>
        <v>3</v>
      </c>
      <c r="N804">
        <v>22</v>
      </c>
      <c r="O804" t="s">
        <v>1381</v>
      </c>
      <c r="P804" t="s">
        <v>187</v>
      </c>
      <c r="Q804" t="s">
        <v>5566</v>
      </c>
      <c r="R804" t="str">
        <f>_xlfn.CONCAT(Table_TRM_Fixtures[[#This Row],[Technology]], " ", Table_TRM_Fixtures[[#This Row],[Ballast Code]], " Ballast")</f>
        <v>T5 Electronic HLO Ballast</v>
      </c>
      <c r="S804" t="str">
        <f>Table_TRM_Fixtures[[#This Row],[Description  (TRM Data)]]</f>
        <v>Fluorescent (3) 22" (563mm)T-5 lamps; (2) Prog.Start or PRS Ballasts, HLO (.95 &lt; BF &lt; 1.1)</v>
      </c>
      <c r="T804" t="str">
        <f>Table_TRM_Fixtures[[#This Row],[Fixture code  (TRM Data)]]</f>
        <v>F23GPL/2-H</v>
      </c>
      <c r="U804" t="s">
        <v>2883</v>
      </c>
      <c r="V804" t="s">
        <v>5562</v>
      </c>
      <c r="W804" t="s">
        <v>3120</v>
      </c>
      <c r="X804" t="s">
        <v>186</v>
      </c>
      <c r="AA804">
        <f>IF(Table_TRM_Fixtures[[#This Row],[Pre-EISA Baseline]]="Nominal", Table_TRM_Fixtures[[#This Row],[Fixture Watts  (TRM Data)]], Table_TRM_Fixtures[[#This Row],[Modified Baseline Fixture Watts]])</f>
        <v>51</v>
      </c>
    </row>
    <row r="805" spans="1:27" x14ac:dyDescent="0.2">
      <c r="A805" t="s">
        <v>1396</v>
      </c>
      <c r="B805" t="s">
        <v>5564</v>
      </c>
      <c r="C805" t="s">
        <v>1395</v>
      </c>
      <c r="D805" t="s">
        <v>5563</v>
      </c>
      <c r="E805" t="s">
        <v>1386</v>
      </c>
      <c r="F805">
        <v>4</v>
      </c>
      <c r="G805">
        <v>14</v>
      </c>
      <c r="H805">
        <v>66</v>
      </c>
      <c r="I805">
        <v>15.5</v>
      </c>
      <c r="J805" s="110">
        <v>803</v>
      </c>
      <c r="K805" t="s">
        <v>1380</v>
      </c>
      <c r="L805">
        <f>IF(Table_TRM_Fixtures[[#This Row],[Technology]]="LED", Table_TRM_Fixtures[[#This Row],[Fixture Watts  (TRM Data)]], Table_TRM_Fixtures[[#This Row],[Lamp Watts  (TRM Data)]])</f>
        <v>14</v>
      </c>
      <c r="M805">
        <f>Table_TRM_Fixtures[[#This Row],[No. of Lamps  (TRM Data)]]</f>
        <v>4</v>
      </c>
      <c r="N805">
        <v>22</v>
      </c>
      <c r="O805" t="s">
        <v>1381</v>
      </c>
      <c r="P805" t="s">
        <v>187</v>
      </c>
      <c r="Q805" t="s">
        <v>5566</v>
      </c>
      <c r="R805" t="str">
        <f>_xlfn.CONCAT(Table_TRM_Fixtures[[#This Row],[Technology]], " ", Table_TRM_Fixtures[[#This Row],[Ballast Code]], " Ballast")</f>
        <v>T5 Electronic HLO Ballast</v>
      </c>
      <c r="S805" t="str">
        <f>Table_TRM_Fixtures[[#This Row],[Description  (TRM Data)]]</f>
        <v>Fluorescent (4) 22" (563mm)T-5 lamps; (2) Prog.Start or PRS Ballasts, HLO (.95 &lt; BF &lt; 1.1)</v>
      </c>
      <c r="T805" t="str">
        <f>Table_TRM_Fixtures[[#This Row],[Fixture code  (TRM Data)]]</f>
        <v>F24GPL/2-H</v>
      </c>
      <c r="U805" t="s">
        <v>2883</v>
      </c>
      <c r="V805" t="s">
        <v>5562</v>
      </c>
      <c r="W805" t="s">
        <v>3120</v>
      </c>
      <c r="X805" t="s">
        <v>186</v>
      </c>
      <c r="AA805">
        <f>IF(Table_TRM_Fixtures[[#This Row],[Pre-EISA Baseline]]="Nominal", Table_TRM_Fixtures[[#This Row],[Fixture Watts  (TRM Data)]], Table_TRM_Fixtures[[#This Row],[Modified Baseline Fixture Watts]])</f>
        <v>66</v>
      </c>
    </row>
    <row r="806" spans="1:27" x14ac:dyDescent="0.2">
      <c r="A806" t="s">
        <v>1398</v>
      </c>
      <c r="B806" t="s">
        <v>5568</v>
      </c>
      <c r="C806" t="s">
        <v>1397</v>
      </c>
      <c r="D806" t="s">
        <v>5569</v>
      </c>
      <c r="E806" t="s">
        <v>1386</v>
      </c>
      <c r="F806">
        <v>1</v>
      </c>
      <c r="G806">
        <v>21</v>
      </c>
      <c r="H806">
        <v>25</v>
      </c>
      <c r="I806">
        <v>15.5</v>
      </c>
      <c r="J806" s="110">
        <v>804</v>
      </c>
      <c r="K806" t="s">
        <v>1380</v>
      </c>
      <c r="L806">
        <f>IF(Table_TRM_Fixtures[[#This Row],[Technology]]="LED", Table_TRM_Fixtures[[#This Row],[Fixture Watts  (TRM Data)]], Table_TRM_Fixtures[[#This Row],[Lamp Watts  (TRM Data)]])</f>
        <v>21</v>
      </c>
      <c r="M806">
        <f>Table_TRM_Fixtures[[#This Row],[No. of Lamps  (TRM Data)]]</f>
        <v>1</v>
      </c>
      <c r="N806">
        <v>34</v>
      </c>
      <c r="O806" t="s">
        <v>1381</v>
      </c>
      <c r="P806" t="s">
        <v>187</v>
      </c>
      <c r="Q806" t="s">
        <v>5566</v>
      </c>
      <c r="R806" t="str">
        <f>_xlfn.CONCAT(Table_TRM_Fixtures[[#This Row],[Technology]], " ", Table_TRM_Fixtures[[#This Row],[Ballast Code]], " Ballast")</f>
        <v>T5 Electronic HLO Ballast</v>
      </c>
      <c r="S806" t="str">
        <f>Table_TRM_Fixtures[[#This Row],[Description  (TRM Data)]]</f>
        <v>Fluorescent (1) 34" (863mm) T-5 lamp; (1) Prog.Start or PRS Ballast, HLO (.95 &lt; BF &lt; 1.1)</v>
      </c>
      <c r="T806" t="str">
        <f>Table_TRM_Fixtures[[#This Row],[Fixture code  (TRM Data)]]</f>
        <v>F31GPL-H</v>
      </c>
      <c r="U806" t="s">
        <v>2883</v>
      </c>
      <c r="V806" t="s">
        <v>5562</v>
      </c>
      <c r="W806" t="s">
        <v>3120</v>
      </c>
      <c r="X806" t="s">
        <v>186</v>
      </c>
      <c r="AA806">
        <f>IF(Table_TRM_Fixtures[[#This Row],[Pre-EISA Baseline]]="Nominal", Table_TRM_Fixtures[[#This Row],[Fixture Watts  (TRM Data)]], Table_TRM_Fixtures[[#This Row],[Modified Baseline Fixture Watts]])</f>
        <v>25</v>
      </c>
    </row>
    <row r="807" spans="1:27" x14ac:dyDescent="0.2">
      <c r="A807" t="s">
        <v>1400</v>
      </c>
      <c r="B807" t="s">
        <v>5568</v>
      </c>
      <c r="C807" t="s">
        <v>1399</v>
      </c>
      <c r="D807" t="s">
        <v>5570</v>
      </c>
      <c r="E807" t="s">
        <v>1386</v>
      </c>
      <c r="F807">
        <v>2</v>
      </c>
      <c r="G807">
        <v>21</v>
      </c>
      <c r="H807">
        <v>48</v>
      </c>
      <c r="I807">
        <v>15.5</v>
      </c>
      <c r="J807" s="110">
        <v>805</v>
      </c>
      <c r="K807" t="s">
        <v>1380</v>
      </c>
      <c r="L807">
        <f>IF(Table_TRM_Fixtures[[#This Row],[Technology]]="LED", Table_TRM_Fixtures[[#This Row],[Fixture Watts  (TRM Data)]], Table_TRM_Fixtures[[#This Row],[Lamp Watts  (TRM Data)]])</f>
        <v>21</v>
      </c>
      <c r="M807">
        <f>Table_TRM_Fixtures[[#This Row],[No. of Lamps  (TRM Data)]]</f>
        <v>2</v>
      </c>
      <c r="N807">
        <v>34</v>
      </c>
      <c r="O807" t="s">
        <v>1381</v>
      </c>
      <c r="P807" t="s">
        <v>187</v>
      </c>
      <c r="Q807" t="s">
        <v>5566</v>
      </c>
      <c r="R807" t="str">
        <f>_xlfn.CONCAT(Table_TRM_Fixtures[[#This Row],[Technology]], " ", Table_TRM_Fixtures[[#This Row],[Ballast Code]], " Ballast")</f>
        <v>T5 Electronic HLO Ballast</v>
      </c>
      <c r="S807" t="str">
        <f>Table_TRM_Fixtures[[#This Row],[Description  (TRM Data)]]</f>
        <v>Fluorescent (2) 34" (863mm) T-5 lamps; (1) Prog.Start or PRS Ballast, HLO (.95 &lt; BF &lt; 1.1)</v>
      </c>
      <c r="T807" t="str">
        <f>Table_TRM_Fixtures[[#This Row],[Fixture code  (TRM Data)]]</f>
        <v>F32GPL-H</v>
      </c>
      <c r="U807" t="s">
        <v>2883</v>
      </c>
      <c r="V807" t="s">
        <v>5562</v>
      </c>
      <c r="W807" t="s">
        <v>3120</v>
      </c>
      <c r="X807" t="s">
        <v>186</v>
      </c>
      <c r="AA807">
        <f>IF(Table_TRM_Fixtures[[#This Row],[Pre-EISA Baseline]]="Nominal", Table_TRM_Fixtures[[#This Row],[Fixture Watts  (TRM Data)]], Table_TRM_Fixtures[[#This Row],[Modified Baseline Fixture Watts]])</f>
        <v>48</v>
      </c>
    </row>
    <row r="808" spans="1:27" x14ac:dyDescent="0.2">
      <c r="A808" t="s">
        <v>1402</v>
      </c>
      <c r="B808" t="s">
        <v>5568</v>
      </c>
      <c r="C808" t="s">
        <v>1401</v>
      </c>
      <c r="D808" t="s">
        <v>5571</v>
      </c>
      <c r="E808" t="s">
        <v>1386</v>
      </c>
      <c r="F808">
        <v>3</v>
      </c>
      <c r="G808">
        <v>21</v>
      </c>
      <c r="H808">
        <v>73</v>
      </c>
      <c r="I808">
        <v>15.5</v>
      </c>
      <c r="J808" s="110">
        <v>806</v>
      </c>
      <c r="K808" t="s">
        <v>1380</v>
      </c>
      <c r="L808">
        <f>IF(Table_TRM_Fixtures[[#This Row],[Technology]]="LED", Table_TRM_Fixtures[[#This Row],[Fixture Watts  (TRM Data)]], Table_TRM_Fixtures[[#This Row],[Lamp Watts  (TRM Data)]])</f>
        <v>21</v>
      </c>
      <c r="M808">
        <f>Table_TRM_Fixtures[[#This Row],[No. of Lamps  (TRM Data)]]</f>
        <v>3</v>
      </c>
      <c r="N808">
        <v>34</v>
      </c>
      <c r="O808" t="s">
        <v>1381</v>
      </c>
      <c r="P808" t="s">
        <v>187</v>
      </c>
      <c r="Q808" t="s">
        <v>5566</v>
      </c>
      <c r="R808" t="str">
        <f>_xlfn.CONCAT(Table_TRM_Fixtures[[#This Row],[Technology]], " ", Table_TRM_Fixtures[[#This Row],[Ballast Code]], " Ballast")</f>
        <v>T5 Electronic HLO Ballast</v>
      </c>
      <c r="S808" t="str">
        <f>Table_TRM_Fixtures[[#This Row],[Description  (TRM Data)]]</f>
        <v>Fluorescent (3) 34" (863mm)T-5 lamps; (2) Prog.Start or PRS Ballasts, HLO (.95 &lt; BF &lt; 1.1)</v>
      </c>
      <c r="T808" t="str">
        <f>Table_TRM_Fixtures[[#This Row],[Fixture code  (TRM Data)]]</f>
        <v>F33GPL/2-H</v>
      </c>
      <c r="U808" t="s">
        <v>2883</v>
      </c>
      <c r="V808" t="s">
        <v>5562</v>
      </c>
      <c r="W808" t="s">
        <v>3120</v>
      </c>
      <c r="X808" t="s">
        <v>186</v>
      </c>
      <c r="AA808">
        <f>IF(Table_TRM_Fixtures[[#This Row],[Pre-EISA Baseline]]="Nominal", Table_TRM_Fixtures[[#This Row],[Fixture Watts  (TRM Data)]], Table_TRM_Fixtures[[#This Row],[Modified Baseline Fixture Watts]])</f>
        <v>73</v>
      </c>
    </row>
    <row r="809" spans="1:27" x14ac:dyDescent="0.2">
      <c r="A809" t="s">
        <v>1404</v>
      </c>
      <c r="B809" t="s">
        <v>5568</v>
      </c>
      <c r="C809" t="s">
        <v>1403</v>
      </c>
      <c r="D809" t="s">
        <v>5572</v>
      </c>
      <c r="E809" t="s">
        <v>1386</v>
      </c>
      <c r="F809">
        <v>4</v>
      </c>
      <c r="G809">
        <v>21</v>
      </c>
      <c r="H809">
        <v>96</v>
      </c>
      <c r="I809">
        <v>15.5</v>
      </c>
      <c r="J809" s="110">
        <v>807</v>
      </c>
      <c r="K809" t="s">
        <v>1380</v>
      </c>
      <c r="L809">
        <f>IF(Table_TRM_Fixtures[[#This Row],[Technology]]="LED", Table_TRM_Fixtures[[#This Row],[Fixture Watts  (TRM Data)]], Table_TRM_Fixtures[[#This Row],[Lamp Watts  (TRM Data)]])</f>
        <v>21</v>
      </c>
      <c r="M809">
        <f>Table_TRM_Fixtures[[#This Row],[No. of Lamps  (TRM Data)]]</f>
        <v>4</v>
      </c>
      <c r="N809">
        <v>34</v>
      </c>
      <c r="O809" t="s">
        <v>1381</v>
      </c>
      <c r="P809" t="s">
        <v>187</v>
      </c>
      <c r="Q809" t="s">
        <v>5566</v>
      </c>
      <c r="R809" t="str">
        <f>_xlfn.CONCAT(Table_TRM_Fixtures[[#This Row],[Technology]], " ", Table_TRM_Fixtures[[#This Row],[Ballast Code]], " Ballast")</f>
        <v>T5 Electronic HLO Ballast</v>
      </c>
      <c r="S809" t="str">
        <f>Table_TRM_Fixtures[[#This Row],[Description  (TRM Data)]]</f>
        <v>Fluorescent (4) 34" (863mm)T-5 lamps; (2) Prog.Start or PRS Ballasts, HLO (.95 &lt; BF &lt; 1.1)</v>
      </c>
      <c r="T809" t="str">
        <f>Table_TRM_Fixtures[[#This Row],[Fixture code  (TRM Data)]]</f>
        <v>F34GPL/2-H</v>
      </c>
      <c r="U809" t="s">
        <v>2883</v>
      </c>
      <c r="V809" t="s">
        <v>5562</v>
      </c>
      <c r="W809" t="s">
        <v>3120</v>
      </c>
      <c r="X809" t="s">
        <v>186</v>
      </c>
      <c r="AA809">
        <f>IF(Table_TRM_Fixtures[[#This Row],[Pre-EISA Baseline]]="Nominal", Table_TRM_Fixtures[[#This Row],[Fixture Watts  (TRM Data)]], Table_TRM_Fixtures[[#This Row],[Modified Baseline Fixture Watts]])</f>
        <v>96</v>
      </c>
    </row>
    <row r="810" spans="1:27" x14ac:dyDescent="0.2">
      <c r="A810" t="s">
        <v>1407</v>
      </c>
      <c r="B810" t="s">
        <v>5573</v>
      </c>
      <c r="C810" t="s">
        <v>1406</v>
      </c>
      <c r="D810" t="s">
        <v>5574</v>
      </c>
      <c r="E810" t="s">
        <v>1386</v>
      </c>
      <c r="F810">
        <v>1</v>
      </c>
      <c r="G810">
        <v>24</v>
      </c>
      <c r="H810">
        <v>27</v>
      </c>
      <c r="I810">
        <v>15.5</v>
      </c>
      <c r="J810" s="110">
        <v>808</v>
      </c>
      <c r="K810" t="s">
        <v>1380</v>
      </c>
      <c r="L810">
        <f>IF(Table_TRM_Fixtures[[#This Row],[Technology]]="LED", Table_TRM_Fixtures[[#This Row],[Fixture Watts  (TRM Data)]], Table_TRM_Fixtures[[#This Row],[Lamp Watts  (TRM Data)]])</f>
        <v>24</v>
      </c>
      <c r="M810">
        <f>Table_TRM_Fixtures[[#This Row],[No. of Lamps  (TRM Data)]]</f>
        <v>1</v>
      </c>
      <c r="N810">
        <v>22</v>
      </c>
      <c r="O810" t="s">
        <v>1405</v>
      </c>
      <c r="P810" t="s">
        <v>187</v>
      </c>
      <c r="Q810" t="s">
        <v>5566</v>
      </c>
      <c r="R810" t="str">
        <f>_xlfn.CONCAT(Table_TRM_Fixtures[[#This Row],[Technology]], ", ", Table_TRM_Fixtures[[#This Row],[Ballast Code]], " Ballast")</f>
        <v>T5, Electronic HLO Ballast</v>
      </c>
      <c r="S810" t="str">
        <f>Table_TRM_Fixtures[[#This Row],[Description  (TRM Data)]]</f>
        <v>Fluorescent (1) 22" (563mm) T-5 HO lamp; (1) Prog.Start or PRS Ballast, HLO (.95 &lt; BF &lt; 1.1)</v>
      </c>
      <c r="T810" t="str">
        <f>Table_TRM_Fixtures[[#This Row],[Fixture code  (TRM Data)]]</f>
        <v>F21GPHL-H</v>
      </c>
      <c r="U810" t="s">
        <v>2882</v>
      </c>
      <c r="V810" t="s">
        <v>186</v>
      </c>
      <c r="W810" t="s">
        <v>3120</v>
      </c>
      <c r="X810" t="s">
        <v>186</v>
      </c>
      <c r="Y810" t="str">
        <f>_xlfn.CONCAT(Table_TRM_Fixtures[[#This Row],[Combined Lighting/Ballast Types]],":",Table_TRM_Fixtures[[#This Row],[No. of Lamps]], ":", Table_TRM_Fixtures[[#This Row],[Lamp Watts  (TRM Data)]])</f>
        <v>T5, Electronic HLO Ballast:1:24</v>
      </c>
      <c r="Z810"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T5:1:24</v>
      </c>
      <c r="AA810">
        <f>IF(Table_TRM_Fixtures[[#This Row],[Pre-EISA Baseline]]="Nominal", Table_TRM_Fixtures[[#This Row],[Fixture Watts  (TRM Data)]], Table_TRM_Fixtures[[#This Row],[Modified Baseline Fixture Watts]])</f>
        <v>27</v>
      </c>
    </row>
    <row r="811" spans="1:27" x14ac:dyDescent="0.2">
      <c r="A811" t="s">
        <v>1409</v>
      </c>
      <c r="B811" t="s">
        <v>5573</v>
      </c>
      <c r="C811" t="s">
        <v>1408</v>
      </c>
      <c r="D811" t="s">
        <v>5575</v>
      </c>
      <c r="E811" t="s">
        <v>1386</v>
      </c>
      <c r="F811">
        <v>2</v>
      </c>
      <c r="G811">
        <v>24</v>
      </c>
      <c r="H811">
        <v>52</v>
      </c>
      <c r="I811">
        <v>15.5</v>
      </c>
      <c r="J811" s="110">
        <v>809</v>
      </c>
      <c r="K811" t="s">
        <v>1380</v>
      </c>
      <c r="L811">
        <f>IF(Table_TRM_Fixtures[[#This Row],[Technology]]="LED", Table_TRM_Fixtures[[#This Row],[Fixture Watts  (TRM Data)]], Table_TRM_Fixtures[[#This Row],[Lamp Watts  (TRM Data)]])</f>
        <v>24</v>
      </c>
      <c r="M811">
        <f>Table_TRM_Fixtures[[#This Row],[No. of Lamps  (TRM Data)]]</f>
        <v>2</v>
      </c>
      <c r="N811">
        <v>22</v>
      </c>
      <c r="O811" t="s">
        <v>1405</v>
      </c>
      <c r="P811" t="s">
        <v>187</v>
      </c>
      <c r="Q811" t="s">
        <v>5566</v>
      </c>
      <c r="R811" t="str">
        <f>_xlfn.CONCAT(Table_TRM_Fixtures[[#This Row],[Technology]], ", ", Table_TRM_Fixtures[[#This Row],[Ballast Code]], " Ballast")</f>
        <v>T5, Electronic HLO Ballast</v>
      </c>
      <c r="S811" t="str">
        <f>Table_TRM_Fixtures[[#This Row],[Description  (TRM Data)]]</f>
        <v>Fluorescent (2) 22" (563mm) T-5 HO lamps; (1) Prog.Start or PRS Ballast, HLO (.95 &lt; BF &lt; 1.1)</v>
      </c>
      <c r="T811" t="str">
        <f>Table_TRM_Fixtures[[#This Row],[Fixture code  (TRM Data)]]</f>
        <v>F22GPHL-H</v>
      </c>
      <c r="U811" t="s">
        <v>2882</v>
      </c>
      <c r="V811" t="s">
        <v>186</v>
      </c>
      <c r="W811" t="s">
        <v>3120</v>
      </c>
      <c r="X811" t="s">
        <v>186</v>
      </c>
      <c r="Y811" t="str">
        <f>_xlfn.CONCAT(Table_TRM_Fixtures[[#This Row],[Combined Lighting/Ballast Types]],":",Table_TRM_Fixtures[[#This Row],[No. of Lamps]], ":", Table_TRM_Fixtures[[#This Row],[Lamp Watts  (TRM Data)]])</f>
        <v>T5, Electronic HLO Ballast:2:24</v>
      </c>
      <c r="Z811"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T5:2:24</v>
      </c>
      <c r="AA811">
        <f>IF(Table_TRM_Fixtures[[#This Row],[Pre-EISA Baseline]]="Nominal", Table_TRM_Fixtures[[#This Row],[Fixture Watts  (TRM Data)]], Table_TRM_Fixtures[[#This Row],[Modified Baseline Fixture Watts]])</f>
        <v>52</v>
      </c>
    </row>
    <row r="812" spans="1:27" x14ac:dyDescent="0.2">
      <c r="A812" t="s">
        <v>1411</v>
      </c>
      <c r="B812" t="s">
        <v>5573</v>
      </c>
      <c r="C812" t="s">
        <v>1410</v>
      </c>
      <c r="D812" t="s">
        <v>5576</v>
      </c>
      <c r="E812" t="s">
        <v>1386</v>
      </c>
      <c r="F812">
        <v>3</v>
      </c>
      <c r="G812">
        <v>24</v>
      </c>
      <c r="H812">
        <v>79</v>
      </c>
      <c r="I812">
        <v>15.5</v>
      </c>
      <c r="J812" s="110">
        <v>810</v>
      </c>
      <c r="K812" t="s">
        <v>1380</v>
      </c>
      <c r="L812">
        <f>IF(Table_TRM_Fixtures[[#This Row],[Technology]]="LED", Table_TRM_Fixtures[[#This Row],[Fixture Watts  (TRM Data)]], Table_TRM_Fixtures[[#This Row],[Lamp Watts  (TRM Data)]])</f>
        <v>24</v>
      </c>
      <c r="M812">
        <f>Table_TRM_Fixtures[[#This Row],[No. of Lamps  (TRM Data)]]</f>
        <v>3</v>
      </c>
      <c r="N812">
        <v>22</v>
      </c>
      <c r="O812" t="s">
        <v>1405</v>
      </c>
      <c r="P812" t="s">
        <v>187</v>
      </c>
      <c r="Q812" t="s">
        <v>5566</v>
      </c>
      <c r="R812" t="str">
        <f>_xlfn.CONCAT(Table_TRM_Fixtures[[#This Row],[Technology]], ", ", Table_TRM_Fixtures[[#This Row],[Ballast Code]], " Ballast")</f>
        <v>T5, Electronic HLO Ballast</v>
      </c>
      <c r="S812" t="str">
        <f>Table_TRM_Fixtures[[#This Row],[Description  (TRM Data)]]</f>
        <v>Fluorescent (3) 22" (563mm)T-5 HO lamps; (2) Prog.Start or PRS Ballasts, HLO (.95 &lt; BF &lt; 1.1)</v>
      </c>
      <c r="T812" t="str">
        <f>Table_TRM_Fixtures[[#This Row],[Fixture code  (TRM Data)]]</f>
        <v>F23GPHL/2-H</v>
      </c>
      <c r="U812" t="s">
        <v>2882</v>
      </c>
      <c r="V812" t="s">
        <v>186</v>
      </c>
      <c r="W812" t="s">
        <v>3120</v>
      </c>
      <c r="X812" t="s">
        <v>186</v>
      </c>
      <c r="Y812" t="str">
        <f>_xlfn.CONCAT(Table_TRM_Fixtures[[#This Row],[Combined Lighting/Ballast Types]],":",Table_TRM_Fixtures[[#This Row],[No. of Lamps]], ":", Table_TRM_Fixtures[[#This Row],[Lamp Watts  (TRM Data)]])</f>
        <v>T5, Electronic HLO Ballast:3:24</v>
      </c>
      <c r="Z812"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T5:3:24</v>
      </c>
      <c r="AA812">
        <f>IF(Table_TRM_Fixtures[[#This Row],[Pre-EISA Baseline]]="Nominal", Table_TRM_Fixtures[[#This Row],[Fixture Watts  (TRM Data)]], Table_TRM_Fixtures[[#This Row],[Modified Baseline Fixture Watts]])</f>
        <v>79</v>
      </c>
    </row>
    <row r="813" spans="1:27" x14ac:dyDescent="0.2">
      <c r="A813" t="s">
        <v>1413</v>
      </c>
      <c r="B813" t="s">
        <v>5573</v>
      </c>
      <c r="C813" t="s">
        <v>1412</v>
      </c>
      <c r="D813" t="s">
        <v>5577</v>
      </c>
      <c r="E813" t="s">
        <v>1386</v>
      </c>
      <c r="F813">
        <v>4</v>
      </c>
      <c r="G813">
        <v>24</v>
      </c>
      <c r="H813">
        <v>104</v>
      </c>
      <c r="I813">
        <v>15.5</v>
      </c>
      <c r="J813" s="110">
        <v>811</v>
      </c>
      <c r="K813" t="s">
        <v>1380</v>
      </c>
      <c r="L813">
        <f>IF(Table_TRM_Fixtures[[#This Row],[Technology]]="LED", Table_TRM_Fixtures[[#This Row],[Fixture Watts  (TRM Data)]], Table_TRM_Fixtures[[#This Row],[Lamp Watts  (TRM Data)]])</f>
        <v>24</v>
      </c>
      <c r="M813">
        <f>Table_TRM_Fixtures[[#This Row],[No. of Lamps  (TRM Data)]]</f>
        <v>4</v>
      </c>
      <c r="N813">
        <v>22</v>
      </c>
      <c r="O813" t="s">
        <v>1405</v>
      </c>
      <c r="P813" t="s">
        <v>187</v>
      </c>
      <c r="Q813" t="s">
        <v>5566</v>
      </c>
      <c r="R813" t="str">
        <f>_xlfn.CONCAT(Table_TRM_Fixtures[[#This Row],[Technology]], ", ", Table_TRM_Fixtures[[#This Row],[Ballast Code]], " Ballast")</f>
        <v>T5, Electronic HLO Ballast</v>
      </c>
      <c r="S813" t="str">
        <f>Table_TRM_Fixtures[[#This Row],[Description  (TRM Data)]]</f>
        <v>Fluorescent (4) 22" (563mm)T-5 HO lamps; (2) Prog.Start or PRS Ballasts, HLO (.95 &lt; BF &lt; 1.1)</v>
      </c>
      <c r="T813" t="str">
        <f>Table_TRM_Fixtures[[#This Row],[Fixture code  (TRM Data)]]</f>
        <v>F24GPHL/2-H</v>
      </c>
      <c r="U813" t="s">
        <v>2882</v>
      </c>
      <c r="V813" t="s">
        <v>186</v>
      </c>
      <c r="W813" t="s">
        <v>3120</v>
      </c>
      <c r="X813" t="s">
        <v>186</v>
      </c>
      <c r="Y813" t="str">
        <f>_xlfn.CONCAT(Table_TRM_Fixtures[[#This Row],[Combined Lighting/Ballast Types]],":",Table_TRM_Fixtures[[#This Row],[No. of Lamps]], ":", Table_TRM_Fixtures[[#This Row],[Lamp Watts  (TRM Data)]])</f>
        <v>T5, Electronic HLO Ballast:4:24</v>
      </c>
      <c r="Z813"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T5:4:24</v>
      </c>
      <c r="AA813">
        <f>IF(Table_TRM_Fixtures[[#This Row],[Pre-EISA Baseline]]="Nominal", Table_TRM_Fixtures[[#This Row],[Fixture Watts  (TRM Data)]], Table_TRM_Fixtures[[#This Row],[Modified Baseline Fixture Watts]])</f>
        <v>104</v>
      </c>
    </row>
    <row r="814" spans="1:27" x14ac:dyDescent="0.2">
      <c r="A814" t="s">
        <v>1415</v>
      </c>
      <c r="B814" t="s">
        <v>5573</v>
      </c>
      <c r="C814" t="s">
        <v>1414</v>
      </c>
      <c r="D814" t="s">
        <v>5578</v>
      </c>
      <c r="E814" t="s">
        <v>1386</v>
      </c>
      <c r="F814">
        <v>6</v>
      </c>
      <c r="G814">
        <v>24</v>
      </c>
      <c r="H814">
        <v>156</v>
      </c>
      <c r="I814">
        <v>15.5</v>
      </c>
      <c r="J814" s="110">
        <v>812</v>
      </c>
      <c r="K814" t="s">
        <v>1380</v>
      </c>
      <c r="L814">
        <f>IF(Table_TRM_Fixtures[[#This Row],[Technology]]="LED", Table_TRM_Fixtures[[#This Row],[Fixture Watts  (TRM Data)]], Table_TRM_Fixtures[[#This Row],[Lamp Watts  (TRM Data)]])</f>
        <v>24</v>
      </c>
      <c r="M814">
        <f>Table_TRM_Fixtures[[#This Row],[No. of Lamps  (TRM Data)]]</f>
        <v>6</v>
      </c>
      <c r="N814">
        <v>22</v>
      </c>
      <c r="O814" t="s">
        <v>1405</v>
      </c>
      <c r="P814" t="s">
        <v>187</v>
      </c>
      <c r="Q814" t="s">
        <v>5566</v>
      </c>
      <c r="R814" t="str">
        <f>_xlfn.CONCAT(Table_TRM_Fixtures[[#This Row],[Technology]], ", ", Table_TRM_Fixtures[[#This Row],[Ballast Code]], " Ballast")</f>
        <v>T5, Electronic HLO Ballast</v>
      </c>
      <c r="S814" t="str">
        <f>Table_TRM_Fixtures[[#This Row],[Description  (TRM Data)]]</f>
        <v>Fluorescent (4) 22" (563mm) T-5 HO lamps; (3) Prog.Start or PRS Ballasts, HLO (.95 &lt; BF &lt; 1.1)</v>
      </c>
      <c r="T814" t="str">
        <f>Table_TRM_Fixtures[[#This Row],[Fixture code  (TRM Data)]]</f>
        <v>F26GPHL/3-H</v>
      </c>
      <c r="U814" t="s">
        <v>2882</v>
      </c>
      <c r="V814" t="s">
        <v>186</v>
      </c>
      <c r="W814" t="s">
        <v>3120</v>
      </c>
      <c r="X814" t="s">
        <v>186</v>
      </c>
      <c r="Y814" t="str">
        <f>_xlfn.CONCAT(Table_TRM_Fixtures[[#This Row],[Combined Lighting/Ballast Types]],":",Table_TRM_Fixtures[[#This Row],[No. of Lamps]], ":", Table_TRM_Fixtures[[#This Row],[Lamp Watts  (TRM Data)]])</f>
        <v>T5, Electronic HLO Ballast:6:24</v>
      </c>
      <c r="Z814"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T5:6:24</v>
      </c>
      <c r="AA814">
        <f>IF(Table_TRM_Fixtures[[#This Row],[Pre-EISA Baseline]]="Nominal", Table_TRM_Fixtures[[#This Row],[Fixture Watts  (TRM Data)]], Table_TRM_Fixtures[[#This Row],[Modified Baseline Fixture Watts]])</f>
        <v>156</v>
      </c>
    </row>
    <row r="815" spans="1:27" x14ac:dyDescent="0.2">
      <c r="A815" t="s">
        <v>1417</v>
      </c>
      <c r="B815" t="s">
        <v>5579</v>
      </c>
      <c r="C815" t="s">
        <v>1416</v>
      </c>
      <c r="D815" t="s">
        <v>5580</v>
      </c>
      <c r="E815" t="s">
        <v>1386</v>
      </c>
      <c r="F815">
        <v>1</v>
      </c>
      <c r="G815">
        <v>28</v>
      </c>
      <c r="H815">
        <v>33</v>
      </c>
      <c r="I815">
        <v>15.5</v>
      </c>
      <c r="J815" s="110">
        <v>813</v>
      </c>
      <c r="K815" t="s">
        <v>1380</v>
      </c>
      <c r="L815">
        <f>IF(Table_TRM_Fixtures[[#This Row],[Technology]]="LED", Table_TRM_Fixtures[[#This Row],[Fixture Watts  (TRM Data)]], Table_TRM_Fixtures[[#This Row],[Lamp Watts  (TRM Data)]])</f>
        <v>28</v>
      </c>
      <c r="M815">
        <f>Table_TRM_Fixtures[[#This Row],[No. of Lamps  (TRM Data)]]</f>
        <v>1</v>
      </c>
      <c r="N815">
        <v>45.8</v>
      </c>
      <c r="O815" t="s">
        <v>1381</v>
      </c>
      <c r="P815" t="s">
        <v>187</v>
      </c>
      <c r="Q815" t="s">
        <v>5566</v>
      </c>
      <c r="R815" t="str">
        <f>_xlfn.CONCAT(Table_TRM_Fixtures[[#This Row],[Technology]], ", ", Table_TRM_Fixtures[[#This Row],[Ballast Code]], " Ballast")</f>
        <v>T5, Electronic HLO Ballast</v>
      </c>
      <c r="S815" t="str">
        <f>Table_TRM_Fixtures[[#This Row],[Description  (TRM Data)]]</f>
        <v>Fluorescent (1) 45.8" (1163mm) T-5 lamp; (1) PRS Electronic Ballast, HLO (.95 &lt; BF &lt; 1.1)</v>
      </c>
      <c r="T815" t="str">
        <f>Table_TRM_Fixtures[[#This Row],[Fixture code  (TRM Data)]]</f>
        <v>F41GPL-H</v>
      </c>
      <c r="U815" t="s">
        <v>2882</v>
      </c>
      <c r="V815" t="s">
        <v>186</v>
      </c>
      <c r="W815" t="s">
        <v>3120</v>
      </c>
      <c r="X815" t="s">
        <v>186</v>
      </c>
      <c r="Y815" t="str">
        <f>_xlfn.CONCAT(Table_TRM_Fixtures[[#This Row],[Combined Lighting/Ballast Types]],":",Table_TRM_Fixtures[[#This Row],[No. of Lamps]], ":", Table_TRM_Fixtures[[#This Row],[Lamp Watts  (TRM Data)]])</f>
        <v>T5, Electronic HLO Ballast:1:28</v>
      </c>
      <c r="Z815"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T5:1:28</v>
      </c>
      <c r="AA815">
        <f>IF(Table_TRM_Fixtures[[#This Row],[Pre-EISA Baseline]]="Nominal", Table_TRM_Fixtures[[#This Row],[Fixture Watts  (TRM Data)]], Table_TRM_Fixtures[[#This Row],[Modified Baseline Fixture Watts]])</f>
        <v>33</v>
      </c>
    </row>
    <row r="816" spans="1:27" x14ac:dyDescent="0.2">
      <c r="A816" t="s">
        <v>1419</v>
      </c>
      <c r="B816" t="s">
        <v>5579</v>
      </c>
      <c r="C816" t="s">
        <v>1418</v>
      </c>
      <c r="D816" t="s">
        <v>5580</v>
      </c>
      <c r="E816" t="s">
        <v>1386</v>
      </c>
      <c r="F816">
        <v>1</v>
      </c>
      <c r="G816">
        <v>28</v>
      </c>
      <c r="H816">
        <v>32</v>
      </c>
      <c r="I816">
        <v>15.5</v>
      </c>
      <c r="J816" s="110">
        <v>814</v>
      </c>
      <c r="K816" t="s">
        <v>1380</v>
      </c>
      <c r="L816">
        <f>IF(Table_TRM_Fixtures[[#This Row],[Technology]]="LED", Table_TRM_Fixtures[[#This Row],[Fixture Watts  (TRM Data)]], Table_TRM_Fixtures[[#This Row],[Lamp Watts  (TRM Data)]])</f>
        <v>28</v>
      </c>
      <c r="M816">
        <f>Table_TRM_Fixtures[[#This Row],[No. of Lamps  (TRM Data)]]</f>
        <v>1</v>
      </c>
      <c r="N816">
        <v>45.8</v>
      </c>
      <c r="O816" t="s">
        <v>1381</v>
      </c>
      <c r="P816" t="s">
        <v>187</v>
      </c>
      <c r="Q816" t="s">
        <v>5566</v>
      </c>
      <c r="R816" t="str">
        <f>_xlfn.CONCAT(Table_TRM_Fixtures[[#This Row],[Technology]], ", ", Table_TRM_Fixtures[[#This Row],[Ballast Code]], " Ballast")</f>
        <v>T5, Electronic HLO Ballast</v>
      </c>
      <c r="S816" t="str">
        <f>Table_TRM_Fixtures[[#This Row],[Description  (TRM Data)]]</f>
        <v>Fluorescent (1) 45.8" (1163mm) T-5 lamp; Tandem 2-lamp PRS Ballast,HLO (.95 &lt; BF &lt; 1.1)</v>
      </c>
      <c r="T816" t="str">
        <f>Table_TRM_Fixtures[[#This Row],[Fixture code  (TRM Data)]]</f>
        <v>F41GPL/T2-H</v>
      </c>
      <c r="U816" t="s">
        <v>2882</v>
      </c>
      <c r="V816" t="s">
        <v>186</v>
      </c>
      <c r="W816" t="s">
        <v>3120</v>
      </c>
      <c r="X816" t="s">
        <v>186</v>
      </c>
      <c r="Y816" t="s">
        <v>4815</v>
      </c>
      <c r="Z816" t="s">
        <v>4815</v>
      </c>
      <c r="AA816">
        <f>IF(Table_TRM_Fixtures[[#This Row],[Pre-EISA Baseline]]="Nominal", Table_TRM_Fixtures[[#This Row],[Fixture Watts  (TRM Data)]], Table_TRM_Fixtures[[#This Row],[Modified Baseline Fixture Watts]])</f>
        <v>32</v>
      </c>
    </row>
    <row r="817" spans="1:27" x14ac:dyDescent="0.2">
      <c r="A817" t="s">
        <v>1421</v>
      </c>
      <c r="B817" t="s">
        <v>5579</v>
      </c>
      <c r="C817" t="s">
        <v>1420</v>
      </c>
      <c r="D817" t="s">
        <v>5581</v>
      </c>
      <c r="E817" t="s">
        <v>1386</v>
      </c>
      <c r="F817">
        <v>2</v>
      </c>
      <c r="G817">
        <v>28</v>
      </c>
      <c r="H817">
        <v>63</v>
      </c>
      <c r="I817">
        <v>15.5</v>
      </c>
      <c r="J817" s="110">
        <v>815</v>
      </c>
      <c r="K817" t="s">
        <v>1380</v>
      </c>
      <c r="L817">
        <f>IF(Table_TRM_Fixtures[[#This Row],[Technology]]="LED", Table_TRM_Fixtures[[#This Row],[Fixture Watts  (TRM Data)]], Table_TRM_Fixtures[[#This Row],[Lamp Watts  (TRM Data)]])</f>
        <v>28</v>
      </c>
      <c r="M817">
        <f>Table_TRM_Fixtures[[#This Row],[No. of Lamps  (TRM Data)]]</f>
        <v>2</v>
      </c>
      <c r="N817">
        <v>45.8</v>
      </c>
      <c r="O817" t="s">
        <v>1381</v>
      </c>
      <c r="P817" t="s">
        <v>187</v>
      </c>
      <c r="Q817" t="s">
        <v>5566</v>
      </c>
      <c r="R817" t="str">
        <f>_xlfn.CONCAT(Table_TRM_Fixtures[[#This Row],[Technology]], ", ", Table_TRM_Fixtures[[#This Row],[Ballast Code]], " Ballast")</f>
        <v>T5, Electronic HLO Ballast</v>
      </c>
      <c r="S817" t="str">
        <f>Table_TRM_Fixtures[[#This Row],[Description  (TRM Data)]]</f>
        <v>Fluorescent (2) 45.8" (1163mm) T-5 lamps; (1) PRS Electronic Ballast, HLO (.95 &lt; BF &lt; 1.1)</v>
      </c>
      <c r="T817" t="str">
        <f>Table_TRM_Fixtures[[#This Row],[Fixture code  (TRM Data)]]</f>
        <v>F42GPL-H</v>
      </c>
      <c r="U817" t="s">
        <v>2882</v>
      </c>
      <c r="V817" t="s">
        <v>186</v>
      </c>
      <c r="W817" t="s">
        <v>3120</v>
      </c>
      <c r="X817" t="s">
        <v>186</v>
      </c>
      <c r="Y817" t="str">
        <f>_xlfn.CONCAT(Table_TRM_Fixtures[[#This Row],[Combined Lighting/Ballast Types]],":",Table_TRM_Fixtures[[#This Row],[No. of Lamps]], ":", Table_TRM_Fixtures[[#This Row],[Lamp Watts  (TRM Data)]])</f>
        <v>T5, Electronic HLO Ballast:2:28</v>
      </c>
      <c r="Z817"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T5:2:28</v>
      </c>
      <c r="AA817">
        <f>IF(Table_TRM_Fixtures[[#This Row],[Pre-EISA Baseline]]="Nominal", Table_TRM_Fixtures[[#This Row],[Fixture Watts  (TRM Data)]], Table_TRM_Fixtures[[#This Row],[Modified Baseline Fixture Watts]])</f>
        <v>63</v>
      </c>
    </row>
    <row r="818" spans="1:27" x14ac:dyDescent="0.2">
      <c r="A818" t="s">
        <v>1423</v>
      </c>
      <c r="B818" t="s">
        <v>5579</v>
      </c>
      <c r="C818" t="s">
        <v>1422</v>
      </c>
      <c r="D818" t="s">
        <v>5582</v>
      </c>
      <c r="E818" t="s">
        <v>1386</v>
      </c>
      <c r="F818">
        <v>3</v>
      </c>
      <c r="G818">
        <v>28</v>
      </c>
      <c r="H818">
        <v>96</v>
      </c>
      <c r="I818">
        <v>15.5</v>
      </c>
      <c r="J818" s="110">
        <v>816</v>
      </c>
      <c r="K818" t="s">
        <v>1380</v>
      </c>
      <c r="L818">
        <f>IF(Table_TRM_Fixtures[[#This Row],[Technology]]="LED", Table_TRM_Fixtures[[#This Row],[Fixture Watts  (TRM Data)]], Table_TRM_Fixtures[[#This Row],[Lamp Watts  (TRM Data)]])</f>
        <v>28</v>
      </c>
      <c r="M818">
        <f>Table_TRM_Fixtures[[#This Row],[No. of Lamps  (TRM Data)]]</f>
        <v>3</v>
      </c>
      <c r="N818">
        <v>45.8</v>
      </c>
      <c r="O818" t="s">
        <v>1381</v>
      </c>
      <c r="P818" t="s">
        <v>187</v>
      </c>
      <c r="Q818" t="s">
        <v>5566</v>
      </c>
      <c r="R818" t="str">
        <f>_xlfn.CONCAT(Table_TRM_Fixtures[[#This Row],[Technology]], ", ", Table_TRM_Fixtures[[#This Row],[Ballast Code]], " Ballast")</f>
        <v>T5, Electronic HLO Ballast</v>
      </c>
      <c r="S818" t="str">
        <f>Table_TRM_Fixtures[[#This Row],[Description  (TRM Data)]]</f>
        <v>Fluorescent (3) 45.8" (1163mm)T-5 lamps; (2) PRS Electronic Ballasts, HLO (.95 &lt; BF &lt; 1.1)</v>
      </c>
      <c r="T818" t="str">
        <f>Table_TRM_Fixtures[[#This Row],[Fixture code  (TRM Data)]]</f>
        <v>F43GPL/2-H</v>
      </c>
      <c r="U818" t="s">
        <v>2882</v>
      </c>
      <c r="V818" t="s">
        <v>186</v>
      </c>
      <c r="W818" t="s">
        <v>3120</v>
      </c>
      <c r="X818" t="s">
        <v>186</v>
      </c>
      <c r="Y818" t="str">
        <f>_xlfn.CONCAT(Table_TRM_Fixtures[[#This Row],[Combined Lighting/Ballast Types]],":",Table_TRM_Fixtures[[#This Row],[No. of Lamps]], ":", Table_TRM_Fixtures[[#This Row],[Lamp Watts  (TRM Data)]])</f>
        <v>T5, Electronic HLO Ballast:3:28</v>
      </c>
      <c r="Z818"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T5:3:28</v>
      </c>
      <c r="AA818">
        <f>IF(Table_TRM_Fixtures[[#This Row],[Pre-EISA Baseline]]="Nominal", Table_TRM_Fixtures[[#This Row],[Fixture Watts  (TRM Data)]], Table_TRM_Fixtures[[#This Row],[Modified Baseline Fixture Watts]])</f>
        <v>96</v>
      </c>
    </row>
    <row r="819" spans="1:27" x14ac:dyDescent="0.2">
      <c r="A819" t="s">
        <v>1425</v>
      </c>
      <c r="B819" t="s">
        <v>5579</v>
      </c>
      <c r="C819" t="s">
        <v>1424</v>
      </c>
      <c r="D819" t="s">
        <v>5583</v>
      </c>
      <c r="E819" t="s">
        <v>1386</v>
      </c>
      <c r="F819">
        <v>4</v>
      </c>
      <c r="G819">
        <v>28</v>
      </c>
      <c r="H819">
        <v>126</v>
      </c>
      <c r="I819">
        <v>15.5</v>
      </c>
      <c r="J819" s="110">
        <v>817</v>
      </c>
      <c r="K819" t="s">
        <v>1380</v>
      </c>
      <c r="L819">
        <f>IF(Table_TRM_Fixtures[[#This Row],[Technology]]="LED", Table_TRM_Fixtures[[#This Row],[Fixture Watts  (TRM Data)]], Table_TRM_Fixtures[[#This Row],[Lamp Watts  (TRM Data)]])</f>
        <v>28</v>
      </c>
      <c r="M819">
        <f>Table_TRM_Fixtures[[#This Row],[No. of Lamps  (TRM Data)]]</f>
        <v>4</v>
      </c>
      <c r="N819">
        <v>45.8</v>
      </c>
      <c r="O819" t="s">
        <v>1381</v>
      </c>
      <c r="P819" t="s">
        <v>187</v>
      </c>
      <c r="Q819" t="s">
        <v>5566</v>
      </c>
      <c r="R819" t="str">
        <f>_xlfn.CONCAT(Table_TRM_Fixtures[[#This Row],[Technology]], ", ", Table_TRM_Fixtures[[#This Row],[Ballast Code]], " Ballast")</f>
        <v>T5, Electronic HLO Ballast</v>
      </c>
      <c r="S819" t="str">
        <f>Table_TRM_Fixtures[[#This Row],[Description  (TRM Data)]]</f>
        <v>Fluorescent (4) 45.8" (1163mm)T-5 lamps; (2) PRS Electronic Ballasts, HLO (.95 &lt; BF &lt; 1.1)</v>
      </c>
      <c r="T819" t="str">
        <f>Table_TRM_Fixtures[[#This Row],[Fixture code  (TRM Data)]]</f>
        <v>F44GPL/2-H</v>
      </c>
      <c r="U819" t="s">
        <v>2882</v>
      </c>
      <c r="V819" t="s">
        <v>186</v>
      </c>
      <c r="W819" t="s">
        <v>3120</v>
      </c>
      <c r="X819" t="s">
        <v>186</v>
      </c>
      <c r="Y819" t="str">
        <f>_xlfn.CONCAT(Table_TRM_Fixtures[[#This Row],[Combined Lighting/Ballast Types]],":",Table_TRM_Fixtures[[#This Row],[No. of Lamps]], ":", Table_TRM_Fixtures[[#This Row],[Lamp Watts  (TRM Data)]])</f>
        <v>T5, Electronic HLO Ballast:4:28</v>
      </c>
      <c r="Z819"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T5:4:28</v>
      </c>
      <c r="AA819">
        <f>IF(Table_TRM_Fixtures[[#This Row],[Pre-EISA Baseline]]="Nominal", Table_TRM_Fixtures[[#This Row],[Fixture Watts  (TRM Data)]], Table_TRM_Fixtures[[#This Row],[Modified Baseline Fixture Watts]])</f>
        <v>126</v>
      </c>
    </row>
    <row r="820" spans="1:27" x14ac:dyDescent="0.2">
      <c r="A820" t="s">
        <v>1427</v>
      </c>
      <c r="B820" t="s">
        <v>5584</v>
      </c>
      <c r="C820" t="s">
        <v>1426</v>
      </c>
      <c r="D820" t="s">
        <v>5585</v>
      </c>
      <c r="E820" t="s">
        <v>1386</v>
      </c>
      <c r="F820">
        <v>1</v>
      </c>
      <c r="G820">
        <v>35</v>
      </c>
      <c r="H820">
        <v>40</v>
      </c>
      <c r="I820">
        <v>15.5</v>
      </c>
      <c r="J820" s="110">
        <v>818</v>
      </c>
      <c r="K820" t="s">
        <v>1380</v>
      </c>
      <c r="L820">
        <f>IF(Table_TRM_Fixtures[[#This Row],[Technology]]="LED", Table_TRM_Fixtures[[#This Row],[Fixture Watts  (TRM Data)]], Table_TRM_Fixtures[[#This Row],[Lamp Watts  (TRM Data)]])</f>
        <v>35</v>
      </c>
      <c r="M820">
        <f>Table_TRM_Fixtures[[#This Row],[No. of Lamps  (TRM Data)]]</f>
        <v>1</v>
      </c>
      <c r="N820">
        <v>57.6</v>
      </c>
      <c r="O820" t="s">
        <v>1381</v>
      </c>
      <c r="P820" t="s">
        <v>187</v>
      </c>
      <c r="Q820" t="s">
        <v>5566</v>
      </c>
      <c r="R820" t="str">
        <f>_xlfn.CONCAT(Table_TRM_Fixtures[[#This Row],[Technology]], " ", Table_TRM_Fixtures[[#This Row],[Ballast Code]], " Ballast")</f>
        <v>T5 Electronic HLO Ballast</v>
      </c>
      <c r="S820" t="str">
        <f>Table_TRM_Fixtures[[#This Row],[Description  (TRM Data)]]</f>
        <v>Fluorescent (1) 57.6" (1463mm) T-5 lamp; (1) Prog.Start or PRS Ballast, HLO (.95 &lt; BF &lt; 1.1)</v>
      </c>
      <c r="T820" t="str">
        <f>Table_TRM_Fixtures[[#This Row],[Fixture code  (TRM Data)]]</f>
        <v>F51GPL-H</v>
      </c>
      <c r="U820" t="s">
        <v>2883</v>
      </c>
      <c r="V820" t="s">
        <v>5562</v>
      </c>
      <c r="W820" t="s">
        <v>3120</v>
      </c>
      <c r="X820" t="s">
        <v>186</v>
      </c>
      <c r="AA820">
        <f>IF(Table_TRM_Fixtures[[#This Row],[Pre-EISA Baseline]]="Nominal", Table_TRM_Fixtures[[#This Row],[Fixture Watts  (TRM Data)]], Table_TRM_Fixtures[[#This Row],[Modified Baseline Fixture Watts]])</f>
        <v>40</v>
      </c>
    </row>
    <row r="821" spans="1:27" x14ac:dyDescent="0.2">
      <c r="A821" t="s">
        <v>1429</v>
      </c>
      <c r="B821" t="s">
        <v>5584</v>
      </c>
      <c r="C821" t="s">
        <v>1428</v>
      </c>
      <c r="D821" t="s">
        <v>5586</v>
      </c>
      <c r="E821" t="s">
        <v>1386</v>
      </c>
      <c r="F821">
        <v>2</v>
      </c>
      <c r="G821">
        <v>35</v>
      </c>
      <c r="H821">
        <v>78</v>
      </c>
      <c r="I821">
        <v>15.5</v>
      </c>
      <c r="J821" s="110">
        <v>819</v>
      </c>
      <c r="K821" t="s">
        <v>1380</v>
      </c>
      <c r="L821">
        <f>IF(Table_TRM_Fixtures[[#This Row],[Technology]]="LED", Table_TRM_Fixtures[[#This Row],[Fixture Watts  (TRM Data)]], Table_TRM_Fixtures[[#This Row],[Lamp Watts  (TRM Data)]])</f>
        <v>35</v>
      </c>
      <c r="M821">
        <f>Table_TRM_Fixtures[[#This Row],[No. of Lamps  (TRM Data)]]</f>
        <v>2</v>
      </c>
      <c r="N821">
        <v>57.6</v>
      </c>
      <c r="O821" t="s">
        <v>1381</v>
      </c>
      <c r="P821" t="s">
        <v>187</v>
      </c>
      <c r="Q821" t="s">
        <v>5566</v>
      </c>
      <c r="R821" t="str">
        <f>_xlfn.CONCAT(Table_TRM_Fixtures[[#This Row],[Technology]], " ", Table_TRM_Fixtures[[#This Row],[Ballast Code]], " Ballast")</f>
        <v>T5 Electronic HLO Ballast</v>
      </c>
      <c r="S821" t="str">
        <f>Table_TRM_Fixtures[[#This Row],[Description  (TRM Data)]]</f>
        <v>Fluorescent (2) 57.6" (1463mm) T-5 lamps; (1) Prog.Start or PRS Ballast, HLO (.95 &lt; BF &lt; 1.1)</v>
      </c>
      <c r="T821" t="str">
        <f>Table_TRM_Fixtures[[#This Row],[Fixture code  (TRM Data)]]</f>
        <v>F52GPL-H</v>
      </c>
      <c r="U821" t="s">
        <v>2883</v>
      </c>
      <c r="V821" t="s">
        <v>5562</v>
      </c>
      <c r="W821" t="s">
        <v>3120</v>
      </c>
      <c r="X821" t="s">
        <v>186</v>
      </c>
      <c r="AA821">
        <f>IF(Table_TRM_Fixtures[[#This Row],[Pre-EISA Baseline]]="Nominal", Table_TRM_Fixtures[[#This Row],[Fixture Watts  (TRM Data)]], Table_TRM_Fixtures[[#This Row],[Modified Baseline Fixture Watts]])</f>
        <v>78</v>
      </c>
    </row>
    <row r="822" spans="1:27" x14ac:dyDescent="0.2">
      <c r="A822" t="s">
        <v>1431</v>
      </c>
      <c r="B822" t="s">
        <v>5584</v>
      </c>
      <c r="C822" t="s">
        <v>1430</v>
      </c>
      <c r="D822" t="s">
        <v>5587</v>
      </c>
      <c r="E822" t="s">
        <v>1386</v>
      </c>
      <c r="F822">
        <v>3</v>
      </c>
      <c r="G822">
        <v>35</v>
      </c>
      <c r="H822">
        <v>118</v>
      </c>
      <c r="I822">
        <v>15.5</v>
      </c>
      <c r="J822" s="110">
        <v>820</v>
      </c>
      <c r="K822" t="s">
        <v>1380</v>
      </c>
      <c r="L822">
        <f>IF(Table_TRM_Fixtures[[#This Row],[Technology]]="LED", Table_TRM_Fixtures[[#This Row],[Fixture Watts  (TRM Data)]], Table_TRM_Fixtures[[#This Row],[Lamp Watts  (TRM Data)]])</f>
        <v>35</v>
      </c>
      <c r="M822">
        <f>Table_TRM_Fixtures[[#This Row],[No. of Lamps  (TRM Data)]]</f>
        <v>3</v>
      </c>
      <c r="N822">
        <v>57.6</v>
      </c>
      <c r="O822" t="s">
        <v>1381</v>
      </c>
      <c r="P822" t="s">
        <v>187</v>
      </c>
      <c r="Q822" t="s">
        <v>5566</v>
      </c>
      <c r="R822" t="str">
        <f>_xlfn.CONCAT(Table_TRM_Fixtures[[#This Row],[Technology]], " ", Table_TRM_Fixtures[[#This Row],[Ballast Code]], " Ballast")</f>
        <v>T5 Electronic HLO Ballast</v>
      </c>
      <c r="S822" t="str">
        <f>Table_TRM_Fixtures[[#This Row],[Description  (TRM Data)]]</f>
        <v>Fluorescent (3) 57.6" (1463mm)T-5 lamps; (2) Prog.Start or PRS Ballasts, HLO (.95 &lt; BF &lt; 1.1)</v>
      </c>
      <c r="T822" t="str">
        <f>Table_TRM_Fixtures[[#This Row],[Fixture code  (TRM Data)]]</f>
        <v>F53GPL/2-H</v>
      </c>
      <c r="U822" t="s">
        <v>2883</v>
      </c>
      <c r="V822" t="s">
        <v>5562</v>
      </c>
      <c r="W822" t="s">
        <v>3120</v>
      </c>
      <c r="X822" t="s">
        <v>186</v>
      </c>
      <c r="AA822">
        <f>IF(Table_TRM_Fixtures[[#This Row],[Pre-EISA Baseline]]="Nominal", Table_TRM_Fixtures[[#This Row],[Fixture Watts  (TRM Data)]], Table_TRM_Fixtures[[#This Row],[Modified Baseline Fixture Watts]])</f>
        <v>118</v>
      </c>
    </row>
    <row r="823" spans="1:27" x14ac:dyDescent="0.2">
      <c r="A823" t="s">
        <v>1433</v>
      </c>
      <c r="B823" t="s">
        <v>5584</v>
      </c>
      <c r="C823" t="s">
        <v>1432</v>
      </c>
      <c r="D823" t="s">
        <v>5588</v>
      </c>
      <c r="E823" t="s">
        <v>1386</v>
      </c>
      <c r="F823">
        <v>4</v>
      </c>
      <c r="G823">
        <v>35</v>
      </c>
      <c r="H823">
        <v>156</v>
      </c>
      <c r="I823">
        <v>15.5</v>
      </c>
      <c r="J823" s="110">
        <v>821</v>
      </c>
      <c r="K823" t="s">
        <v>1380</v>
      </c>
      <c r="L823">
        <f>IF(Table_TRM_Fixtures[[#This Row],[Technology]]="LED", Table_TRM_Fixtures[[#This Row],[Fixture Watts  (TRM Data)]], Table_TRM_Fixtures[[#This Row],[Lamp Watts  (TRM Data)]])</f>
        <v>35</v>
      </c>
      <c r="M823">
        <f>Table_TRM_Fixtures[[#This Row],[No. of Lamps  (TRM Data)]]</f>
        <v>4</v>
      </c>
      <c r="N823">
        <v>57.6</v>
      </c>
      <c r="O823" t="s">
        <v>1381</v>
      </c>
      <c r="P823" t="s">
        <v>187</v>
      </c>
      <c r="Q823" t="s">
        <v>5566</v>
      </c>
      <c r="R823" t="str">
        <f>_xlfn.CONCAT(Table_TRM_Fixtures[[#This Row],[Technology]], " ", Table_TRM_Fixtures[[#This Row],[Ballast Code]], " Ballast")</f>
        <v>T5 Electronic HLO Ballast</v>
      </c>
      <c r="S823" t="str">
        <f>Table_TRM_Fixtures[[#This Row],[Description  (TRM Data)]]</f>
        <v>Fluorescent (4) 57.6" (1463mm)T-5 lamps; (2) Prog.Start or PRS Ballasts, HLO (.95 &lt; BF &lt; 1.1)</v>
      </c>
      <c r="T823" t="str">
        <f>Table_TRM_Fixtures[[#This Row],[Fixture code  (TRM Data)]]</f>
        <v>F54GPL/2-H</v>
      </c>
      <c r="U823" t="s">
        <v>2883</v>
      </c>
      <c r="V823" t="s">
        <v>5562</v>
      </c>
      <c r="W823" t="s">
        <v>3120</v>
      </c>
      <c r="X823" t="s">
        <v>186</v>
      </c>
      <c r="AA823">
        <f>IF(Table_TRM_Fixtures[[#This Row],[Pre-EISA Baseline]]="Nominal", Table_TRM_Fixtures[[#This Row],[Fixture Watts  (TRM Data)]], Table_TRM_Fixtures[[#This Row],[Modified Baseline Fixture Watts]])</f>
        <v>156</v>
      </c>
    </row>
    <row r="824" spans="1:27" x14ac:dyDescent="0.2">
      <c r="A824" t="s">
        <v>1435</v>
      </c>
      <c r="B824" t="s">
        <v>5589</v>
      </c>
      <c r="C824" t="s">
        <v>1434</v>
      </c>
      <c r="D824" t="s">
        <v>5569</v>
      </c>
      <c r="E824" t="s">
        <v>1386</v>
      </c>
      <c r="F824">
        <v>1</v>
      </c>
      <c r="G824">
        <v>39</v>
      </c>
      <c r="H824">
        <v>44</v>
      </c>
      <c r="I824">
        <v>15.5</v>
      </c>
      <c r="J824" s="110">
        <v>822</v>
      </c>
      <c r="K824" t="s">
        <v>1380</v>
      </c>
      <c r="L824">
        <f>IF(Table_TRM_Fixtures[[#This Row],[Technology]]="LED", Table_TRM_Fixtures[[#This Row],[Fixture Watts  (TRM Data)]], Table_TRM_Fixtures[[#This Row],[Lamp Watts  (TRM Data)]])</f>
        <v>39</v>
      </c>
      <c r="M824">
        <f>Table_TRM_Fixtures[[#This Row],[No. of Lamps  (TRM Data)]]</f>
        <v>1</v>
      </c>
      <c r="N824">
        <v>34</v>
      </c>
      <c r="O824" t="s">
        <v>1405</v>
      </c>
      <c r="P824" t="s">
        <v>187</v>
      </c>
      <c r="Q824" t="s">
        <v>5566</v>
      </c>
      <c r="R824" t="str">
        <f>_xlfn.CONCAT(Table_TRM_Fixtures[[#This Row],[Technology]], " ", Table_TRM_Fixtures[[#This Row],[Ballast Code]], " Ballast")</f>
        <v>T5 Electronic HLO Ballast</v>
      </c>
      <c r="S824" t="str">
        <f>Table_TRM_Fixtures[[#This Row],[Description  (TRM Data)]]</f>
        <v>Fluorescent (1) 34" (863mm) T-5 HO lamp; (1) Prog.Start or PRS Ballast, HLO (.95 &lt; BF &lt; 1.1)</v>
      </c>
      <c r="T824" t="str">
        <f>Table_TRM_Fixtures[[#This Row],[Fixture code  (TRM Data)]]</f>
        <v>F31GPHL-H</v>
      </c>
      <c r="U824" t="s">
        <v>2883</v>
      </c>
      <c r="V824" t="s">
        <v>5562</v>
      </c>
      <c r="W824" t="s">
        <v>3120</v>
      </c>
      <c r="X824" t="s">
        <v>186</v>
      </c>
      <c r="AA824">
        <f>IF(Table_TRM_Fixtures[[#This Row],[Pre-EISA Baseline]]="Nominal", Table_TRM_Fixtures[[#This Row],[Fixture Watts  (TRM Data)]], Table_TRM_Fixtures[[#This Row],[Modified Baseline Fixture Watts]])</f>
        <v>44</v>
      </c>
    </row>
    <row r="825" spans="1:27" x14ac:dyDescent="0.2">
      <c r="A825" t="s">
        <v>1437</v>
      </c>
      <c r="B825" t="s">
        <v>5589</v>
      </c>
      <c r="C825" t="s">
        <v>1436</v>
      </c>
      <c r="D825" t="s">
        <v>5570</v>
      </c>
      <c r="E825" t="s">
        <v>1386</v>
      </c>
      <c r="F825">
        <v>2</v>
      </c>
      <c r="G825">
        <v>39</v>
      </c>
      <c r="H825">
        <v>86</v>
      </c>
      <c r="I825">
        <v>15.5</v>
      </c>
      <c r="J825" s="110">
        <v>823</v>
      </c>
      <c r="K825" t="s">
        <v>1380</v>
      </c>
      <c r="L825">
        <f>IF(Table_TRM_Fixtures[[#This Row],[Technology]]="LED", Table_TRM_Fixtures[[#This Row],[Fixture Watts  (TRM Data)]], Table_TRM_Fixtures[[#This Row],[Lamp Watts  (TRM Data)]])</f>
        <v>39</v>
      </c>
      <c r="M825">
        <f>Table_TRM_Fixtures[[#This Row],[No. of Lamps  (TRM Data)]]</f>
        <v>2</v>
      </c>
      <c r="N825">
        <v>34</v>
      </c>
      <c r="O825" t="s">
        <v>1405</v>
      </c>
      <c r="P825" t="s">
        <v>187</v>
      </c>
      <c r="Q825" t="s">
        <v>5566</v>
      </c>
      <c r="R825" t="str">
        <f>_xlfn.CONCAT(Table_TRM_Fixtures[[#This Row],[Technology]], " ", Table_TRM_Fixtures[[#This Row],[Ballast Code]], " Ballast")</f>
        <v>T5 Electronic HLO Ballast</v>
      </c>
      <c r="S825" t="str">
        <f>Table_TRM_Fixtures[[#This Row],[Description  (TRM Data)]]</f>
        <v>Fluorescent (2) 34" (863mm) T-5 HO lamps; (1) Prog.Start or PRS Ballast, HLO (.95 &lt; BF &lt; 1.1)</v>
      </c>
      <c r="T825" t="str">
        <f>Table_TRM_Fixtures[[#This Row],[Fixture code  (TRM Data)]]</f>
        <v>F32GPHL-H</v>
      </c>
      <c r="U825" t="s">
        <v>2883</v>
      </c>
      <c r="V825" t="s">
        <v>5562</v>
      </c>
      <c r="W825" t="s">
        <v>3120</v>
      </c>
      <c r="X825" t="s">
        <v>186</v>
      </c>
      <c r="AA825">
        <f>IF(Table_TRM_Fixtures[[#This Row],[Pre-EISA Baseline]]="Nominal", Table_TRM_Fixtures[[#This Row],[Fixture Watts  (TRM Data)]], Table_TRM_Fixtures[[#This Row],[Modified Baseline Fixture Watts]])</f>
        <v>86</v>
      </c>
    </row>
    <row r="826" spans="1:27" x14ac:dyDescent="0.2">
      <c r="A826" t="s">
        <v>1439</v>
      </c>
      <c r="B826" t="s">
        <v>5589</v>
      </c>
      <c r="C826" t="s">
        <v>1438</v>
      </c>
      <c r="D826" t="s">
        <v>5571</v>
      </c>
      <c r="E826" t="s">
        <v>1386</v>
      </c>
      <c r="F826">
        <v>3</v>
      </c>
      <c r="G826">
        <v>39</v>
      </c>
      <c r="H826">
        <v>130</v>
      </c>
      <c r="I826">
        <v>15.5</v>
      </c>
      <c r="J826" s="110">
        <v>824</v>
      </c>
      <c r="K826" t="s">
        <v>1380</v>
      </c>
      <c r="L826">
        <f>IF(Table_TRM_Fixtures[[#This Row],[Technology]]="LED", Table_TRM_Fixtures[[#This Row],[Fixture Watts  (TRM Data)]], Table_TRM_Fixtures[[#This Row],[Lamp Watts  (TRM Data)]])</f>
        <v>39</v>
      </c>
      <c r="M826">
        <f>Table_TRM_Fixtures[[#This Row],[No. of Lamps  (TRM Data)]]</f>
        <v>3</v>
      </c>
      <c r="N826">
        <v>34</v>
      </c>
      <c r="O826" t="s">
        <v>1405</v>
      </c>
      <c r="P826" t="s">
        <v>187</v>
      </c>
      <c r="Q826" t="s">
        <v>5566</v>
      </c>
      <c r="R826" t="str">
        <f>_xlfn.CONCAT(Table_TRM_Fixtures[[#This Row],[Technology]], " ", Table_TRM_Fixtures[[#This Row],[Ballast Code]], " Ballast")</f>
        <v>T5 Electronic HLO Ballast</v>
      </c>
      <c r="S826" t="str">
        <f>Table_TRM_Fixtures[[#This Row],[Description  (TRM Data)]]</f>
        <v>Fluorescent (3) 34" (863mm)T-5 HO lamps; (2) Prog.Start or PRS Ballasts, HLO (.95 &lt; BF &lt; 1.1)</v>
      </c>
      <c r="T826" t="str">
        <f>Table_TRM_Fixtures[[#This Row],[Fixture code  (TRM Data)]]</f>
        <v>F33GPHL/2-H</v>
      </c>
      <c r="U826" t="s">
        <v>2883</v>
      </c>
      <c r="V826" t="s">
        <v>5562</v>
      </c>
      <c r="W826" t="s">
        <v>3120</v>
      </c>
      <c r="X826" t="s">
        <v>186</v>
      </c>
      <c r="AA826">
        <f>IF(Table_TRM_Fixtures[[#This Row],[Pre-EISA Baseline]]="Nominal", Table_TRM_Fixtures[[#This Row],[Fixture Watts  (TRM Data)]], Table_TRM_Fixtures[[#This Row],[Modified Baseline Fixture Watts]])</f>
        <v>130</v>
      </c>
    </row>
    <row r="827" spans="1:27" x14ac:dyDescent="0.2">
      <c r="A827" t="s">
        <v>1441</v>
      </c>
      <c r="B827" t="s">
        <v>5589</v>
      </c>
      <c r="C827" t="s">
        <v>1440</v>
      </c>
      <c r="D827" t="s">
        <v>5572</v>
      </c>
      <c r="E827" t="s">
        <v>1386</v>
      </c>
      <c r="F827">
        <v>4</v>
      </c>
      <c r="G827">
        <v>39</v>
      </c>
      <c r="H827">
        <v>172</v>
      </c>
      <c r="I827">
        <v>15.5</v>
      </c>
      <c r="J827" s="110">
        <v>825</v>
      </c>
      <c r="K827" t="s">
        <v>1380</v>
      </c>
      <c r="L827">
        <f>IF(Table_TRM_Fixtures[[#This Row],[Technology]]="LED", Table_TRM_Fixtures[[#This Row],[Fixture Watts  (TRM Data)]], Table_TRM_Fixtures[[#This Row],[Lamp Watts  (TRM Data)]])</f>
        <v>39</v>
      </c>
      <c r="M827">
        <f>Table_TRM_Fixtures[[#This Row],[No. of Lamps  (TRM Data)]]</f>
        <v>4</v>
      </c>
      <c r="N827">
        <v>34</v>
      </c>
      <c r="O827" t="s">
        <v>1405</v>
      </c>
      <c r="P827" t="s">
        <v>187</v>
      </c>
      <c r="Q827" t="s">
        <v>5566</v>
      </c>
      <c r="R827" t="str">
        <f>_xlfn.CONCAT(Table_TRM_Fixtures[[#This Row],[Technology]], " ", Table_TRM_Fixtures[[#This Row],[Ballast Code]], " Ballast")</f>
        <v>T5 Electronic HLO Ballast</v>
      </c>
      <c r="S827" t="str">
        <f>Table_TRM_Fixtures[[#This Row],[Description  (TRM Data)]]</f>
        <v>Fluorescent (4) 34" (863mm)T-5 HO lamps; (2) Prog.Start or PRS Ballasts, HLO (.95 &lt; BF &lt; 1.1)</v>
      </c>
      <c r="T827" t="str">
        <f>Table_TRM_Fixtures[[#This Row],[Fixture code  (TRM Data)]]</f>
        <v>F34GPHL/2-H</v>
      </c>
      <c r="U827" t="s">
        <v>2883</v>
      </c>
      <c r="V827" t="s">
        <v>5562</v>
      </c>
      <c r="W827" t="s">
        <v>3120</v>
      </c>
      <c r="X827" t="s">
        <v>186</v>
      </c>
      <c r="AA827">
        <f>IF(Table_TRM_Fixtures[[#This Row],[Pre-EISA Baseline]]="Nominal", Table_TRM_Fixtures[[#This Row],[Fixture Watts  (TRM Data)]], Table_TRM_Fixtures[[#This Row],[Modified Baseline Fixture Watts]])</f>
        <v>172</v>
      </c>
    </row>
    <row r="828" spans="1:27" x14ac:dyDescent="0.2">
      <c r="A828" t="s">
        <v>1443</v>
      </c>
      <c r="B828" t="s">
        <v>5590</v>
      </c>
      <c r="C828" t="s">
        <v>1442</v>
      </c>
      <c r="D828" t="s">
        <v>5591</v>
      </c>
      <c r="E828" t="s">
        <v>1386</v>
      </c>
      <c r="F828">
        <v>6</v>
      </c>
      <c r="G828">
        <v>54</v>
      </c>
      <c r="H828">
        <v>332</v>
      </c>
      <c r="I828">
        <v>15.5</v>
      </c>
      <c r="J828" s="110">
        <v>826</v>
      </c>
      <c r="K828" t="s">
        <v>1380</v>
      </c>
      <c r="L828">
        <f>IF(Table_TRM_Fixtures[[#This Row],[Technology]]="LED", Table_TRM_Fixtures[[#This Row],[Fixture Watts  (TRM Data)]], Table_TRM_Fixtures[[#This Row],[Lamp Watts  (TRM Data)]])</f>
        <v>54</v>
      </c>
      <c r="M828">
        <f>Table_TRM_Fixtures[[#This Row],[No. of Lamps  (TRM Data)]]</f>
        <v>6</v>
      </c>
      <c r="N828">
        <v>45.8</v>
      </c>
      <c r="O828" t="s">
        <v>1405</v>
      </c>
      <c r="P828" t="s">
        <v>187</v>
      </c>
      <c r="Q828" t="s">
        <v>5566</v>
      </c>
      <c r="R828" t="str">
        <f>_xlfn.CONCAT(Table_TRM_Fixtures[[#This Row],[Technology]], ", ", Table_TRM_Fixtures[[#This Row],[Ballast Code]], " Ballast")</f>
        <v>T5, Electronic HLO Ballast</v>
      </c>
      <c r="S828" t="str">
        <f>Table_TRM_Fixtures[[#This Row],[Description  (TRM Data)]]</f>
        <v>Fluorescent, (6) 45.8" T-5 HO reduced-wattage lamps, (2) PRS Electronic Ballasts, HLO (.95 &lt; BF &lt; 1.1)</v>
      </c>
      <c r="T828" t="str">
        <f>Table_TRM_Fixtures[[#This Row],[Fixture code  (TRM Data)]]</f>
        <v>F46GPRL/2-H</v>
      </c>
      <c r="U828" t="s">
        <v>2882</v>
      </c>
      <c r="V828" t="s">
        <v>186</v>
      </c>
      <c r="W828" t="s">
        <v>3120</v>
      </c>
      <c r="X828" t="s">
        <v>186</v>
      </c>
      <c r="Y828" t="s">
        <v>4815</v>
      </c>
      <c r="Z828" t="s">
        <v>4815</v>
      </c>
      <c r="AA828">
        <f>IF(Table_TRM_Fixtures[[#This Row],[Pre-EISA Baseline]]="Nominal", Table_TRM_Fixtures[[#This Row],[Fixture Watts  (TRM Data)]], Table_TRM_Fixtures[[#This Row],[Modified Baseline Fixture Watts]])</f>
        <v>332</v>
      </c>
    </row>
    <row r="829" spans="1:27" x14ac:dyDescent="0.2">
      <c r="A829" t="s">
        <v>1445</v>
      </c>
      <c r="B829" t="s">
        <v>5590</v>
      </c>
      <c r="C829" t="s">
        <v>1444</v>
      </c>
      <c r="D829" t="s">
        <v>5591</v>
      </c>
      <c r="E829" t="s">
        <v>1386</v>
      </c>
      <c r="F829">
        <v>6</v>
      </c>
      <c r="G829">
        <v>54</v>
      </c>
      <c r="H829">
        <v>330</v>
      </c>
      <c r="I829">
        <v>15.5</v>
      </c>
      <c r="J829" s="110">
        <v>827</v>
      </c>
      <c r="K829" t="s">
        <v>1380</v>
      </c>
      <c r="L829">
        <f>IF(Table_TRM_Fixtures[[#This Row],[Technology]]="LED", Table_TRM_Fixtures[[#This Row],[Fixture Watts  (TRM Data)]], Table_TRM_Fixtures[[#This Row],[Lamp Watts  (TRM Data)]])</f>
        <v>54</v>
      </c>
      <c r="M829">
        <f>Table_TRM_Fixtures[[#This Row],[No. of Lamps  (TRM Data)]]</f>
        <v>6</v>
      </c>
      <c r="N829">
        <v>45.8</v>
      </c>
      <c r="O829" t="s">
        <v>1405</v>
      </c>
      <c r="P829" t="s">
        <v>187</v>
      </c>
      <c r="Q829" t="s">
        <v>5566</v>
      </c>
      <c r="R829" t="str">
        <f>_xlfn.CONCAT(Table_TRM_Fixtures[[#This Row],[Technology]], ", ", Table_TRM_Fixtures[[#This Row],[Ballast Code]], " Ballast")</f>
        <v>T5, Electronic HLO Ballast</v>
      </c>
      <c r="S829" t="str">
        <f>Table_TRM_Fixtures[[#This Row],[Description  (TRM Data)]]</f>
        <v>Fluorescent, (6) 45.8" T-5 HO reduced-wattage lamps, (3) PRS Electronic Ballasts, HLO (.95 &lt; BF &lt; 1.1)</v>
      </c>
      <c r="T829" t="str">
        <f>Table_TRM_Fixtures[[#This Row],[Fixture code  (TRM Data)]]</f>
        <v>F46GPRL/3-H</v>
      </c>
      <c r="U829" t="s">
        <v>2882</v>
      </c>
      <c r="V829" t="s">
        <v>186</v>
      </c>
      <c r="W829" t="s">
        <v>3120</v>
      </c>
      <c r="X829" t="s">
        <v>186</v>
      </c>
      <c r="Y829" t="s">
        <v>4815</v>
      </c>
      <c r="Z829" t="s">
        <v>4815</v>
      </c>
      <c r="AA829">
        <f>IF(Table_TRM_Fixtures[[#This Row],[Pre-EISA Baseline]]="Nominal", Table_TRM_Fixtures[[#This Row],[Fixture Watts  (TRM Data)]], Table_TRM_Fixtures[[#This Row],[Modified Baseline Fixture Watts]])</f>
        <v>330</v>
      </c>
    </row>
    <row r="830" spans="1:27" x14ac:dyDescent="0.2">
      <c r="A830" t="s">
        <v>1447</v>
      </c>
      <c r="B830" t="s">
        <v>5592</v>
      </c>
      <c r="C830" t="s">
        <v>1446</v>
      </c>
      <c r="D830" t="s">
        <v>5593</v>
      </c>
      <c r="E830" t="s">
        <v>1386</v>
      </c>
      <c r="F830">
        <v>1</v>
      </c>
      <c r="G830">
        <v>54</v>
      </c>
      <c r="H830">
        <v>64</v>
      </c>
      <c r="I830">
        <v>15.5</v>
      </c>
      <c r="J830" s="110">
        <v>828</v>
      </c>
      <c r="K830" t="s">
        <v>1380</v>
      </c>
      <c r="L830">
        <f>IF(Table_TRM_Fixtures[[#This Row],[Technology]]="LED", Table_TRM_Fixtures[[#This Row],[Fixture Watts  (TRM Data)]], Table_TRM_Fixtures[[#This Row],[Lamp Watts  (TRM Data)]])</f>
        <v>54</v>
      </c>
      <c r="M830">
        <f>Table_TRM_Fixtures[[#This Row],[No. of Lamps  (TRM Data)]]</f>
        <v>1</v>
      </c>
      <c r="N830">
        <v>45.8</v>
      </c>
      <c r="O830" t="s">
        <v>1405</v>
      </c>
      <c r="P830" t="s">
        <v>187</v>
      </c>
      <c r="Q830" t="s">
        <v>5566</v>
      </c>
      <c r="R830" t="str">
        <f>_xlfn.CONCAT(Table_TRM_Fixtures[[#This Row],[Technology]], ", ", Table_TRM_Fixtures[[#This Row],[Ballast Code]], " Ballast")</f>
        <v>T5, Electronic HLO Ballast</v>
      </c>
      <c r="S830" t="str">
        <f>Table_TRM_Fixtures[[#This Row],[Description  (TRM Data)]]</f>
        <v>Fluorescent (1) 45.8" T-5 HO lamp, (1) PRS Electronic Ballast, HLO (.95 &lt; BF &lt; 1.1)</v>
      </c>
      <c r="T830" t="str">
        <f>Table_TRM_Fixtures[[#This Row],[Fixture code  (TRM Data)]]</f>
        <v>F41GPHL-H</v>
      </c>
      <c r="U830" t="s">
        <v>2882</v>
      </c>
      <c r="V830" t="s">
        <v>186</v>
      </c>
      <c r="W830" t="s">
        <v>3120</v>
      </c>
      <c r="X830" t="s">
        <v>186</v>
      </c>
      <c r="Y830" t="str">
        <f>_xlfn.CONCAT(Table_TRM_Fixtures[[#This Row],[Combined Lighting/Ballast Types]],":",Table_TRM_Fixtures[[#This Row],[No. of Lamps]], ":", Table_TRM_Fixtures[[#This Row],[Lamp Watts  (TRM Data)]])</f>
        <v>T5, Electronic HLO Ballast:1:54</v>
      </c>
      <c r="Z830"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T5:1:54</v>
      </c>
      <c r="AA830">
        <f>IF(Table_TRM_Fixtures[[#This Row],[Pre-EISA Baseline]]="Nominal", Table_TRM_Fixtures[[#This Row],[Fixture Watts  (TRM Data)]], Table_TRM_Fixtures[[#This Row],[Modified Baseline Fixture Watts]])</f>
        <v>64</v>
      </c>
    </row>
    <row r="831" spans="1:27" x14ac:dyDescent="0.2">
      <c r="A831" t="s">
        <v>1449</v>
      </c>
      <c r="B831" t="s">
        <v>5592</v>
      </c>
      <c r="C831" t="s">
        <v>1448</v>
      </c>
      <c r="D831" t="s">
        <v>5593</v>
      </c>
      <c r="E831" t="s">
        <v>1386</v>
      </c>
      <c r="F831">
        <v>1</v>
      </c>
      <c r="G831">
        <v>54</v>
      </c>
      <c r="H831">
        <v>59</v>
      </c>
      <c r="I831">
        <v>15.5</v>
      </c>
      <c r="J831" s="110">
        <v>829</v>
      </c>
      <c r="K831" t="s">
        <v>1380</v>
      </c>
      <c r="L831">
        <f>IF(Table_TRM_Fixtures[[#This Row],[Technology]]="LED", Table_TRM_Fixtures[[#This Row],[Fixture Watts  (TRM Data)]], Table_TRM_Fixtures[[#This Row],[Lamp Watts  (TRM Data)]])</f>
        <v>54</v>
      </c>
      <c r="M831">
        <f>Table_TRM_Fixtures[[#This Row],[No. of Lamps  (TRM Data)]]</f>
        <v>1</v>
      </c>
      <c r="N831">
        <v>45.8</v>
      </c>
      <c r="O831" t="s">
        <v>1405</v>
      </c>
      <c r="P831" t="s">
        <v>187</v>
      </c>
      <c r="Q831" t="s">
        <v>5566</v>
      </c>
      <c r="R831" t="str">
        <f>_xlfn.CONCAT(Table_TRM_Fixtures[[#This Row],[Technology]], ", ", Table_TRM_Fixtures[[#This Row],[Ballast Code]], " Ballast")</f>
        <v>T5, Electronic HLO Ballast</v>
      </c>
      <c r="S831" t="str">
        <f>Table_TRM_Fixtures[[#This Row],[Description  (TRM Data)]]</f>
        <v>Fluorescent (1) 45.8" T-5 HO lamp, Tandem 2-lamp PRS Ballast, HLO (.95 &lt; BF &lt; 1.1)</v>
      </c>
      <c r="T831" t="str">
        <f>Table_TRM_Fixtures[[#This Row],[Fixture code  (TRM Data)]]</f>
        <v>F41GPHL/T2-H</v>
      </c>
      <c r="U831" t="s">
        <v>2882</v>
      </c>
      <c r="V831" t="s">
        <v>186</v>
      </c>
      <c r="W831" t="s">
        <v>3120</v>
      </c>
      <c r="X831" t="s">
        <v>186</v>
      </c>
      <c r="Y831" t="s">
        <v>4815</v>
      </c>
      <c r="Z831" t="s">
        <v>4815</v>
      </c>
      <c r="AA831">
        <f>IF(Table_TRM_Fixtures[[#This Row],[Pre-EISA Baseline]]="Nominal", Table_TRM_Fixtures[[#This Row],[Fixture Watts  (TRM Data)]], Table_TRM_Fixtures[[#This Row],[Modified Baseline Fixture Watts]])</f>
        <v>59</v>
      </c>
    </row>
    <row r="832" spans="1:27" x14ac:dyDescent="0.2">
      <c r="A832" t="s">
        <v>1451</v>
      </c>
      <c r="B832" t="s">
        <v>5592</v>
      </c>
      <c r="C832" t="s">
        <v>1450</v>
      </c>
      <c r="D832" t="s">
        <v>5594</v>
      </c>
      <c r="E832" t="s">
        <v>1386</v>
      </c>
      <c r="F832">
        <v>2</v>
      </c>
      <c r="G832">
        <v>54</v>
      </c>
      <c r="H832">
        <v>117</v>
      </c>
      <c r="I832">
        <v>15.5</v>
      </c>
      <c r="J832" s="110">
        <v>830</v>
      </c>
      <c r="K832" t="s">
        <v>1380</v>
      </c>
      <c r="L832">
        <f>IF(Table_TRM_Fixtures[[#This Row],[Technology]]="LED", Table_TRM_Fixtures[[#This Row],[Fixture Watts  (TRM Data)]], Table_TRM_Fixtures[[#This Row],[Lamp Watts  (TRM Data)]])</f>
        <v>54</v>
      </c>
      <c r="M832">
        <f>Table_TRM_Fixtures[[#This Row],[No. of Lamps  (TRM Data)]]</f>
        <v>2</v>
      </c>
      <c r="N832">
        <v>45.8</v>
      </c>
      <c r="O832" t="s">
        <v>1405</v>
      </c>
      <c r="P832" t="s">
        <v>187</v>
      </c>
      <c r="Q832" t="s">
        <v>5566</v>
      </c>
      <c r="R832" t="str">
        <f>_xlfn.CONCAT(Table_TRM_Fixtures[[#This Row],[Technology]], ", ", Table_TRM_Fixtures[[#This Row],[Ballast Code]], " Ballast")</f>
        <v>T5, Electronic HLO Ballast</v>
      </c>
      <c r="S832" t="str">
        <f>Table_TRM_Fixtures[[#This Row],[Description  (TRM Data)]]</f>
        <v>Fluorescent (2) 45.8" T-5 HO lamps, (1) PRS Electronic Ballast, HLO (.95 &lt; BF &lt; 1.1)</v>
      </c>
      <c r="T832" t="str">
        <f>Table_TRM_Fixtures[[#This Row],[Fixture code  (TRM Data)]]</f>
        <v>F42GPHL-H</v>
      </c>
      <c r="U832" t="s">
        <v>2882</v>
      </c>
      <c r="V832" t="s">
        <v>186</v>
      </c>
      <c r="W832" t="s">
        <v>3120</v>
      </c>
      <c r="X832" t="s">
        <v>186</v>
      </c>
      <c r="Y832" t="str">
        <f>_xlfn.CONCAT(Table_TRM_Fixtures[[#This Row],[Combined Lighting/Ballast Types]],":",Table_TRM_Fixtures[[#This Row],[No. of Lamps]], ":", Table_TRM_Fixtures[[#This Row],[Lamp Watts  (TRM Data)]])</f>
        <v>T5, Electronic HLO Ballast:2:54</v>
      </c>
      <c r="Z832"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T5:2:54</v>
      </c>
      <c r="AA832">
        <f>IF(Table_TRM_Fixtures[[#This Row],[Pre-EISA Baseline]]="Nominal", Table_TRM_Fixtures[[#This Row],[Fixture Watts  (TRM Data)]], Table_TRM_Fixtures[[#This Row],[Modified Baseline Fixture Watts]])</f>
        <v>117</v>
      </c>
    </row>
    <row r="833" spans="1:27" x14ac:dyDescent="0.2">
      <c r="A833" t="s">
        <v>1453</v>
      </c>
      <c r="B833" t="s">
        <v>5592</v>
      </c>
      <c r="C833" t="s">
        <v>1452</v>
      </c>
      <c r="D833" t="s">
        <v>5595</v>
      </c>
      <c r="E833" t="s">
        <v>1386</v>
      </c>
      <c r="F833">
        <v>3</v>
      </c>
      <c r="G833">
        <v>54</v>
      </c>
      <c r="H833">
        <v>181</v>
      </c>
      <c r="I833">
        <v>15.5</v>
      </c>
      <c r="J833" s="110">
        <v>831</v>
      </c>
      <c r="K833" t="s">
        <v>1380</v>
      </c>
      <c r="L833">
        <f>IF(Table_TRM_Fixtures[[#This Row],[Technology]]="LED", Table_TRM_Fixtures[[#This Row],[Fixture Watts  (TRM Data)]], Table_TRM_Fixtures[[#This Row],[Lamp Watts  (TRM Data)]])</f>
        <v>54</v>
      </c>
      <c r="M833">
        <f>Table_TRM_Fixtures[[#This Row],[No. of Lamps  (TRM Data)]]</f>
        <v>3</v>
      </c>
      <c r="N833">
        <v>45.8</v>
      </c>
      <c r="O833" t="s">
        <v>1405</v>
      </c>
      <c r="P833" t="s">
        <v>187</v>
      </c>
      <c r="Q833" t="s">
        <v>5566</v>
      </c>
      <c r="R833" t="str">
        <f>_xlfn.CONCAT(Table_TRM_Fixtures[[#This Row],[Technology]], ", ", Table_TRM_Fixtures[[#This Row],[Ballast Code]], " Ballast")</f>
        <v>T5, Electronic HLO Ballast</v>
      </c>
      <c r="S833" t="str">
        <f>Table_TRM_Fixtures[[#This Row],[Description  (TRM Data)]]</f>
        <v>Fluorescent, (3) 45.8" T-5 HO lamps, (1) PRS Electronic Ballast, HLO (.95 &lt; BF &lt; 1.1)</v>
      </c>
      <c r="T833" t="str">
        <f>Table_TRM_Fixtures[[#This Row],[Fixture code  (TRM Data)]]</f>
        <v>F43GPHL-H</v>
      </c>
      <c r="U833" t="s">
        <v>2882</v>
      </c>
      <c r="V833" t="s">
        <v>186</v>
      </c>
      <c r="W833" t="s">
        <v>3120</v>
      </c>
      <c r="X833" t="s">
        <v>186</v>
      </c>
      <c r="Y833" t="str">
        <f>_xlfn.CONCAT(Table_TRM_Fixtures[[#This Row],[Combined Lighting/Ballast Types]],":",Table_TRM_Fixtures[[#This Row],[No. of Lamps]], ":", Table_TRM_Fixtures[[#This Row],[Lamp Watts  (TRM Data)]])</f>
        <v>T5, Electronic HLO Ballast:3:54</v>
      </c>
      <c r="Z833"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T5:3:54</v>
      </c>
      <c r="AA833">
        <f>IF(Table_TRM_Fixtures[[#This Row],[Pre-EISA Baseline]]="Nominal", Table_TRM_Fixtures[[#This Row],[Fixture Watts  (TRM Data)]], Table_TRM_Fixtures[[#This Row],[Modified Baseline Fixture Watts]])</f>
        <v>181</v>
      </c>
    </row>
    <row r="834" spans="1:27" x14ac:dyDescent="0.2">
      <c r="A834" t="s">
        <v>1455</v>
      </c>
      <c r="B834" t="s">
        <v>5592</v>
      </c>
      <c r="C834" t="s">
        <v>1454</v>
      </c>
      <c r="D834" t="s">
        <v>5595</v>
      </c>
      <c r="E834" t="s">
        <v>1386</v>
      </c>
      <c r="F834">
        <v>3</v>
      </c>
      <c r="G834">
        <v>54</v>
      </c>
      <c r="H834">
        <v>181</v>
      </c>
      <c r="I834">
        <v>15.5</v>
      </c>
      <c r="J834" s="110">
        <v>832</v>
      </c>
      <c r="K834" t="s">
        <v>1380</v>
      </c>
      <c r="L834">
        <f>IF(Table_TRM_Fixtures[[#This Row],[Technology]]="LED", Table_TRM_Fixtures[[#This Row],[Fixture Watts  (TRM Data)]], Table_TRM_Fixtures[[#This Row],[Lamp Watts  (TRM Data)]])</f>
        <v>54</v>
      </c>
      <c r="M834">
        <f>Table_TRM_Fixtures[[#This Row],[No. of Lamps  (TRM Data)]]</f>
        <v>3</v>
      </c>
      <c r="N834">
        <v>45.8</v>
      </c>
      <c r="O834" t="s">
        <v>1405</v>
      </c>
      <c r="P834" t="s">
        <v>187</v>
      </c>
      <c r="Q834" t="s">
        <v>5566</v>
      </c>
      <c r="R834" t="str">
        <f>_xlfn.CONCAT(Table_TRM_Fixtures[[#This Row],[Technology]], ", ", Table_TRM_Fixtures[[#This Row],[Ballast Code]], " Ballast")</f>
        <v>T5, Electronic HLO Ballast</v>
      </c>
      <c r="S834" t="str">
        <f>Table_TRM_Fixtures[[#This Row],[Description  (TRM Data)]]</f>
        <v>Fluorescent (3) 45.8" T-5 HO lamps, (2) PRS Electronic Ballasts, HLO (.95 &lt; BF &lt; 1.1)</v>
      </c>
      <c r="T834" t="str">
        <f>Table_TRM_Fixtures[[#This Row],[Fixture code  (TRM Data)]]</f>
        <v>F43GPHL/2-H</v>
      </c>
      <c r="U834" t="s">
        <v>2882</v>
      </c>
      <c r="V834" t="s">
        <v>186</v>
      </c>
      <c r="W834" t="s">
        <v>3120</v>
      </c>
      <c r="X834" t="s">
        <v>186</v>
      </c>
      <c r="Y834" t="s">
        <v>4815</v>
      </c>
      <c r="Z834" t="s">
        <v>4815</v>
      </c>
      <c r="AA834">
        <f>IF(Table_TRM_Fixtures[[#This Row],[Pre-EISA Baseline]]="Nominal", Table_TRM_Fixtures[[#This Row],[Fixture Watts  (TRM Data)]], Table_TRM_Fixtures[[#This Row],[Modified Baseline Fixture Watts]])</f>
        <v>181</v>
      </c>
    </row>
    <row r="835" spans="1:27" x14ac:dyDescent="0.2">
      <c r="A835" t="s">
        <v>1457</v>
      </c>
      <c r="B835" t="s">
        <v>5592</v>
      </c>
      <c r="C835" t="s">
        <v>1456</v>
      </c>
      <c r="D835" t="s">
        <v>5596</v>
      </c>
      <c r="E835" t="s">
        <v>1386</v>
      </c>
      <c r="F835">
        <v>4</v>
      </c>
      <c r="G835">
        <v>54</v>
      </c>
      <c r="H835">
        <v>230</v>
      </c>
      <c r="I835">
        <v>15.5</v>
      </c>
      <c r="J835" s="110">
        <v>833</v>
      </c>
      <c r="K835" t="s">
        <v>1380</v>
      </c>
      <c r="L835">
        <f>IF(Table_TRM_Fixtures[[#This Row],[Technology]]="LED", Table_TRM_Fixtures[[#This Row],[Fixture Watts  (TRM Data)]], Table_TRM_Fixtures[[#This Row],[Lamp Watts  (TRM Data)]])</f>
        <v>54</v>
      </c>
      <c r="M835">
        <f>Table_TRM_Fixtures[[#This Row],[No. of Lamps  (TRM Data)]]</f>
        <v>4</v>
      </c>
      <c r="N835">
        <v>45.8</v>
      </c>
      <c r="O835" t="s">
        <v>1405</v>
      </c>
      <c r="P835" t="s">
        <v>187</v>
      </c>
      <c r="Q835" t="s">
        <v>5566</v>
      </c>
      <c r="R835" t="str">
        <f>_xlfn.CONCAT(Table_TRM_Fixtures[[#This Row],[Technology]], ", ", Table_TRM_Fixtures[[#This Row],[Ballast Code]], " Ballast")</f>
        <v>T5, Electronic HLO Ballast</v>
      </c>
      <c r="S835" t="str">
        <f>Table_TRM_Fixtures[[#This Row],[Description  (TRM Data)]]</f>
        <v>Fluorescent, (4) 45.8" T-5 HO lamps, (1) PRS Electronic Ballast, HLO (.95 &lt; BF &lt; 1.1)</v>
      </c>
      <c r="T835" t="str">
        <f>Table_TRM_Fixtures[[#This Row],[Fixture code  (TRM Data)]]</f>
        <v>F44GPHL-H</v>
      </c>
      <c r="U835" t="s">
        <v>2882</v>
      </c>
      <c r="V835" t="s">
        <v>186</v>
      </c>
      <c r="W835" t="s">
        <v>3120</v>
      </c>
      <c r="X835" t="s">
        <v>186</v>
      </c>
      <c r="Y835" t="str">
        <f>_xlfn.CONCAT(Table_TRM_Fixtures[[#This Row],[Combined Lighting/Ballast Types]],":",Table_TRM_Fixtures[[#This Row],[No. of Lamps]], ":", Table_TRM_Fixtures[[#This Row],[Lamp Watts  (TRM Data)]])</f>
        <v>T5, Electronic HLO Ballast:4:54</v>
      </c>
      <c r="Z835"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T5:4:54</v>
      </c>
      <c r="AA835">
        <f>IF(Table_TRM_Fixtures[[#This Row],[Pre-EISA Baseline]]="Nominal", Table_TRM_Fixtures[[#This Row],[Fixture Watts  (TRM Data)]], Table_TRM_Fixtures[[#This Row],[Modified Baseline Fixture Watts]])</f>
        <v>230</v>
      </c>
    </row>
    <row r="836" spans="1:27" x14ac:dyDescent="0.2">
      <c r="A836" t="s">
        <v>1459</v>
      </c>
      <c r="B836" t="s">
        <v>5592</v>
      </c>
      <c r="C836" t="s">
        <v>1458</v>
      </c>
      <c r="D836" t="s">
        <v>5596</v>
      </c>
      <c r="E836" t="s">
        <v>1386</v>
      </c>
      <c r="F836">
        <v>4</v>
      </c>
      <c r="G836">
        <v>54</v>
      </c>
      <c r="H836">
        <v>234</v>
      </c>
      <c r="I836">
        <v>15.5</v>
      </c>
      <c r="J836" s="110">
        <v>834</v>
      </c>
      <c r="K836" t="s">
        <v>1380</v>
      </c>
      <c r="L836">
        <f>IF(Table_TRM_Fixtures[[#This Row],[Technology]]="LED", Table_TRM_Fixtures[[#This Row],[Fixture Watts  (TRM Data)]], Table_TRM_Fixtures[[#This Row],[Lamp Watts  (TRM Data)]])</f>
        <v>54</v>
      </c>
      <c r="M836">
        <f>Table_TRM_Fixtures[[#This Row],[No. of Lamps  (TRM Data)]]</f>
        <v>4</v>
      </c>
      <c r="N836">
        <v>45.8</v>
      </c>
      <c r="O836" t="s">
        <v>1405</v>
      </c>
      <c r="P836" t="s">
        <v>187</v>
      </c>
      <c r="Q836" t="s">
        <v>5566</v>
      </c>
      <c r="R836" t="str">
        <f>_xlfn.CONCAT(Table_TRM_Fixtures[[#This Row],[Technology]], ", ", Table_TRM_Fixtures[[#This Row],[Ballast Code]], " Ballast")</f>
        <v>T5, Electronic HLO Ballast</v>
      </c>
      <c r="S836" t="str">
        <f>Table_TRM_Fixtures[[#This Row],[Description  (TRM Data)]]</f>
        <v>Fluorescent (4) 45.8" T-5 HO lamps, (2) PRS Electronic Ballasts, HLO (.95 &lt; BF &lt; 1.1)</v>
      </c>
      <c r="T836" t="str">
        <f>Table_TRM_Fixtures[[#This Row],[Fixture code  (TRM Data)]]</f>
        <v>F44GPHL/2-H</v>
      </c>
      <c r="U836" t="s">
        <v>2882</v>
      </c>
      <c r="V836" t="s">
        <v>186</v>
      </c>
      <c r="W836" t="s">
        <v>3120</v>
      </c>
      <c r="X836" t="s">
        <v>186</v>
      </c>
      <c r="Y836" t="s">
        <v>4815</v>
      </c>
      <c r="Z836" t="s">
        <v>4815</v>
      </c>
      <c r="AA836">
        <f>IF(Table_TRM_Fixtures[[#This Row],[Pre-EISA Baseline]]="Nominal", Table_TRM_Fixtures[[#This Row],[Fixture Watts  (TRM Data)]], Table_TRM_Fixtures[[#This Row],[Modified Baseline Fixture Watts]])</f>
        <v>234</v>
      </c>
    </row>
    <row r="837" spans="1:27" x14ac:dyDescent="0.2">
      <c r="A837" t="s">
        <v>1461</v>
      </c>
      <c r="B837" t="s">
        <v>5592</v>
      </c>
      <c r="C837" t="s">
        <v>1460</v>
      </c>
      <c r="D837" t="s">
        <v>5597</v>
      </c>
      <c r="E837" t="s">
        <v>1386</v>
      </c>
      <c r="F837">
        <v>5</v>
      </c>
      <c r="G837">
        <v>54</v>
      </c>
      <c r="H837">
        <v>298</v>
      </c>
      <c r="I837">
        <v>15.5</v>
      </c>
      <c r="J837" s="110">
        <v>835</v>
      </c>
      <c r="K837" t="s">
        <v>1380</v>
      </c>
      <c r="L837">
        <f>IF(Table_TRM_Fixtures[[#This Row],[Technology]]="LED", Table_TRM_Fixtures[[#This Row],[Fixture Watts  (TRM Data)]], Table_TRM_Fixtures[[#This Row],[Lamp Watts  (TRM Data)]])</f>
        <v>54</v>
      </c>
      <c r="M837">
        <f>Table_TRM_Fixtures[[#This Row],[No. of Lamps  (TRM Data)]]</f>
        <v>5</v>
      </c>
      <c r="N837">
        <v>45.8</v>
      </c>
      <c r="O837" t="s">
        <v>1405</v>
      </c>
      <c r="P837" t="s">
        <v>187</v>
      </c>
      <c r="Q837" t="s">
        <v>5566</v>
      </c>
      <c r="R837" t="str">
        <f>_xlfn.CONCAT(Table_TRM_Fixtures[[#This Row],[Technology]], ", ", Table_TRM_Fixtures[[#This Row],[Ballast Code]], " Ballast")</f>
        <v>T5, Electronic HLO Ballast</v>
      </c>
      <c r="S837" t="str">
        <f>Table_TRM_Fixtures[[#This Row],[Description  (TRM Data)]]</f>
        <v>Fluorescent (5) 45.8" T-5 HO lamps, (2) PRS Electronic Ballast, HLO (.95 &lt; BF &lt; 1.1)</v>
      </c>
      <c r="T837" t="str">
        <f>Table_TRM_Fixtures[[#This Row],[Fixture code  (TRM Data)]]</f>
        <v>F45GPHL/2-H</v>
      </c>
      <c r="U837" t="s">
        <v>2882</v>
      </c>
      <c r="V837" t="s">
        <v>186</v>
      </c>
      <c r="W837" t="s">
        <v>3120</v>
      </c>
      <c r="X837" t="s">
        <v>186</v>
      </c>
      <c r="Y837" t="str">
        <f>_xlfn.CONCAT(Table_TRM_Fixtures[[#This Row],[Combined Lighting/Ballast Types]],":",Table_TRM_Fixtures[[#This Row],[No. of Lamps]], ":", Table_TRM_Fixtures[[#This Row],[Lamp Watts  (TRM Data)]])</f>
        <v>T5, Electronic HLO Ballast:5:54</v>
      </c>
      <c r="Z837"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T5:5:54</v>
      </c>
      <c r="AA837">
        <f>IF(Table_TRM_Fixtures[[#This Row],[Pre-EISA Baseline]]="Nominal", Table_TRM_Fixtures[[#This Row],[Fixture Watts  (TRM Data)]], Table_TRM_Fixtures[[#This Row],[Modified Baseline Fixture Watts]])</f>
        <v>298</v>
      </c>
    </row>
    <row r="838" spans="1:27" x14ac:dyDescent="0.2">
      <c r="A838" t="s">
        <v>1464</v>
      </c>
      <c r="B838" t="s">
        <v>5598</v>
      </c>
      <c r="C838" t="s">
        <v>1463</v>
      </c>
      <c r="D838" t="s">
        <v>5597</v>
      </c>
      <c r="E838" t="s">
        <v>1386</v>
      </c>
      <c r="F838">
        <v>5</v>
      </c>
      <c r="G838" t="s">
        <v>1462</v>
      </c>
      <c r="H838">
        <v>276</v>
      </c>
      <c r="I838">
        <v>15.5</v>
      </c>
      <c r="J838" s="110">
        <v>836</v>
      </c>
      <c r="K838" t="s">
        <v>1380</v>
      </c>
      <c r="L838" t="str">
        <f>IF(Table_TRM_Fixtures[[#This Row],[Technology]]="LED", Table_TRM_Fixtures[[#This Row],[Fixture Watts  (TRM Data)]], Table_TRM_Fixtures[[#This Row],[Lamp Watts  (TRM Data)]])</f>
        <v>47-51</v>
      </c>
      <c r="M838">
        <f>Table_TRM_Fixtures[[#This Row],[No. of Lamps  (TRM Data)]]</f>
        <v>5</v>
      </c>
      <c r="N838">
        <v>45.2</v>
      </c>
      <c r="O838" t="s">
        <v>1405</v>
      </c>
      <c r="P838" t="s">
        <v>187</v>
      </c>
      <c r="Q838" t="s">
        <v>5566</v>
      </c>
      <c r="R838" t="str">
        <f>_xlfn.CONCAT(Table_TRM_Fixtures[[#This Row],[Technology]], ", ", Table_TRM_Fixtures[[#This Row],[Ballast Code]], " Ballast")</f>
        <v>T5, Electronic HLO Ballast</v>
      </c>
      <c r="S838" t="str">
        <f>Table_TRM_Fixtures[[#This Row],[Description  (TRM Data)]]</f>
        <v>Fluorescent (5) 45.2" T-5 HO reduced-wattage lamp, (2) PRS Electronic Ballast, HLO (.95 &lt; BF &lt; 1.1)</v>
      </c>
      <c r="T838" t="str">
        <f>Table_TRM_Fixtures[[#This Row],[Fixture code  (TRM Data)]]</f>
        <v>F45GPRL/2-H</v>
      </c>
      <c r="U838" t="s">
        <v>2882</v>
      </c>
      <c r="V838" t="s">
        <v>186</v>
      </c>
      <c r="W838" t="s">
        <v>3120</v>
      </c>
      <c r="X838" t="s">
        <v>186</v>
      </c>
      <c r="Y838" t="str">
        <f>_xlfn.CONCAT(Table_TRM_Fixtures[[#This Row],[Combined Lighting/Ballast Types]],":",Table_TRM_Fixtures[[#This Row],[No. of Lamps]], ":", Table_TRM_Fixtures[[#This Row],[Lamp Watts  (TRM Data)]])</f>
        <v>T5, Electronic HLO Ballast:5:47-51</v>
      </c>
      <c r="Z838"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T5:5:47-51</v>
      </c>
      <c r="AA838">
        <f>IF(Table_TRM_Fixtures[[#This Row],[Pre-EISA Baseline]]="Nominal", Table_TRM_Fixtures[[#This Row],[Fixture Watts  (TRM Data)]], Table_TRM_Fixtures[[#This Row],[Modified Baseline Fixture Watts]])</f>
        <v>276</v>
      </c>
    </row>
    <row r="839" spans="1:27" x14ac:dyDescent="0.2">
      <c r="A839" t="s">
        <v>1466</v>
      </c>
      <c r="B839" t="s">
        <v>5592</v>
      </c>
      <c r="C839" t="s">
        <v>1465</v>
      </c>
      <c r="D839" t="s">
        <v>5591</v>
      </c>
      <c r="E839" t="s">
        <v>1386</v>
      </c>
      <c r="F839">
        <v>6</v>
      </c>
      <c r="G839">
        <v>54</v>
      </c>
      <c r="H839">
        <v>362</v>
      </c>
      <c r="I839">
        <v>15.5</v>
      </c>
      <c r="J839" s="110">
        <v>837</v>
      </c>
      <c r="K839" t="s">
        <v>1380</v>
      </c>
      <c r="L839">
        <f>IF(Table_TRM_Fixtures[[#This Row],[Technology]]="LED", Table_TRM_Fixtures[[#This Row],[Fixture Watts  (TRM Data)]], Table_TRM_Fixtures[[#This Row],[Lamp Watts  (TRM Data)]])</f>
        <v>54</v>
      </c>
      <c r="M839">
        <f>Table_TRM_Fixtures[[#This Row],[No. of Lamps  (TRM Data)]]</f>
        <v>6</v>
      </c>
      <c r="N839">
        <v>45.8</v>
      </c>
      <c r="O839" t="s">
        <v>1405</v>
      </c>
      <c r="P839" t="s">
        <v>187</v>
      </c>
      <c r="Q839" t="s">
        <v>5566</v>
      </c>
      <c r="R839" t="str">
        <f>_xlfn.CONCAT(Table_TRM_Fixtures[[#This Row],[Technology]], ", ", Table_TRM_Fixtures[[#This Row],[Ballast Code]], " Ballast")</f>
        <v>T5, Electronic HLO Ballast</v>
      </c>
      <c r="S839" t="str">
        <f>Table_TRM_Fixtures[[#This Row],[Description  (TRM Data)]]</f>
        <v>Fluorescent, (6) 45.8" T-5 HO lamps, (2) PRS Electronic Ballasts, HLO (.95 &lt; BF &lt; 1.1)</v>
      </c>
      <c r="T839" t="str">
        <f>Table_TRM_Fixtures[[#This Row],[Fixture code  (TRM Data)]]</f>
        <v>F46GPHL/2-H</v>
      </c>
      <c r="U839" t="s">
        <v>2882</v>
      </c>
      <c r="V839" t="s">
        <v>186</v>
      </c>
      <c r="W839" t="s">
        <v>3120</v>
      </c>
      <c r="X839" t="s">
        <v>186</v>
      </c>
      <c r="Y839" t="str">
        <f>_xlfn.CONCAT(Table_TRM_Fixtures[[#This Row],[Combined Lighting/Ballast Types]],":",Table_TRM_Fixtures[[#This Row],[No. of Lamps]], ":", Table_TRM_Fixtures[[#This Row],[Lamp Watts  (TRM Data)]])</f>
        <v>T5, Electronic HLO Ballast:6:54</v>
      </c>
      <c r="Z839"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T5:6:54</v>
      </c>
      <c r="AA839">
        <f>IF(Table_TRM_Fixtures[[#This Row],[Pre-EISA Baseline]]="Nominal", Table_TRM_Fixtures[[#This Row],[Fixture Watts  (TRM Data)]], Table_TRM_Fixtures[[#This Row],[Modified Baseline Fixture Watts]])</f>
        <v>362</v>
      </c>
    </row>
    <row r="840" spans="1:27" x14ac:dyDescent="0.2">
      <c r="A840" t="s">
        <v>1468</v>
      </c>
      <c r="B840" t="s">
        <v>5592</v>
      </c>
      <c r="C840" t="s">
        <v>1467</v>
      </c>
      <c r="D840" t="s">
        <v>5591</v>
      </c>
      <c r="E840" t="s">
        <v>1386</v>
      </c>
      <c r="F840">
        <v>6</v>
      </c>
      <c r="G840">
        <v>54</v>
      </c>
      <c r="H840">
        <v>351</v>
      </c>
      <c r="I840">
        <v>15.5</v>
      </c>
      <c r="J840" s="110">
        <v>838</v>
      </c>
      <c r="K840" t="s">
        <v>1380</v>
      </c>
      <c r="L840">
        <f>IF(Table_TRM_Fixtures[[#This Row],[Technology]]="LED", Table_TRM_Fixtures[[#This Row],[Fixture Watts  (TRM Data)]], Table_TRM_Fixtures[[#This Row],[Lamp Watts  (TRM Data)]])</f>
        <v>54</v>
      </c>
      <c r="M840">
        <f>Table_TRM_Fixtures[[#This Row],[No. of Lamps  (TRM Data)]]</f>
        <v>6</v>
      </c>
      <c r="N840">
        <v>45.8</v>
      </c>
      <c r="O840" t="s">
        <v>1405</v>
      </c>
      <c r="P840" t="s">
        <v>187</v>
      </c>
      <c r="Q840" t="s">
        <v>5566</v>
      </c>
      <c r="R840" t="str">
        <f>_xlfn.CONCAT(Table_TRM_Fixtures[[#This Row],[Technology]], ", ", Table_TRM_Fixtures[[#This Row],[Ballast Code]], " Ballast")</f>
        <v>T5, Electronic HLO Ballast</v>
      </c>
      <c r="S840" t="str">
        <f>Table_TRM_Fixtures[[#This Row],[Description  (TRM Data)]]</f>
        <v>Fluorescent, (6) 45.8" T-5 HO lamps, (3) PRS Electronic Ballasts, HLO (.95 &lt; BF &lt; 1.1)</v>
      </c>
      <c r="T840" t="str">
        <f>Table_TRM_Fixtures[[#This Row],[Fixture code  (TRM Data)]]</f>
        <v>F46GPHL/3-H</v>
      </c>
      <c r="U840" t="s">
        <v>2882</v>
      </c>
      <c r="V840" t="s">
        <v>186</v>
      </c>
      <c r="W840" t="s">
        <v>3120</v>
      </c>
      <c r="X840" t="s">
        <v>186</v>
      </c>
      <c r="Y840" t="s">
        <v>4815</v>
      </c>
      <c r="Z840" t="s">
        <v>4815</v>
      </c>
      <c r="AA840">
        <f>IF(Table_TRM_Fixtures[[#This Row],[Pre-EISA Baseline]]="Nominal", Table_TRM_Fixtures[[#This Row],[Fixture Watts  (TRM Data)]], Table_TRM_Fixtures[[#This Row],[Modified Baseline Fixture Watts]])</f>
        <v>351</v>
      </c>
    </row>
    <row r="841" spans="1:27" x14ac:dyDescent="0.2">
      <c r="A841" t="s">
        <v>1470</v>
      </c>
      <c r="B841" t="s">
        <v>5592</v>
      </c>
      <c r="C841" t="s">
        <v>1469</v>
      </c>
      <c r="D841" t="s">
        <v>5599</v>
      </c>
      <c r="E841" t="s">
        <v>1386</v>
      </c>
      <c r="F841">
        <v>8</v>
      </c>
      <c r="G841">
        <v>54</v>
      </c>
      <c r="H841">
        <v>460</v>
      </c>
      <c r="I841">
        <v>15.5</v>
      </c>
      <c r="J841" s="110">
        <v>839</v>
      </c>
      <c r="K841" t="s">
        <v>1380</v>
      </c>
      <c r="L841">
        <f>IF(Table_TRM_Fixtures[[#This Row],[Technology]]="LED", Table_TRM_Fixtures[[#This Row],[Fixture Watts  (TRM Data)]], Table_TRM_Fixtures[[#This Row],[Lamp Watts  (TRM Data)]])</f>
        <v>54</v>
      </c>
      <c r="M841">
        <f>Table_TRM_Fixtures[[#This Row],[No. of Lamps  (TRM Data)]]</f>
        <v>8</v>
      </c>
      <c r="N841">
        <v>45.8</v>
      </c>
      <c r="O841" t="s">
        <v>1405</v>
      </c>
      <c r="P841" t="s">
        <v>187</v>
      </c>
      <c r="Q841" t="s">
        <v>5566</v>
      </c>
      <c r="R841" t="str">
        <f>_xlfn.CONCAT(Table_TRM_Fixtures[[#This Row],[Technology]], ", ", Table_TRM_Fixtures[[#This Row],[Ballast Code]], " Ballast")</f>
        <v>T5, Electronic HLO Ballast</v>
      </c>
      <c r="S841" t="str">
        <f>Table_TRM_Fixtures[[#This Row],[Description  (TRM Data)]]</f>
        <v>Fluorescent, (8) 45.8" T-5 HO lamps, (2) PRS Electronic Ballasts, HLO (.95 &lt; BF &lt; 1.1)</v>
      </c>
      <c r="T841" t="str">
        <f>Table_TRM_Fixtures[[#This Row],[Fixture code  (TRM Data)]]</f>
        <v>F48GPHL/2-H</v>
      </c>
      <c r="U841" t="s">
        <v>2882</v>
      </c>
      <c r="V841" t="s">
        <v>186</v>
      </c>
      <c r="W841" t="s">
        <v>3120</v>
      </c>
      <c r="X841" t="s">
        <v>186</v>
      </c>
      <c r="Y841" t="str">
        <f>_xlfn.CONCAT(Table_TRM_Fixtures[[#This Row],[Combined Lighting/Ballast Types]],":",Table_TRM_Fixtures[[#This Row],[No. of Lamps]], ":", Table_TRM_Fixtures[[#This Row],[Lamp Watts  (TRM Data)]])</f>
        <v>T5, Electronic HLO Ballast:8:54</v>
      </c>
      <c r="Z841"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T5:8:54</v>
      </c>
      <c r="AA841">
        <f>IF(Table_TRM_Fixtures[[#This Row],[Pre-EISA Baseline]]="Nominal", Table_TRM_Fixtures[[#This Row],[Fixture Watts  (TRM Data)]], Table_TRM_Fixtures[[#This Row],[Modified Baseline Fixture Watts]])</f>
        <v>460</v>
      </c>
    </row>
    <row r="842" spans="1:27" x14ac:dyDescent="0.2">
      <c r="A842" t="s">
        <v>1472</v>
      </c>
      <c r="B842" t="s">
        <v>5592</v>
      </c>
      <c r="C842" t="s">
        <v>1471</v>
      </c>
      <c r="D842" t="s">
        <v>5599</v>
      </c>
      <c r="E842" t="s">
        <v>1386</v>
      </c>
      <c r="F842">
        <v>8</v>
      </c>
      <c r="G842">
        <v>54</v>
      </c>
      <c r="H842">
        <v>468</v>
      </c>
      <c r="I842">
        <v>15.5</v>
      </c>
      <c r="J842" s="110">
        <v>840</v>
      </c>
      <c r="K842" t="s">
        <v>1380</v>
      </c>
      <c r="L842">
        <f>IF(Table_TRM_Fixtures[[#This Row],[Technology]]="LED", Table_TRM_Fixtures[[#This Row],[Fixture Watts  (TRM Data)]], Table_TRM_Fixtures[[#This Row],[Lamp Watts  (TRM Data)]])</f>
        <v>54</v>
      </c>
      <c r="M842">
        <f>Table_TRM_Fixtures[[#This Row],[No. of Lamps  (TRM Data)]]</f>
        <v>8</v>
      </c>
      <c r="N842">
        <v>45.8</v>
      </c>
      <c r="O842" t="s">
        <v>1405</v>
      </c>
      <c r="P842" t="s">
        <v>187</v>
      </c>
      <c r="Q842" t="s">
        <v>5566</v>
      </c>
      <c r="R842" t="str">
        <f>_xlfn.CONCAT(Table_TRM_Fixtures[[#This Row],[Technology]], ", ", Table_TRM_Fixtures[[#This Row],[Ballast Code]], " Ballast")</f>
        <v>T5, Electronic HLO Ballast</v>
      </c>
      <c r="S842" t="str">
        <f>Table_TRM_Fixtures[[#This Row],[Description  (TRM Data)]]</f>
        <v>Fluorescent, (8) 45.8" T-5 HO lamps, (4) PRS Electronic Ballasts, HLO (.95 &lt; BF &lt; 1.1)</v>
      </c>
      <c r="T842" t="str">
        <f>Table_TRM_Fixtures[[#This Row],[Fixture code  (TRM Data)]]</f>
        <v>F48GPHL/4-H</v>
      </c>
      <c r="U842" t="s">
        <v>2882</v>
      </c>
      <c r="V842" t="s">
        <v>186</v>
      </c>
      <c r="W842" t="s">
        <v>3120</v>
      </c>
      <c r="X842" t="s">
        <v>186</v>
      </c>
      <c r="Y842" t="s">
        <v>4815</v>
      </c>
      <c r="Z842" t="s">
        <v>4815</v>
      </c>
      <c r="AA842">
        <f>IF(Table_TRM_Fixtures[[#This Row],[Pre-EISA Baseline]]="Nominal", Table_TRM_Fixtures[[#This Row],[Fixture Watts  (TRM Data)]], Table_TRM_Fixtures[[#This Row],[Modified Baseline Fixture Watts]])</f>
        <v>468</v>
      </c>
    </row>
    <row r="843" spans="1:27" x14ac:dyDescent="0.2">
      <c r="A843" t="s">
        <v>1474</v>
      </c>
      <c r="B843" t="s">
        <v>5592</v>
      </c>
      <c r="C843" t="s">
        <v>1473</v>
      </c>
      <c r="D843" t="s">
        <v>5600</v>
      </c>
      <c r="E843" t="s">
        <v>1386</v>
      </c>
      <c r="F843">
        <v>10</v>
      </c>
      <c r="G843">
        <v>54</v>
      </c>
      <c r="H843">
        <v>577</v>
      </c>
      <c r="I843">
        <v>15.5</v>
      </c>
      <c r="J843" s="110">
        <v>841</v>
      </c>
      <c r="K843" t="s">
        <v>1380</v>
      </c>
      <c r="L843">
        <f>IF(Table_TRM_Fixtures[[#This Row],[Technology]]="LED", Table_TRM_Fixtures[[#This Row],[Fixture Watts  (TRM Data)]], Table_TRM_Fixtures[[#This Row],[Lamp Watts  (TRM Data)]])</f>
        <v>54</v>
      </c>
      <c r="M843">
        <f>Table_TRM_Fixtures[[#This Row],[No. of Lamps  (TRM Data)]]</f>
        <v>10</v>
      </c>
      <c r="N843">
        <v>45.8</v>
      </c>
      <c r="O843" t="s">
        <v>1405</v>
      </c>
      <c r="P843" t="s">
        <v>187</v>
      </c>
      <c r="Q843" t="s">
        <v>5566</v>
      </c>
      <c r="R843" t="str">
        <f>_xlfn.CONCAT(Table_TRM_Fixtures[[#This Row],[Technology]], ", ", Table_TRM_Fixtures[[#This Row],[Ballast Code]], " Ballast")</f>
        <v>T5, Electronic HLO Ballast</v>
      </c>
      <c r="S843" t="str">
        <f>Table_TRM_Fixtures[[#This Row],[Description  (TRM Data)]]</f>
        <v>Fluorescent, (10) 45.8" T-5 HO lamps, (3) PRS Electronic Ballasts, HLO (.95 &lt; BF &lt; 1.1)</v>
      </c>
      <c r="T843" t="str">
        <f>Table_TRM_Fixtures[[#This Row],[Fixture code  (TRM Data)]]</f>
        <v>F410GPHL/3-H</v>
      </c>
      <c r="U843" t="s">
        <v>2882</v>
      </c>
      <c r="V843" t="s">
        <v>186</v>
      </c>
      <c r="W843" t="s">
        <v>3120</v>
      </c>
      <c r="X843" t="s">
        <v>186</v>
      </c>
      <c r="Y843" t="s">
        <v>4815</v>
      </c>
      <c r="Z843" t="s">
        <v>4815</v>
      </c>
      <c r="AA843">
        <f>IF(Table_TRM_Fixtures[[#This Row],[Pre-EISA Baseline]]="Nominal", Table_TRM_Fixtures[[#This Row],[Fixture Watts  (TRM Data)]], Table_TRM_Fixtures[[#This Row],[Modified Baseline Fixture Watts]])</f>
        <v>577</v>
      </c>
    </row>
    <row r="844" spans="1:27" x14ac:dyDescent="0.2">
      <c r="A844" t="s">
        <v>1476</v>
      </c>
      <c r="B844" t="s">
        <v>5592</v>
      </c>
      <c r="C844" t="s">
        <v>1475</v>
      </c>
      <c r="D844" t="s">
        <v>5600</v>
      </c>
      <c r="E844" t="s">
        <v>1386</v>
      </c>
      <c r="F844">
        <v>10</v>
      </c>
      <c r="G844">
        <v>54</v>
      </c>
      <c r="H844">
        <v>585</v>
      </c>
      <c r="I844">
        <v>15.5</v>
      </c>
      <c r="J844" s="110">
        <v>842</v>
      </c>
      <c r="K844" t="s">
        <v>1380</v>
      </c>
      <c r="L844">
        <f>IF(Table_TRM_Fixtures[[#This Row],[Technology]]="LED", Table_TRM_Fixtures[[#This Row],[Fixture Watts  (TRM Data)]], Table_TRM_Fixtures[[#This Row],[Lamp Watts  (TRM Data)]])</f>
        <v>54</v>
      </c>
      <c r="M844">
        <f>Table_TRM_Fixtures[[#This Row],[No. of Lamps  (TRM Data)]]</f>
        <v>10</v>
      </c>
      <c r="N844">
        <v>45.8</v>
      </c>
      <c r="O844" t="s">
        <v>1405</v>
      </c>
      <c r="P844" t="s">
        <v>187</v>
      </c>
      <c r="Q844" t="s">
        <v>5566</v>
      </c>
      <c r="R844" t="str">
        <f>_xlfn.CONCAT(Table_TRM_Fixtures[[#This Row],[Technology]], ", ", Table_TRM_Fixtures[[#This Row],[Ballast Code]], " Ballast")</f>
        <v>T5, Electronic HLO Ballast</v>
      </c>
      <c r="S844" t="str">
        <f>Table_TRM_Fixtures[[#This Row],[Description  (TRM Data)]]</f>
        <v>Fluorescent, (10) 45.8" T-5 HO lamps, (5) PRS Electronic Ballasts, HLO (.95 &lt; BF &lt; 1.1)</v>
      </c>
      <c r="T844" t="str">
        <f>Table_TRM_Fixtures[[#This Row],[Fixture code  (TRM Data)]]</f>
        <v>F410GPHL/5-H</v>
      </c>
      <c r="U844" t="s">
        <v>2882</v>
      </c>
      <c r="V844" t="s">
        <v>186</v>
      </c>
      <c r="W844" t="s">
        <v>3120</v>
      </c>
      <c r="X844" t="s">
        <v>186</v>
      </c>
      <c r="Y844" t="str">
        <f>_xlfn.CONCAT(Table_TRM_Fixtures[[#This Row],[Combined Lighting/Ballast Types]],":",Table_TRM_Fixtures[[#This Row],[No. of Lamps]], ":", Table_TRM_Fixtures[[#This Row],[Lamp Watts  (TRM Data)]])</f>
        <v>T5, Electronic HLO Ballast:10:54</v>
      </c>
      <c r="Z844"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T5:10:54</v>
      </c>
      <c r="AA844">
        <f>IF(Table_TRM_Fixtures[[#This Row],[Pre-EISA Baseline]]="Nominal", Table_TRM_Fixtures[[#This Row],[Fixture Watts  (TRM Data)]], Table_TRM_Fixtures[[#This Row],[Modified Baseline Fixture Watts]])</f>
        <v>585</v>
      </c>
    </row>
    <row r="845" spans="1:27" x14ac:dyDescent="0.2">
      <c r="A845" t="s">
        <v>1478</v>
      </c>
      <c r="B845" t="s">
        <v>5592</v>
      </c>
      <c r="C845" t="s">
        <v>1477</v>
      </c>
      <c r="D845" t="s">
        <v>5601</v>
      </c>
      <c r="E845" t="s">
        <v>1386</v>
      </c>
      <c r="F845">
        <v>12</v>
      </c>
      <c r="G845">
        <v>54</v>
      </c>
      <c r="H845">
        <v>690</v>
      </c>
      <c r="I845">
        <v>15.5</v>
      </c>
      <c r="J845" s="110">
        <v>843</v>
      </c>
      <c r="K845" t="s">
        <v>1380</v>
      </c>
      <c r="L845">
        <f>IF(Table_TRM_Fixtures[[#This Row],[Technology]]="LED", Table_TRM_Fixtures[[#This Row],[Fixture Watts  (TRM Data)]], Table_TRM_Fixtures[[#This Row],[Lamp Watts  (TRM Data)]])</f>
        <v>54</v>
      </c>
      <c r="M845">
        <f>Table_TRM_Fixtures[[#This Row],[No. of Lamps  (TRM Data)]]</f>
        <v>12</v>
      </c>
      <c r="N845">
        <v>45.8</v>
      </c>
      <c r="O845" t="s">
        <v>1405</v>
      </c>
      <c r="P845" t="s">
        <v>187</v>
      </c>
      <c r="Q845" t="s">
        <v>5566</v>
      </c>
      <c r="R845" t="str">
        <f>_xlfn.CONCAT(Table_TRM_Fixtures[[#This Row],[Technology]], ", ", Table_TRM_Fixtures[[#This Row],[Ballast Code]], " Ballast")</f>
        <v>T5, Electronic HLO Ballast</v>
      </c>
      <c r="S845" t="str">
        <f>Table_TRM_Fixtures[[#This Row],[Description  (TRM Data)]]</f>
        <v>Fluorescent, (12) 45.8" T-5 HO lamps, (3) PRS Electronic Ballasts, HLO (.95 &lt; BF &lt; 1.1)</v>
      </c>
      <c r="T845" t="str">
        <f>Table_TRM_Fixtures[[#This Row],[Fixture code  (TRM Data)]]</f>
        <v>F412GPHL/3-H</v>
      </c>
      <c r="U845" t="s">
        <v>2882</v>
      </c>
      <c r="V845" t="s">
        <v>186</v>
      </c>
      <c r="W845" t="s">
        <v>3120</v>
      </c>
      <c r="X845" t="s">
        <v>186</v>
      </c>
      <c r="Y845" t="s">
        <v>4815</v>
      </c>
      <c r="Z845" t="s">
        <v>4815</v>
      </c>
      <c r="AA845">
        <f>IF(Table_TRM_Fixtures[[#This Row],[Pre-EISA Baseline]]="Nominal", Table_TRM_Fixtures[[#This Row],[Fixture Watts  (TRM Data)]], Table_TRM_Fixtures[[#This Row],[Modified Baseline Fixture Watts]])</f>
        <v>690</v>
      </c>
    </row>
    <row r="846" spans="1:27" x14ac:dyDescent="0.2">
      <c r="A846" t="s">
        <v>1480</v>
      </c>
      <c r="B846" t="s">
        <v>5592</v>
      </c>
      <c r="C846" t="s">
        <v>1479</v>
      </c>
      <c r="D846" t="s">
        <v>5602</v>
      </c>
      <c r="E846" t="s">
        <v>1386</v>
      </c>
      <c r="F846">
        <v>12</v>
      </c>
      <c r="G846">
        <v>54</v>
      </c>
      <c r="H846">
        <v>702</v>
      </c>
      <c r="I846">
        <v>15.5</v>
      </c>
      <c r="J846" s="110">
        <v>844</v>
      </c>
      <c r="K846" t="s">
        <v>1380</v>
      </c>
      <c r="L846">
        <f>IF(Table_TRM_Fixtures[[#This Row],[Technology]]="LED", Table_TRM_Fixtures[[#This Row],[Fixture Watts  (TRM Data)]], Table_TRM_Fixtures[[#This Row],[Lamp Watts  (TRM Data)]])</f>
        <v>54</v>
      </c>
      <c r="M846">
        <f>Table_TRM_Fixtures[[#This Row],[No. of Lamps  (TRM Data)]]</f>
        <v>12</v>
      </c>
      <c r="N846">
        <v>45.8</v>
      </c>
      <c r="O846" t="s">
        <v>1405</v>
      </c>
      <c r="P846" t="s">
        <v>187</v>
      </c>
      <c r="Q846" t="s">
        <v>5566</v>
      </c>
      <c r="R846" t="str">
        <f>_xlfn.CONCAT(Table_TRM_Fixtures[[#This Row],[Technology]], ", ", Table_TRM_Fixtures[[#This Row],[Ballast Code]], " Ballast")</f>
        <v>T5, Electronic HLO Ballast</v>
      </c>
      <c r="S846" t="str">
        <f>Table_TRM_Fixtures[[#This Row],[Description  (TRM Data)]]</f>
        <v>Fluorescent, (12) 45.8" T-5 HO lamps, (6) PRS Electronic Ballasts, HLO (.95 &lt; BF &lt; 1.1)</v>
      </c>
      <c r="T846" t="str">
        <f>Table_TRM_Fixtures[[#This Row],[Fixture code  (TRM Data)]]</f>
        <v>F412GPHL/6-H</v>
      </c>
      <c r="U846" t="s">
        <v>2882</v>
      </c>
      <c r="V846" t="s">
        <v>186</v>
      </c>
      <c r="W846" t="s">
        <v>3120</v>
      </c>
      <c r="X846" t="s">
        <v>186</v>
      </c>
      <c r="Y846" t="str">
        <f>_xlfn.CONCAT(Table_TRM_Fixtures[[#This Row],[Combined Lighting/Ballast Types]],":",Table_TRM_Fixtures[[#This Row],[No. of Lamps]], ":", Table_TRM_Fixtures[[#This Row],[Lamp Watts  (TRM Data)]])</f>
        <v>T5, Electronic HLO Ballast:12:54</v>
      </c>
      <c r="Z846"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T5:12:54</v>
      </c>
      <c r="AA846">
        <f>IF(Table_TRM_Fixtures[[#This Row],[Pre-EISA Baseline]]="Nominal", Table_TRM_Fixtures[[#This Row],[Fixture Watts  (TRM Data)]], Table_TRM_Fixtures[[#This Row],[Modified Baseline Fixture Watts]])</f>
        <v>702</v>
      </c>
    </row>
    <row r="847" spans="1:27" x14ac:dyDescent="0.2">
      <c r="A847" t="s">
        <v>1482</v>
      </c>
      <c r="B847" t="s">
        <v>5598</v>
      </c>
      <c r="C847" t="s">
        <v>1481</v>
      </c>
      <c r="D847" t="s">
        <v>5593</v>
      </c>
      <c r="E847" t="s">
        <v>1386</v>
      </c>
      <c r="F847">
        <v>1</v>
      </c>
      <c r="G847" t="s">
        <v>1462</v>
      </c>
      <c r="H847">
        <v>61</v>
      </c>
      <c r="I847">
        <v>15.5</v>
      </c>
      <c r="J847" s="110">
        <v>845</v>
      </c>
      <c r="K847" t="s">
        <v>1380</v>
      </c>
      <c r="L847" t="str">
        <f>IF(Table_TRM_Fixtures[[#This Row],[Technology]]="LED", Table_TRM_Fixtures[[#This Row],[Fixture Watts  (TRM Data)]], Table_TRM_Fixtures[[#This Row],[Lamp Watts  (TRM Data)]])</f>
        <v>47-51</v>
      </c>
      <c r="M847">
        <f>Table_TRM_Fixtures[[#This Row],[No. of Lamps  (TRM Data)]]</f>
        <v>1</v>
      </c>
      <c r="N847">
        <v>45.2</v>
      </c>
      <c r="O847" t="s">
        <v>1405</v>
      </c>
      <c r="P847" t="s">
        <v>187</v>
      </c>
      <c r="Q847" t="s">
        <v>5566</v>
      </c>
      <c r="R847" t="str">
        <f>_xlfn.CONCAT(Table_TRM_Fixtures[[#This Row],[Technology]], ", ", Table_TRM_Fixtures[[#This Row],[Ballast Code]], " Ballast")</f>
        <v>T5, Electronic HLO Ballast</v>
      </c>
      <c r="S847" t="str">
        <f>Table_TRM_Fixtures[[#This Row],[Description  (TRM Data)]]</f>
        <v>Fluorescent (1) 45.2" T-5 HO reduced-wattage lamp, (1) PRS Electronic Ballast, HLO (.95 &lt; BF &lt; 1.1)</v>
      </c>
      <c r="T847" t="str">
        <f>Table_TRM_Fixtures[[#This Row],[Fixture code  (TRM Data)]]</f>
        <v>F41GPRL-H</v>
      </c>
      <c r="U847" t="s">
        <v>2882</v>
      </c>
      <c r="V847" t="s">
        <v>186</v>
      </c>
      <c r="W847" t="s">
        <v>3120</v>
      </c>
      <c r="X847" t="s">
        <v>186</v>
      </c>
      <c r="Y847" t="str">
        <f>_xlfn.CONCAT(Table_TRM_Fixtures[[#This Row],[Combined Lighting/Ballast Types]],":",Table_TRM_Fixtures[[#This Row],[No. of Lamps]], ":", Table_TRM_Fixtures[[#This Row],[Lamp Watts  (TRM Data)]])</f>
        <v>T5, Electronic HLO Ballast:1:47-51</v>
      </c>
      <c r="Z847"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T5:1:47-51</v>
      </c>
      <c r="AA847">
        <f>IF(Table_TRM_Fixtures[[#This Row],[Pre-EISA Baseline]]="Nominal", Table_TRM_Fixtures[[#This Row],[Fixture Watts  (TRM Data)]], Table_TRM_Fixtures[[#This Row],[Modified Baseline Fixture Watts]])</f>
        <v>61</v>
      </c>
    </row>
    <row r="848" spans="1:27" x14ac:dyDescent="0.2">
      <c r="A848" t="s">
        <v>1484</v>
      </c>
      <c r="B848" t="s">
        <v>5598</v>
      </c>
      <c r="C848" t="s">
        <v>1483</v>
      </c>
      <c r="D848" t="s">
        <v>5594</v>
      </c>
      <c r="E848" t="s">
        <v>1386</v>
      </c>
      <c r="F848">
        <v>2</v>
      </c>
      <c r="G848" t="s">
        <v>1462</v>
      </c>
      <c r="H848">
        <v>110</v>
      </c>
      <c r="I848">
        <v>15.5</v>
      </c>
      <c r="J848" s="110">
        <v>846</v>
      </c>
      <c r="K848" t="s">
        <v>1380</v>
      </c>
      <c r="L848" t="str">
        <f>IF(Table_TRM_Fixtures[[#This Row],[Technology]]="LED", Table_TRM_Fixtures[[#This Row],[Fixture Watts  (TRM Data)]], Table_TRM_Fixtures[[#This Row],[Lamp Watts  (TRM Data)]])</f>
        <v>47-51</v>
      </c>
      <c r="M848">
        <f>Table_TRM_Fixtures[[#This Row],[No. of Lamps  (TRM Data)]]</f>
        <v>2</v>
      </c>
      <c r="N848">
        <v>45.2</v>
      </c>
      <c r="O848" t="s">
        <v>1405</v>
      </c>
      <c r="P848" t="s">
        <v>187</v>
      </c>
      <c r="Q848" t="s">
        <v>5566</v>
      </c>
      <c r="R848" t="str">
        <f>_xlfn.CONCAT(Table_TRM_Fixtures[[#This Row],[Technology]], ", ", Table_TRM_Fixtures[[#This Row],[Ballast Code]], " Ballast")</f>
        <v>T5, Electronic HLO Ballast</v>
      </c>
      <c r="S848" t="str">
        <f>Table_TRM_Fixtures[[#This Row],[Description  (TRM Data)]]</f>
        <v>Fluorescent (2) 45.2" T-5 HO reduced-wattage lamp, (1) PRS Electronic Ballast, HLO (.95 &lt; BF &lt; 1.1)</v>
      </c>
      <c r="T848" t="str">
        <f>Table_TRM_Fixtures[[#This Row],[Fixture code  (TRM Data)]]</f>
        <v>F42GPRL-H</v>
      </c>
      <c r="U848" t="s">
        <v>2882</v>
      </c>
      <c r="V848" t="s">
        <v>186</v>
      </c>
      <c r="W848" t="s">
        <v>3120</v>
      </c>
      <c r="X848" t="s">
        <v>186</v>
      </c>
      <c r="Y848" t="str">
        <f>_xlfn.CONCAT(Table_TRM_Fixtures[[#This Row],[Combined Lighting/Ballast Types]],":",Table_TRM_Fixtures[[#This Row],[No. of Lamps]], ":", Table_TRM_Fixtures[[#This Row],[Lamp Watts  (TRM Data)]])</f>
        <v>T5, Electronic HLO Ballast:2:47-51</v>
      </c>
      <c r="Z848"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T5:2:47-51</v>
      </c>
      <c r="AA848">
        <f>IF(Table_TRM_Fixtures[[#This Row],[Pre-EISA Baseline]]="Nominal", Table_TRM_Fixtures[[#This Row],[Fixture Watts  (TRM Data)]], Table_TRM_Fixtures[[#This Row],[Modified Baseline Fixture Watts]])</f>
        <v>110</v>
      </c>
    </row>
    <row r="849" spans="1:27" x14ac:dyDescent="0.2">
      <c r="A849" t="s">
        <v>1486</v>
      </c>
      <c r="B849" t="s">
        <v>5598</v>
      </c>
      <c r="C849" t="s">
        <v>1485</v>
      </c>
      <c r="D849" t="s">
        <v>5595</v>
      </c>
      <c r="E849" t="s">
        <v>1386</v>
      </c>
      <c r="F849">
        <v>3</v>
      </c>
      <c r="G849" t="s">
        <v>1462</v>
      </c>
      <c r="H849">
        <v>166</v>
      </c>
      <c r="I849">
        <v>15.5</v>
      </c>
      <c r="J849" s="110">
        <v>847</v>
      </c>
      <c r="K849" t="s">
        <v>1380</v>
      </c>
      <c r="L849" t="str">
        <f>IF(Table_TRM_Fixtures[[#This Row],[Technology]]="LED", Table_TRM_Fixtures[[#This Row],[Fixture Watts  (TRM Data)]], Table_TRM_Fixtures[[#This Row],[Lamp Watts  (TRM Data)]])</f>
        <v>47-51</v>
      </c>
      <c r="M849">
        <f>Table_TRM_Fixtures[[#This Row],[No. of Lamps  (TRM Data)]]</f>
        <v>3</v>
      </c>
      <c r="N849">
        <v>45.2</v>
      </c>
      <c r="O849" t="s">
        <v>1405</v>
      </c>
      <c r="P849" t="s">
        <v>187</v>
      </c>
      <c r="Q849" t="s">
        <v>5566</v>
      </c>
      <c r="R849" t="str">
        <f>_xlfn.CONCAT(Table_TRM_Fixtures[[#This Row],[Technology]], ", ", Table_TRM_Fixtures[[#This Row],[Ballast Code]], " Ballast")</f>
        <v>T5, Electronic HLO Ballast</v>
      </c>
      <c r="S849" t="str">
        <f>Table_TRM_Fixtures[[#This Row],[Description  (TRM Data)]]</f>
        <v>Fluorescent (3) 45.2" T-5 HO reduced-wattage lamp, (1) PRS Electronic Ballast, HLO (.95 &lt; BF &lt; 1.1)</v>
      </c>
      <c r="T849" t="str">
        <f>Table_TRM_Fixtures[[#This Row],[Fixture code  (TRM Data)]]</f>
        <v>F43GPRL-H</v>
      </c>
      <c r="U849" t="s">
        <v>2882</v>
      </c>
      <c r="V849" t="s">
        <v>186</v>
      </c>
      <c r="W849" t="s">
        <v>3120</v>
      </c>
      <c r="X849" t="s">
        <v>186</v>
      </c>
      <c r="Y849" t="str">
        <f>_xlfn.CONCAT(Table_TRM_Fixtures[[#This Row],[Combined Lighting/Ballast Types]],":",Table_TRM_Fixtures[[#This Row],[No. of Lamps]], ":", Table_TRM_Fixtures[[#This Row],[Lamp Watts  (TRM Data)]])</f>
        <v>T5, Electronic HLO Ballast:3:47-51</v>
      </c>
      <c r="Z849"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T5:3:47-51</v>
      </c>
      <c r="AA849">
        <f>IF(Table_TRM_Fixtures[[#This Row],[Pre-EISA Baseline]]="Nominal", Table_TRM_Fixtures[[#This Row],[Fixture Watts  (TRM Data)]], Table_TRM_Fixtures[[#This Row],[Modified Baseline Fixture Watts]])</f>
        <v>166</v>
      </c>
    </row>
    <row r="850" spans="1:27" x14ac:dyDescent="0.2">
      <c r="A850" t="s">
        <v>1488</v>
      </c>
      <c r="B850" t="s">
        <v>5598</v>
      </c>
      <c r="C850" t="s">
        <v>1487</v>
      </c>
      <c r="D850" t="s">
        <v>5596</v>
      </c>
      <c r="E850" t="s">
        <v>1386</v>
      </c>
      <c r="F850">
        <v>4</v>
      </c>
      <c r="G850" t="s">
        <v>1462</v>
      </c>
      <c r="H850">
        <v>211</v>
      </c>
      <c r="I850">
        <v>15.5</v>
      </c>
      <c r="J850" s="110">
        <v>848</v>
      </c>
      <c r="K850" t="s">
        <v>1380</v>
      </c>
      <c r="L850" t="str">
        <f>IF(Table_TRM_Fixtures[[#This Row],[Technology]]="LED", Table_TRM_Fixtures[[#This Row],[Fixture Watts  (TRM Data)]], Table_TRM_Fixtures[[#This Row],[Lamp Watts  (TRM Data)]])</f>
        <v>47-51</v>
      </c>
      <c r="M850">
        <f>Table_TRM_Fixtures[[#This Row],[No. of Lamps  (TRM Data)]]</f>
        <v>4</v>
      </c>
      <c r="N850">
        <v>45.2</v>
      </c>
      <c r="O850" t="s">
        <v>1405</v>
      </c>
      <c r="P850" t="s">
        <v>187</v>
      </c>
      <c r="Q850" t="s">
        <v>5566</v>
      </c>
      <c r="R850" t="str">
        <f>_xlfn.CONCAT(Table_TRM_Fixtures[[#This Row],[Technology]], ", ", Table_TRM_Fixtures[[#This Row],[Ballast Code]], " Ballast")</f>
        <v>T5, Electronic HLO Ballast</v>
      </c>
      <c r="S850" t="str">
        <f>Table_TRM_Fixtures[[#This Row],[Description  (TRM Data)]]</f>
        <v>Fluorescent (4) 45.2" T-5 HO reduced-wattage lamp, (1) PRS Electronic Ballast, HLO (.95 &lt; BF &lt; 1.1)</v>
      </c>
      <c r="T850" t="str">
        <f>Table_TRM_Fixtures[[#This Row],[Fixture code  (TRM Data)]]</f>
        <v>F44GPRL-H</v>
      </c>
      <c r="U850" t="s">
        <v>2882</v>
      </c>
      <c r="V850" t="s">
        <v>186</v>
      </c>
      <c r="W850" t="s">
        <v>3120</v>
      </c>
      <c r="X850" t="s">
        <v>186</v>
      </c>
      <c r="Y850" t="str">
        <f>_xlfn.CONCAT(Table_TRM_Fixtures[[#This Row],[Combined Lighting/Ballast Types]],":",Table_TRM_Fixtures[[#This Row],[No. of Lamps]], ":", Table_TRM_Fixtures[[#This Row],[Lamp Watts  (TRM Data)]])</f>
        <v>T5, Electronic HLO Ballast:4:47-51</v>
      </c>
      <c r="Z850"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T5:4:47-51</v>
      </c>
      <c r="AA850">
        <f>IF(Table_TRM_Fixtures[[#This Row],[Pre-EISA Baseline]]="Nominal", Table_TRM_Fixtures[[#This Row],[Fixture Watts  (TRM Data)]], Table_TRM_Fixtures[[#This Row],[Modified Baseline Fixture Watts]])</f>
        <v>211</v>
      </c>
    </row>
    <row r="851" spans="1:27" x14ac:dyDescent="0.2">
      <c r="A851" t="s">
        <v>1490</v>
      </c>
      <c r="B851" t="s">
        <v>5598</v>
      </c>
      <c r="C851" t="s">
        <v>1489</v>
      </c>
      <c r="D851" t="s">
        <v>5599</v>
      </c>
      <c r="E851" t="s">
        <v>1386</v>
      </c>
      <c r="F851">
        <v>8</v>
      </c>
      <c r="G851">
        <v>50</v>
      </c>
      <c r="H851">
        <v>428</v>
      </c>
      <c r="I851">
        <v>15.5</v>
      </c>
      <c r="J851" s="110">
        <v>849</v>
      </c>
      <c r="K851" t="s">
        <v>1380</v>
      </c>
      <c r="L851">
        <f>IF(Table_TRM_Fixtures[[#This Row],[Technology]]="LED", Table_TRM_Fixtures[[#This Row],[Fixture Watts  (TRM Data)]], Table_TRM_Fixtures[[#This Row],[Lamp Watts  (TRM Data)]])</f>
        <v>50</v>
      </c>
      <c r="M851">
        <f>Table_TRM_Fixtures[[#This Row],[No. of Lamps  (TRM Data)]]</f>
        <v>8</v>
      </c>
      <c r="N851">
        <v>45.8</v>
      </c>
      <c r="O851" t="s">
        <v>1405</v>
      </c>
      <c r="P851" t="s">
        <v>187</v>
      </c>
      <c r="Q851" t="s">
        <v>5566</v>
      </c>
      <c r="R851" t="str">
        <f>_xlfn.CONCAT(Table_TRM_Fixtures[[#This Row],[Technology]], ", ", Table_TRM_Fixtures[[#This Row],[Ballast Code]], " Ballast")</f>
        <v>T5, Electronic HLO Ballast</v>
      </c>
      <c r="S851" t="str">
        <f>Table_TRM_Fixtures[[#This Row],[Description  (TRM Data)]]</f>
        <v>Fluorescent, (8) 45.8" T-5 HO reduced-wattage lamps, (2) PRS Electronic Ballasts, HLO (.95 &lt; BF &lt; 1.1)</v>
      </c>
      <c r="T851" t="str">
        <f>Table_TRM_Fixtures[[#This Row],[Fixture code  (TRM Data)]]</f>
        <v>F48GPRL/2-H</v>
      </c>
      <c r="U851" t="s">
        <v>2882</v>
      </c>
      <c r="V851" t="s">
        <v>186</v>
      </c>
      <c r="W851" t="s">
        <v>3120</v>
      </c>
      <c r="X851" t="s">
        <v>186</v>
      </c>
      <c r="Y851" t="str">
        <f>_xlfn.CONCAT(Table_TRM_Fixtures[[#This Row],[Combined Lighting/Ballast Types]],":",Table_TRM_Fixtures[[#This Row],[No. of Lamps]], ":", Table_TRM_Fixtures[[#This Row],[Lamp Watts  (TRM Data)]])</f>
        <v>T5, Electronic HLO Ballast:8:50</v>
      </c>
      <c r="Z851"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T5:8:50</v>
      </c>
      <c r="AA851">
        <f>IF(Table_TRM_Fixtures[[#This Row],[Pre-EISA Baseline]]="Nominal", Table_TRM_Fixtures[[#This Row],[Fixture Watts  (TRM Data)]], Table_TRM_Fixtures[[#This Row],[Modified Baseline Fixture Watts]])</f>
        <v>428</v>
      </c>
    </row>
    <row r="852" spans="1:27" x14ac:dyDescent="0.2">
      <c r="A852" t="s">
        <v>1492</v>
      </c>
      <c r="B852" t="s">
        <v>5598</v>
      </c>
      <c r="C852" t="s">
        <v>1491</v>
      </c>
      <c r="D852" t="s">
        <v>5599</v>
      </c>
      <c r="E852" t="s">
        <v>1386</v>
      </c>
      <c r="F852">
        <v>8</v>
      </c>
      <c r="G852">
        <v>50</v>
      </c>
      <c r="H852">
        <v>436</v>
      </c>
      <c r="I852">
        <v>15.5</v>
      </c>
      <c r="J852" s="110">
        <v>850</v>
      </c>
      <c r="K852" t="s">
        <v>1380</v>
      </c>
      <c r="L852">
        <f>IF(Table_TRM_Fixtures[[#This Row],[Technology]]="LED", Table_TRM_Fixtures[[#This Row],[Fixture Watts  (TRM Data)]], Table_TRM_Fixtures[[#This Row],[Lamp Watts  (TRM Data)]])</f>
        <v>50</v>
      </c>
      <c r="M852">
        <f>Table_TRM_Fixtures[[#This Row],[No. of Lamps  (TRM Data)]]</f>
        <v>8</v>
      </c>
      <c r="N852">
        <v>45.8</v>
      </c>
      <c r="O852" t="s">
        <v>1405</v>
      </c>
      <c r="P852" t="s">
        <v>187</v>
      </c>
      <c r="Q852" t="s">
        <v>5566</v>
      </c>
      <c r="R852" t="str">
        <f>_xlfn.CONCAT(Table_TRM_Fixtures[[#This Row],[Technology]], ", ", Table_TRM_Fixtures[[#This Row],[Ballast Code]], " Ballast")</f>
        <v>T5, Electronic HLO Ballast</v>
      </c>
      <c r="S852" t="str">
        <f>Table_TRM_Fixtures[[#This Row],[Description  (TRM Data)]]</f>
        <v>Fluorescent, (8) 45.8" T-5 HO reduced-wattage lamps, (4) PRS Electronic Ballasts, HLO (.95 &lt; BF &lt; 1.1)</v>
      </c>
      <c r="T852" t="str">
        <f>Table_TRM_Fixtures[[#This Row],[Fixture code  (TRM Data)]]</f>
        <v>F48GPRL/4-H</v>
      </c>
      <c r="U852" t="s">
        <v>2882</v>
      </c>
      <c r="V852" t="s">
        <v>186</v>
      </c>
      <c r="W852" t="s">
        <v>3120</v>
      </c>
      <c r="X852" t="s">
        <v>186</v>
      </c>
      <c r="Y852" t="s">
        <v>4815</v>
      </c>
      <c r="Z852" t="s">
        <v>4815</v>
      </c>
      <c r="AA852">
        <f>IF(Table_TRM_Fixtures[[#This Row],[Pre-EISA Baseline]]="Nominal", Table_TRM_Fixtures[[#This Row],[Fixture Watts  (TRM Data)]], Table_TRM_Fixtures[[#This Row],[Modified Baseline Fixture Watts]])</f>
        <v>436</v>
      </c>
    </row>
    <row r="853" spans="1:27" x14ac:dyDescent="0.2">
      <c r="A853" t="s">
        <v>1494</v>
      </c>
      <c r="B853" t="s">
        <v>5598</v>
      </c>
      <c r="C853" t="s">
        <v>1493</v>
      </c>
      <c r="D853" t="s">
        <v>5600</v>
      </c>
      <c r="E853" t="s">
        <v>1386</v>
      </c>
      <c r="F853">
        <v>10</v>
      </c>
      <c r="G853">
        <v>50</v>
      </c>
      <c r="H853">
        <v>537</v>
      </c>
      <c r="I853">
        <v>15.5</v>
      </c>
      <c r="J853" s="110">
        <v>851</v>
      </c>
      <c r="K853" t="s">
        <v>1380</v>
      </c>
      <c r="L853">
        <f>IF(Table_TRM_Fixtures[[#This Row],[Technology]]="LED", Table_TRM_Fixtures[[#This Row],[Fixture Watts  (TRM Data)]], Table_TRM_Fixtures[[#This Row],[Lamp Watts  (TRM Data)]])</f>
        <v>50</v>
      </c>
      <c r="M853">
        <f>Table_TRM_Fixtures[[#This Row],[No. of Lamps  (TRM Data)]]</f>
        <v>10</v>
      </c>
      <c r="N853">
        <v>45.8</v>
      </c>
      <c r="O853" t="s">
        <v>1405</v>
      </c>
      <c r="P853" t="s">
        <v>187</v>
      </c>
      <c r="Q853" t="s">
        <v>5566</v>
      </c>
      <c r="R853" t="str">
        <f>_xlfn.CONCAT(Table_TRM_Fixtures[[#This Row],[Technology]], ", ", Table_TRM_Fixtures[[#This Row],[Ballast Code]], " Ballast")</f>
        <v>T5, Electronic HLO Ballast</v>
      </c>
      <c r="S853" t="str">
        <f>Table_TRM_Fixtures[[#This Row],[Description  (TRM Data)]]</f>
        <v>Fluorescent, (10) 45.8" T-5 HO reduced-wattage lamps, (3) PRS Electronic Ballast, HLO (.95 &lt; BF &lt; 1.1)</v>
      </c>
      <c r="T853" t="str">
        <f>Table_TRM_Fixtures[[#This Row],[Fixture code  (TRM Data)]]</f>
        <v>F410GPRL/3-H</v>
      </c>
      <c r="U853" t="s">
        <v>2882</v>
      </c>
      <c r="V853" t="s">
        <v>186</v>
      </c>
      <c r="W853" t="s">
        <v>3120</v>
      </c>
      <c r="X853" t="s">
        <v>186</v>
      </c>
      <c r="Y853" t="s">
        <v>4815</v>
      </c>
      <c r="Z853" t="s">
        <v>4815</v>
      </c>
      <c r="AA853">
        <f>IF(Table_TRM_Fixtures[[#This Row],[Pre-EISA Baseline]]="Nominal", Table_TRM_Fixtures[[#This Row],[Fixture Watts  (TRM Data)]], Table_TRM_Fixtures[[#This Row],[Modified Baseline Fixture Watts]])</f>
        <v>537</v>
      </c>
    </row>
    <row r="854" spans="1:27" x14ac:dyDescent="0.2">
      <c r="A854" t="s">
        <v>1496</v>
      </c>
      <c r="B854" t="s">
        <v>5598</v>
      </c>
      <c r="C854" t="s">
        <v>1495</v>
      </c>
      <c r="D854" t="s">
        <v>5600</v>
      </c>
      <c r="E854" t="s">
        <v>1386</v>
      </c>
      <c r="F854">
        <v>10</v>
      </c>
      <c r="G854">
        <v>50</v>
      </c>
      <c r="H854">
        <v>545</v>
      </c>
      <c r="I854">
        <v>15.5</v>
      </c>
      <c r="J854" s="110">
        <v>852</v>
      </c>
      <c r="K854" t="s">
        <v>1380</v>
      </c>
      <c r="L854">
        <f>IF(Table_TRM_Fixtures[[#This Row],[Technology]]="LED", Table_TRM_Fixtures[[#This Row],[Fixture Watts  (TRM Data)]], Table_TRM_Fixtures[[#This Row],[Lamp Watts  (TRM Data)]])</f>
        <v>50</v>
      </c>
      <c r="M854">
        <f>Table_TRM_Fixtures[[#This Row],[No. of Lamps  (TRM Data)]]</f>
        <v>10</v>
      </c>
      <c r="N854">
        <v>45.8</v>
      </c>
      <c r="O854" t="s">
        <v>1405</v>
      </c>
      <c r="P854" t="s">
        <v>187</v>
      </c>
      <c r="Q854" t="s">
        <v>5566</v>
      </c>
      <c r="R854" t="str">
        <f>_xlfn.CONCAT(Table_TRM_Fixtures[[#This Row],[Technology]], ", ", Table_TRM_Fixtures[[#This Row],[Ballast Code]], " Ballast")</f>
        <v>T5, Electronic HLO Ballast</v>
      </c>
      <c r="S854" t="str">
        <f>Table_TRM_Fixtures[[#This Row],[Description  (TRM Data)]]</f>
        <v>Fluorescent, (10) 45.8" T-5 HO reduced-wattage lamps, (5) PRS Electronic Ballast, HLO (.95 &lt; BF &lt; 1.1)</v>
      </c>
      <c r="T854" t="str">
        <f>Table_TRM_Fixtures[[#This Row],[Fixture code  (TRM Data)]]</f>
        <v>F410GPRL/5-H</v>
      </c>
      <c r="U854" t="s">
        <v>2882</v>
      </c>
      <c r="V854" t="s">
        <v>186</v>
      </c>
      <c r="W854" t="s">
        <v>3120</v>
      </c>
      <c r="X854" t="s">
        <v>186</v>
      </c>
      <c r="Y854" t="str">
        <f>_xlfn.CONCAT(Table_TRM_Fixtures[[#This Row],[Combined Lighting/Ballast Types]],":",Table_TRM_Fixtures[[#This Row],[No. of Lamps]], ":", Table_TRM_Fixtures[[#This Row],[Lamp Watts  (TRM Data)]])</f>
        <v>T5, Electronic HLO Ballast:10:50</v>
      </c>
      <c r="Z854"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T5:10:50</v>
      </c>
      <c r="AA854">
        <f>IF(Table_TRM_Fixtures[[#This Row],[Pre-EISA Baseline]]="Nominal", Table_TRM_Fixtures[[#This Row],[Fixture Watts  (TRM Data)]], Table_TRM_Fixtures[[#This Row],[Modified Baseline Fixture Watts]])</f>
        <v>545</v>
      </c>
    </row>
    <row r="855" spans="1:27" x14ac:dyDescent="0.2">
      <c r="A855" t="s">
        <v>1498</v>
      </c>
      <c r="B855" t="s">
        <v>5598</v>
      </c>
      <c r="C855" t="s">
        <v>1497</v>
      </c>
      <c r="D855" t="s">
        <v>5602</v>
      </c>
      <c r="E855" t="s">
        <v>1386</v>
      </c>
      <c r="F855">
        <v>12</v>
      </c>
      <c r="G855">
        <v>50</v>
      </c>
      <c r="H855">
        <v>642</v>
      </c>
      <c r="I855">
        <v>15.5</v>
      </c>
      <c r="J855" s="110">
        <v>853</v>
      </c>
      <c r="K855" t="s">
        <v>1380</v>
      </c>
      <c r="L855">
        <f>IF(Table_TRM_Fixtures[[#This Row],[Technology]]="LED", Table_TRM_Fixtures[[#This Row],[Fixture Watts  (TRM Data)]], Table_TRM_Fixtures[[#This Row],[Lamp Watts  (TRM Data)]])</f>
        <v>50</v>
      </c>
      <c r="M855">
        <f>Table_TRM_Fixtures[[#This Row],[No. of Lamps  (TRM Data)]]</f>
        <v>12</v>
      </c>
      <c r="N855">
        <v>45.8</v>
      </c>
      <c r="O855" t="s">
        <v>1405</v>
      </c>
      <c r="P855" t="s">
        <v>187</v>
      </c>
      <c r="Q855" t="s">
        <v>5566</v>
      </c>
      <c r="R855" t="str">
        <f>_xlfn.CONCAT(Table_TRM_Fixtures[[#This Row],[Technology]], ", ", Table_TRM_Fixtures[[#This Row],[Ballast Code]], " Ballast")</f>
        <v>T5, Electronic HLO Ballast</v>
      </c>
      <c r="S855" t="str">
        <f>Table_TRM_Fixtures[[#This Row],[Description  (TRM Data)]]</f>
        <v>Fluorescent, (12) 45.8" T-5 HO reduced-wattage lamps, (3) PRS Electronic Ballasts, HLO (.95 &lt; BF &lt; 1.1)</v>
      </c>
      <c r="T855" t="str">
        <f>Table_TRM_Fixtures[[#This Row],[Fixture code  (TRM Data)]]</f>
        <v>F412GPRL/3-H</v>
      </c>
      <c r="U855" t="s">
        <v>2882</v>
      </c>
      <c r="V855" t="s">
        <v>186</v>
      </c>
      <c r="W855" t="s">
        <v>3120</v>
      </c>
      <c r="X855" t="s">
        <v>186</v>
      </c>
      <c r="Y855" t="s">
        <v>4815</v>
      </c>
      <c r="Z855" t="s">
        <v>4815</v>
      </c>
      <c r="AA855">
        <f>IF(Table_TRM_Fixtures[[#This Row],[Pre-EISA Baseline]]="Nominal", Table_TRM_Fixtures[[#This Row],[Fixture Watts  (TRM Data)]], Table_TRM_Fixtures[[#This Row],[Modified Baseline Fixture Watts]])</f>
        <v>642</v>
      </c>
    </row>
    <row r="856" spans="1:27" x14ac:dyDescent="0.2">
      <c r="A856" t="s">
        <v>1500</v>
      </c>
      <c r="B856" t="s">
        <v>5598</v>
      </c>
      <c r="C856" t="s">
        <v>1499</v>
      </c>
      <c r="D856" t="s">
        <v>5602</v>
      </c>
      <c r="E856" t="s">
        <v>1386</v>
      </c>
      <c r="F856">
        <v>12</v>
      </c>
      <c r="G856">
        <v>50</v>
      </c>
      <c r="H856">
        <v>654</v>
      </c>
      <c r="I856">
        <v>15.5</v>
      </c>
      <c r="J856" s="110">
        <v>854</v>
      </c>
      <c r="K856" t="s">
        <v>1380</v>
      </c>
      <c r="L856">
        <f>IF(Table_TRM_Fixtures[[#This Row],[Technology]]="LED", Table_TRM_Fixtures[[#This Row],[Fixture Watts  (TRM Data)]], Table_TRM_Fixtures[[#This Row],[Lamp Watts  (TRM Data)]])</f>
        <v>50</v>
      </c>
      <c r="M856">
        <f>Table_TRM_Fixtures[[#This Row],[No. of Lamps  (TRM Data)]]</f>
        <v>12</v>
      </c>
      <c r="N856">
        <v>45.8</v>
      </c>
      <c r="O856" t="s">
        <v>1405</v>
      </c>
      <c r="P856" t="s">
        <v>187</v>
      </c>
      <c r="Q856" t="s">
        <v>5566</v>
      </c>
      <c r="R856" t="str">
        <f>_xlfn.CONCAT(Table_TRM_Fixtures[[#This Row],[Technology]], ", ", Table_TRM_Fixtures[[#This Row],[Ballast Code]], " Ballast")</f>
        <v>T5, Electronic HLO Ballast</v>
      </c>
      <c r="S856" t="str">
        <f>Table_TRM_Fixtures[[#This Row],[Description  (TRM Data)]]</f>
        <v>Fluorescent, (12) 45.8" T-5 HO reduced-wattage lamps, (6) PRS Electronic Ballasts, HLO (.95 &lt; BF &lt; 1.1)</v>
      </c>
      <c r="T856" t="str">
        <f>Table_TRM_Fixtures[[#This Row],[Fixture code  (TRM Data)]]</f>
        <v>F412GPRL/6-H</v>
      </c>
      <c r="U856" t="s">
        <v>2882</v>
      </c>
      <c r="V856" t="s">
        <v>186</v>
      </c>
      <c r="W856" t="s">
        <v>3120</v>
      </c>
      <c r="X856" t="s">
        <v>186</v>
      </c>
      <c r="Y856" t="str">
        <f>_xlfn.CONCAT(Table_TRM_Fixtures[[#This Row],[Combined Lighting/Ballast Types]],":",Table_TRM_Fixtures[[#This Row],[No. of Lamps]], ":", Table_TRM_Fixtures[[#This Row],[Lamp Watts  (TRM Data)]])</f>
        <v>T5, Electronic HLO Ballast:12:50</v>
      </c>
      <c r="Z856"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T5:12:50</v>
      </c>
      <c r="AA856">
        <f>IF(Table_TRM_Fixtures[[#This Row],[Pre-EISA Baseline]]="Nominal", Table_TRM_Fixtures[[#This Row],[Fixture Watts  (TRM Data)]], Table_TRM_Fixtures[[#This Row],[Modified Baseline Fixture Watts]])</f>
        <v>654</v>
      </c>
    </row>
    <row r="857" spans="1:27" x14ac:dyDescent="0.2">
      <c r="A857" t="s">
        <v>1502</v>
      </c>
      <c r="B857" t="s">
        <v>5603</v>
      </c>
      <c r="C857" t="s">
        <v>1501</v>
      </c>
      <c r="D857" t="s">
        <v>5604</v>
      </c>
      <c r="E857" t="s">
        <v>1386</v>
      </c>
      <c r="F857">
        <v>1</v>
      </c>
      <c r="G857">
        <v>80</v>
      </c>
      <c r="H857">
        <v>90</v>
      </c>
      <c r="I857">
        <v>15.5</v>
      </c>
      <c r="J857" s="110">
        <v>855</v>
      </c>
      <c r="K857" t="s">
        <v>1380</v>
      </c>
      <c r="L857">
        <f>IF(Table_TRM_Fixtures[[#This Row],[Technology]]="LED", Table_TRM_Fixtures[[#This Row],[Fixture Watts  (TRM Data)]], Table_TRM_Fixtures[[#This Row],[Lamp Watts  (TRM Data)]])</f>
        <v>80</v>
      </c>
      <c r="M857">
        <f>Table_TRM_Fixtures[[#This Row],[No. of Lamps  (TRM Data)]]</f>
        <v>1</v>
      </c>
      <c r="N857">
        <v>57.6</v>
      </c>
      <c r="O857" t="s">
        <v>1405</v>
      </c>
      <c r="P857" t="s">
        <v>187</v>
      </c>
      <c r="Q857" t="s">
        <v>5566</v>
      </c>
      <c r="R857" t="str">
        <f>_xlfn.CONCAT(Table_TRM_Fixtures[[#This Row],[Technology]], " ", Table_TRM_Fixtures[[#This Row],[Ballast Code]], " Ballast")</f>
        <v>T5 Electronic HLO Ballast</v>
      </c>
      <c r="S857" t="str">
        <f>Table_TRM_Fixtures[[#This Row],[Description  (TRM Data)]]</f>
        <v>Fluorescent (1) 57.6" (1463mm) T-5 HO lamp; (1) Prog.Start or PRS Ballast, HLO (.95 &lt; BF &lt; 1.1)</v>
      </c>
      <c r="T857" t="str">
        <f>Table_TRM_Fixtures[[#This Row],[Fixture code  (TRM Data)]]</f>
        <v>F51GPHL-H</v>
      </c>
      <c r="U857" t="s">
        <v>2883</v>
      </c>
      <c r="V857" t="s">
        <v>5562</v>
      </c>
      <c r="W857" t="s">
        <v>3120</v>
      </c>
      <c r="X857" t="s">
        <v>186</v>
      </c>
      <c r="AA857">
        <f>IF(Table_TRM_Fixtures[[#This Row],[Pre-EISA Baseline]]="Nominal", Table_TRM_Fixtures[[#This Row],[Fixture Watts  (TRM Data)]], Table_TRM_Fixtures[[#This Row],[Modified Baseline Fixture Watts]])</f>
        <v>90</v>
      </c>
    </row>
    <row r="858" spans="1:27" x14ac:dyDescent="0.2">
      <c r="A858" t="s">
        <v>1504</v>
      </c>
      <c r="B858" t="s">
        <v>5603</v>
      </c>
      <c r="C858" t="s">
        <v>1503</v>
      </c>
      <c r="D858" t="s">
        <v>5605</v>
      </c>
      <c r="E858" t="s">
        <v>1386</v>
      </c>
      <c r="F858">
        <v>2</v>
      </c>
      <c r="G858">
        <v>80</v>
      </c>
      <c r="H858">
        <v>180</v>
      </c>
      <c r="I858">
        <v>15.5</v>
      </c>
      <c r="J858" s="110">
        <v>856</v>
      </c>
      <c r="K858" t="s">
        <v>1380</v>
      </c>
      <c r="L858">
        <f>IF(Table_TRM_Fixtures[[#This Row],[Technology]]="LED", Table_TRM_Fixtures[[#This Row],[Fixture Watts  (TRM Data)]], Table_TRM_Fixtures[[#This Row],[Lamp Watts  (TRM Data)]])</f>
        <v>80</v>
      </c>
      <c r="M858">
        <f>Table_TRM_Fixtures[[#This Row],[No. of Lamps  (TRM Data)]]</f>
        <v>2</v>
      </c>
      <c r="N858">
        <v>57.6</v>
      </c>
      <c r="O858" t="s">
        <v>1405</v>
      </c>
      <c r="P858" t="s">
        <v>187</v>
      </c>
      <c r="Q858" t="s">
        <v>5566</v>
      </c>
      <c r="R858" t="str">
        <f>_xlfn.CONCAT(Table_TRM_Fixtures[[#This Row],[Technology]], " ", Table_TRM_Fixtures[[#This Row],[Ballast Code]], " Ballast")</f>
        <v>T5 Electronic HLO Ballast</v>
      </c>
      <c r="S858" t="str">
        <f>Table_TRM_Fixtures[[#This Row],[Description  (TRM Data)]]</f>
        <v>Fluorescent (2) 57.6" (1463mm) T-5 HO lamps; (1) Prog.Start or PRS Ballast, HLO (.95 &lt; BF &lt; 1.1)</v>
      </c>
      <c r="T858" t="str">
        <f>Table_TRM_Fixtures[[#This Row],[Fixture code  (TRM Data)]]</f>
        <v>F52GPHL/2-H</v>
      </c>
      <c r="U858" t="s">
        <v>2883</v>
      </c>
      <c r="V858" t="s">
        <v>5562</v>
      </c>
      <c r="W858" t="s">
        <v>3120</v>
      </c>
      <c r="X858" t="s">
        <v>186</v>
      </c>
      <c r="AA858">
        <f>IF(Table_TRM_Fixtures[[#This Row],[Pre-EISA Baseline]]="Nominal", Table_TRM_Fixtures[[#This Row],[Fixture Watts  (TRM Data)]], Table_TRM_Fixtures[[#This Row],[Modified Baseline Fixture Watts]])</f>
        <v>180</v>
      </c>
    </row>
    <row r="859" spans="1:27" x14ac:dyDescent="0.2">
      <c r="A859" t="s">
        <v>1507</v>
      </c>
      <c r="B859" t="s">
        <v>5606</v>
      </c>
      <c r="C859" t="s">
        <v>1506</v>
      </c>
      <c r="D859" t="s">
        <v>5607</v>
      </c>
      <c r="E859" t="s">
        <v>1309</v>
      </c>
      <c r="F859">
        <v>1</v>
      </c>
      <c r="G859">
        <v>15</v>
      </c>
      <c r="H859">
        <v>19</v>
      </c>
      <c r="I859">
        <v>15.5</v>
      </c>
      <c r="J859" s="110">
        <v>857</v>
      </c>
      <c r="K859" t="s">
        <v>1505</v>
      </c>
      <c r="L859">
        <f>IF(Table_TRM_Fixtures[[#This Row],[Technology]]="LED", Table_TRM_Fixtures[[#This Row],[Fixture Watts  (TRM Data)]], Table_TRM_Fixtures[[#This Row],[Lamp Watts  (TRM Data)]])</f>
        <v>15</v>
      </c>
      <c r="M859">
        <f>Table_TRM_Fixtures[[#This Row],[No. of Lamps  (TRM Data)]]</f>
        <v>1</v>
      </c>
      <c r="N859">
        <v>18</v>
      </c>
      <c r="O859" t="s">
        <v>1381</v>
      </c>
      <c r="P859" t="s">
        <v>2640</v>
      </c>
      <c r="Q859" t="s">
        <v>5608</v>
      </c>
      <c r="R859" t="str">
        <f>_xlfn.CONCAT(Table_TRM_Fixtures[[#This Row],[Technology]], " ", Table_TRM_Fixtures[[#This Row],[Ballast Code]], " Ballast")</f>
        <v>T8 Magnetic STD Ballast</v>
      </c>
      <c r="S859" t="str">
        <f>Table_TRM_Fixtures[[#This Row],[Description  (TRM Data)]]</f>
        <v>Fluorescent, (1) 18" T-8 lamp</v>
      </c>
      <c r="T859" t="str">
        <f>Table_TRM_Fixtures[[#This Row],[Fixture code  (TRM Data)]]</f>
        <v>F1.51LS</v>
      </c>
      <c r="U859" t="s">
        <v>2883</v>
      </c>
      <c r="V859" t="s">
        <v>5562</v>
      </c>
      <c r="W859" t="s">
        <v>3120</v>
      </c>
      <c r="X859" t="s">
        <v>186</v>
      </c>
      <c r="AA859">
        <f>IF(Table_TRM_Fixtures[[#This Row],[Pre-EISA Baseline]]="Nominal", Table_TRM_Fixtures[[#This Row],[Fixture Watts  (TRM Data)]], Table_TRM_Fixtures[[#This Row],[Modified Baseline Fixture Watts]])</f>
        <v>19</v>
      </c>
    </row>
    <row r="860" spans="1:27" x14ac:dyDescent="0.2">
      <c r="A860" t="s">
        <v>1509</v>
      </c>
      <c r="B860" t="s">
        <v>5606</v>
      </c>
      <c r="C860" t="s">
        <v>1508</v>
      </c>
      <c r="D860" t="s">
        <v>5609</v>
      </c>
      <c r="E860" t="s">
        <v>1309</v>
      </c>
      <c r="F860">
        <v>2</v>
      </c>
      <c r="G860">
        <v>15</v>
      </c>
      <c r="H860">
        <v>36</v>
      </c>
      <c r="I860">
        <v>15.5</v>
      </c>
      <c r="J860" s="110">
        <v>858</v>
      </c>
      <c r="K860" t="s">
        <v>1505</v>
      </c>
      <c r="L860">
        <f>IF(Table_TRM_Fixtures[[#This Row],[Technology]]="LED", Table_TRM_Fixtures[[#This Row],[Fixture Watts  (TRM Data)]], Table_TRM_Fixtures[[#This Row],[Lamp Watts  (TRM Data)]])</f>
        <v>15</v>
      </c>
      <c r="M860">
        <f>Table_TRM_Fixtures[[#This Row],[No. of Lamps  (TRM Data)]]</f>
        <v>2</v>
      </c>
      <c r="N860">
        <v>18</v>
      </c>
      <c r="O860" t="s">
        <v>1381</v>
      </c>
      <c r="P860" t="s">
        <v>2640</v>
      </c>
      <c r="Q860" t="s">
        <v>5608</v>
      </c>
      <c r="R860" t="str">
        <f>_xlfn.CONCAT(Table_TRM_Fixtures[[#This Row],[Technology]], " ", Table_TRM_Fixtures[[#This Row],[Ballast Code]], " Ballast")</f>
        <v>T8 Magnetic STD Ballast</v>
      </c>
      <c r="S860" t="str">
        <f>Table_TRM_Fixtures[[#This Row],[Description  (TRM Data)]]</f>
        <v>Fluorescent, (2) 18" T-8 lamps</v>
      </c>
      <c r="T860" t="str">
        <f>Table_TRM_Fixtures[[#This Row],[Fixture code  (TRM Data)]]</f>
        <v>F1.52LS</v>
      </c>
      <c r="U860" t="s">
        <v>2883</v>
      </c>
      <c r="V860" t="s">
        <v>5562</v>
      </c>
      <c r="W860" t="s">
        <v>3120</v>
      </c>
      <c r="X860" t="s">
        <v>186</v>
      </c>
      <c r="AA860">
        <f>IF(Table_TRM_Fixtures[[#This Row],[Pre-EISA Baseline]]="Nominal", Table_TRM_Fixtures[[#This Row],[Fixture Watts  (TRM Data)]], Table_TRM_Fixtures[[#This Row],[Modified Baseline Fixture Watts]])</f>
        <v>36</v>
      </c>
    </row>
    <row r="861" spans="1:27" x14ac:dyDescent="0.2">
      <c r="A861" t="s">
        <v>1511</v>
      </c>
      <c r="B861" t="s">
        <v>5610</v>
      </c>
      <c r="C861" t="s">
        <v>1510</v>
      </c>
      <c r="D861" t="s">
        <v>5611</v>
      </c>
      <c r="E861" t="s">
        <v>1386</v>
      </c>
      <c r="F861">
        <v>1</v>
      </c>
      <c r="G861">
        <v>17</v>
      </c>
      <c r="H861">
        <v>18</v>
      </c>
      <c r="I861">
        <v>15.5</v>
      </c>
      <c r="J861" s="110">
        <v>859</v>
      </c>
      <c r="K861" t="s">
        <v>1505</v>
      </c>
      <c r="L861">
        <f>IF(Table_TRM_Fixtures[[#This Row],[Technology]]="LED", Table_TRM_Fixtures[[#This Row],[Fixture Watts  (TRM Data)]], Table_TRM_Fixtures[[#This Row],[Lamp Watts  (TRM Data)]])</f>
        <v>17</v>
      </c>
      <c r="M861">
        <f>Table_TRM_Fixtures[[#This Row],[No. of Lamps  (TRM Data)]]</f>
        <v>1</v>
      </c>
      <c r="N861">
        <v>24</v>
      </c>
      <c r="O861" t="s">
        <v>1381</v>
      </c>
      <c r="P861" t="s">
        <v>187</v>
      </c>
      <c r="Q861" t="s">
        <v>5612</v>
      </c>
      <c r="R861" t="str">
        <f>_xlfn.CONCAT(Table_TRM_Fixtures[[#This Row],[Technology]], ", ", Table_TRM_Fixtures[[#This Row],[Ballast Code]], " Ballast")</f>
        <v>T8, Electronic STD Ballast</v>
      </c>
      <c r="S861" t="str">
        <f>Table_TRM_Fixtures[[#This Row],[Description  (TRM Data)]]</f>
        <v>Fluorescent (1) 24" T-8 lamp, Prog. Start or PRS Ballast, NLO (0.85 &lt; BF &lt; 0.95)</v>
      </c>
      <c r="T861" t="str">
        <f>Table_TRM_Fixtures[[#This Row],[Fixture code  (TRM Data)]]</f>
        <v>F21GLL</v>
      </c>
      <c r="U861" t="s">
        <v>2882</v>
      </c>
      <c r="V861" t="s">
        <v>186</v>
      </c>
      <c r="W861" t="s">
        <v>3120</v>
      </c>
      <c r="X861" t="s">
        <v>186</v>
      </c>
      <c r="Y861" t="s">
        <v>4815</v>
      </c>
      <c r="Z861" t="s">
        <v>4815</v>
      </c>
      <c r="AA861">
        <f>IF(Table_TRM_Fixtures[[#This Row],[Pre-EISA Baseline]]="Nominal", Table_TRM_Fixtures[[#This Row],[Fixture Watts  (TRM Data)]], Table_TRM_Fixtures[[#This Row],[Modified Baseline Fixture Watts]])</f>
        <v>18</v>
      </c>
    </row>
    <row r="862" spans="1:27" x14ac:dyDescent="0.2">
      <c r="A862" t="s">
        <v>1513</v>
      </c>
      <c r="B862" t="s">
        <v>5610</v>
      </c>
      <c r="C862" t="s">
        <v>1512</v>
      </c>
      <c r="D862" t="s">
        <v>5611</v>
      </c>
      <c r="E862" t="s">
        <v>187</v>
      </c>
      <c r="F862">
        <v>1</v>
      </c>
      <c r="G862">
        <v>17</v>
      </c>
      <c r="H862">
        <v>18</v>
      </c>
      <c r="I862">
        <v>15.5</v>
      </c>
      <c r="J862" s="110">
        <v>860</v>
      </c>
      <c r="K862" t="s">
        <v>1505</v>
      </c>
      <c r="L862">
        <f>IF(Table_TRM_Fixtures[[#This Row],[Technology]]="LED", Table_TRM_Fixtures[[#This Row],[Fixture Watts  (TRM Data)]], Table_TRM_Fixtures[[#This Row],[Lamp Watts  (TRM Data)]])</f>
        <v>17</v>
      </c>
      <c r="M862">
        <f>Table_TRM_Fixtures[[#This Row],[No. of Lamps  (TRM Data)]]</f>
        <v>1</v>
      </c>
      <c r="N862">
        <v>24</v>
      </c>
      <c r="O862" t="s">
        <v>1381</v>
      </c>
      <c r="P862" t="s">
        <v>187</v>
      </c>
      <c r="Q862" t="s">
        <v>5612</v>
      </c>
      <c r="R862" t="str">
        <f>_xlfn.CONCAT(Table_TRM_Fixtures[[#This Row],[Technology]], ", ", Table_TRM_Fixtures[[#This Row],[Ballast Code]], " Ballast")</f>
        <v>T8, Electronic STD Ballast</v>
      </c>
      <c r="S862" t="str">
        <f>Table_TRM_Fixtures[[#This Row],[Description  (TRM Data)]]</f>
        <v>Fluorescent, (1) 24", T-8 lamp, Instant Start Ballast, NLO (0.85 &lt; BF &lt; 0.95)</v>
      </c>
      <c r="T862" t="str">
        <f>Table_TRM_Fixtures[[#This Row],[Fixture code  (TRM Data)]]</f>
        <v>F21ILL</v>
      </c>
      <c r="U862" t="s">
        <v>2882</v>
      </c>
      <c r="V862" t="s">
        <v>186</v>
      </c>
      <c r="W862" t="s">
        <v>3120</v>
      </c>
      <c r="X862" t="s">
        <v>186</v>
      </c>
      <c r="Y862" t="str">
        <f>_xlfn.CONCAT(Table_TRM_Fixtures[[#This Row],[Combined Lighting/Ballast Types]],":",Table_TRM_Fixtures[[#This Row],[No. of Lamps]], ":", Table_TRM_Fixtures[[#This Row],[Lamp Watts  (TRM Data)]])</f>
        <v>T8, Electronic STD Ballast:1:17</v>
      </c>
      <c r="Z862"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T8:1:17</v>
      </c>
      <c r="AA862">
        <f>IF(Table_TRM_Fixtures[[#This Row],[Pre-EISA Baseline]]="Nominal", Table_TRM_Fixtures[[#This Row],[Fixture Watts  (TRM Data)]], Table_TRM_Fixtures[[#This Row],[Modified Baseline Fixture Watts]])</f>
        <v>18</v>
      </c>
    </row>
    <row r="863" spans="1:27" x14ac:dyDescent="0.2">
      <c r="A863" t="s">
        <v>1515</v>
      </c>
      <c r="B863" t="s">
        <v>5610</v>
      </c>
      <c r="C863" t="s">
        <v>1514</v>
      </c>
      <c r="D863" t="s">
        <v>5613</v>
      </c>
      <c r="E863" t="s">
        <v>187</v>
      </c>
      <c r="F863">
        <v>1</v>
      </c>
      <c r="G863">
        <v>17</v>
      </c>
      <c r="H863">
        <v>17</v>
      </c>
      <c r="I863">
        <v>15.5</v>
      </c>
      <c r="J863" s="110">
        <v>861</v>
      </c>
      <c r="K863" t="s">
        <v>1505</v>
      </c>
      <c r="L863">
        <f>IF(Table_TRM_Fixtures[[#This Row],[Technology]]="LED", Table_TRM_Fixtures[[#This Row],[Fixture Watts  (TRM Data)]], Table_TRM_Fixtures[[#This Row],[Lamp Watts  (TRM Data)]])</f>
        <v>17</v>
      </c>
      <c r="M863">
        <f>Table_TRM_Fixtures[[#This Row],[No. of Lamps  (TRM Data)]]</f>
        <v>1</v>
      </c>
      <c r="N863">
        <v>24</v>
      </c>
      <c r="O863" t="s">
        <v>1381</v>
      </c>
      <c r="P863" t="s">
        <v>187</v>
      </c>
      <c r="Q863" t="s">
        <v>5614</v>
      </c>
      <c r="R863" t="str">
        <f>_xlfn.CONCAT(Table_TRM_Fixtures[[#This Row],[Technology]], ", ", Table_TRM_Fixtures[[#This Row],[Ballast Code]], " Ballast")</f>
        <v>T8, Electronic RLO Ballast</v>
      </c>
      <c r="S863" t="str">
        <f>Table_TRM_Fixtures[[#This Row],[Description  (TRM Data)]]</f>
        <v>Fluorescent, (1) 24", T-8 lamp, Instant Start Ballast, RLO (BF&lt; 0.85)</v>
      </c>
      <c r="T863" t="str">
        <f>Table_TRM_Fixtures[[#This Row],[Fixture code  (TRM Data)]]</f>
        <v>F21ILL-R</v>
      </c>
      <c r="U863" t="s">
        <v>2882</v>
      </c>
      <c r="V863" t="s">
        <v>186</v>
      </c>
      <c r="W863" t="s">
        <v>3120</v>
      </c>
      <c r="X863" t="s">
        <v>186</v>
      </c>
      <c r="Y863" t="str">
        <f>_xlfn.CONCAT(Table_TRM_Fixtures[[#This Row],[Combined Lighting/Ballast Types]],":",Table_TRM_Fixtures[[#This Row],[No. of Lamps]], ":", Table_TRM_Fixtures[[#This Row],[Lamp Watts  (TRM Data)]])</f>
        <v>T8, Electronic RLO Ballast:1:17</v>
      </c>
      <c r="Z863" t="s">
        <v>4815</v>
      </c>
      <c r="AA863">
        <f>IF(Table_TRM_Fixtures[[#This Row],[Pre-EISA Baseline]]="Nominal", Table_TRM_Fixtures[[#This Row],[Fixture Watts  (TRM Data)]], Table_TRM_Fixtures[[#This Row],[Modified Baseline Fixture Watts]])</f>
        <v>17</v>
      </c>
    </row>
    <row r="864" spans="1:27" x14ac:dyDescent="0.2">
      <c r="A864" t="s">
        <v>1517</v>
      </c>
      <c r="B864" t="s">
        <v>5610</v>
      </c>
      <c r="C864" t="s">
        <v>1516</v>
      </c>
      <c r="D864" t="s">
        <v>5611</v>
      </c>
      <c r="E864" t="s">
        <v>187</v>
      </c>
      <c r="F864">
        <v>1</v>
      </c>
      <c r="G864">
        <v>17</v>
      </c>
      <c r="H864">
        <v>17</v>
      </c>
      <c r="I864">
        <v>15.5</v>
      </c>
      <c r="J864" s="110">
        <v>862</v>
      </c>
      <c r="K864" t="s">
        <v>1505</v>
      </c>
      <c r="L864">
        <f>IF(Table_TRM_Fixtures[[#This Row],[Technology]]="LED", Table_TRM_Fixtures[[#This Row],[Fixture Watts  (TRM Data)]], Table_TRM_Fixtures[[#This Row],[Lamp Watts  (TRM Data)]])</f>
        <v>17</v>
      </c>
      <c r="M864">
        <f>Table_TRM_Fixtures[[#This Row],[No. of Lamps  (TRM Data)]]</f>
        <v>1</v>
      </c>
      <c r="N864">
        <v>24</v>
      </c>
      <c r="O864" t="s">
        <v>1381</v>
      </c>
      <c r="P864" t="s">
        <v>187</v>
      </c>
      <c r="Q864" t="s">
        <v>5612</v>
      </c>
      <c r="R864" t="str">
        <f>_xlfn.CONCAT(Table_TRM_Fixtures[[#This Row],[Technology]], ", ", Table_TRM_Fixtures[[#This Row],[Ballast Code]], " Ballast")</f>
        <v>T8, Electronic STD Ballast</v>
      </c>
      <c r="S864" t="str">
        <f>Table_TRM_Fixtures[[#This Row],[Description  (TRM Data)]]</f>
        <v>Fluorescent, (1) 24", T-8 lamp, Tandem 2-lamp IS Ballast, NLO (0.85 &lt; BF &lt; 0.95)</v>
      </c>
      <c r="T864" t="str">
        <f>Table_TRM_Fixtures[[#This Row],[Fixture code  (TRM Data)]]</f>
        <v>F21ILL/T2</v>
      </c>
      <c r="U864" t="s">
        <v>2882</v>
      </c>
      <c r="V864" t="s">
        <v>186</v>
      </c>
      <c r="W864" t="s">
        <v>3120</v>
      </c>
      <c r="X864" t="s">
        <v>186</v>
      </c>
      <c r="Y864" t="s">
        <v>4815</v>
      </c>
      <c r="Z864" t="s">
        <v>4815</v>
      </c>
      <c r="AA864">
        <f>IF(Table_TRM_Fixtures[[#This Row],[Pre-EISA Baseline]]="Nominal", Table_TRM_Fixtures[[#This Row],[Fixture Watts  (TRM Data)]], Table_TRM_Fixtures[[#This Row],[Modified Baseline Fixture Watts]])</f>
        <v>17</v>
      </c>
    </row>
    <row r="865" spans="1:27" x14ac:dyDescent="0.2">
      <c r="A865" t="s">
        <v>1519</v>
      </c>
      <c r="B865" t="s">
        <v>5610</v>
      </c>
      <c r="C865" t="s">
        <v>1518</v>
      </c>
      <c r="D865" t="s">
        <v>5613</v>
      </c>
      <c r="E865" t="s">
        <v>187</v>
      </c>
      <c r="F865">
        <v>1</v>
      </c>
      <c r="G865">
        <v>17</v>
      </c>
      <c r="H865">
        <v>15</v>
      </c>
      <c r="I865">
        <v>15.5</v>
      </c>
      <c r="J865" s="110">
        <v>863</v>
      </c>
      <c r="K865" t="s">
        <v>1505</v>
      </c>
      <c r="L865">
        <f>IF(Table_TRM_Fixtures[[#This Row],[Technology]]="LED", Table_TRM_Fixtures[[#This Row],[Fixture Watts  (TRM Data)]], Table_TRM_Fixtures[[#This Row],[Lamp Watts  (TRM Data)]])</f>
        <v>17</v>
      </c>
      <c r="M865">
        <f>Table_TRM_Fixtures[[#This Row],[No. of Lamps  (TRM Data)]]</f>
        <v>1</v>
      </c>
      <c r="N865">
        <v>24</v>
      </c>
      <c r="O865" t="s">
        <v>1381</v>
      </c>
      <c r="P865" t="s">
        <v>187</v>
      </c>
      <c r="Q865" t="s">
        <v>5614</v>
      </c>
      <c r="R865" t="str">
        <f>_xlfn.CONCAT(Table_TRM_Fixtures[[#This Row],[Technology]], ", ", Table_TRM_Fixtures[[#This Row],[Ballast Code]], " Ballast")</f>
        <v>T8, Electronic RLO Ballast</v>
      </c>
      <c r="S865" t="str">
        <f>Table_TRM_Fixtures[[#This Row],[Description  (TRM Data)]]</f>
        <v>Fluorescent, (1) 24", T-8 lamp, Tandem 2-lamp IS Ballast, RLO (BF&lt; 0.85)</v>
      </c>
      <c r="T865" t="str">
        <f>Table_TRM_Fixtures[[#This Row],[Fixture code  (TRM Data)]]</f>
        <v>F21ILL/T2-R</v>
      </c>
      <c r="U865" t="s">
        <v>2882</v>
      </c>
      <c r="V865" t="s">
        <v>186</v>
      </c>
      <c r="W865" t="s">
        <v>3120</v>
      </c>
      <c r="X865" t="s">
        <v>186</v>
      </c>
      <c r="Y865" t="s">
        <v>4815</v>
      </c>
      <c r="Z865" t="s">
        <v>4815</v>
      </c>
      <c r="AA865">
        <f>IF(Table_TRM_Fixtures[[#This Row],[Pre-EISA Baseline]]="Nominal", Table_TRM_Fixtures[[#This Row],[Fixture Watts  (TRM Data)]], Table_TRM_Fixtures[[#This Row],[Modified Baseline Fixture Watts]])</f>
        <v>15</v>
      </c>
    </row>
    <row r="866" spans="1:27" x14ac:dyDescent="0.2">
      <c r="A866" t="s">
        <v>1521</v>
      </c>
      <c r="B866" t="s">
        <v>5610</v>
      </c>
      <c r="C866" t="s">
        <v>1520</v>
      </c>
      <c r="D866" t="s">
        <v>5611</v>
      </c>
      <c r="E866" t="s">
        <v>187</v>
      </c>
      <c r="F866">
        <v>1</v>
      </c>
      <c r="G866">
        <v>17</v>
      </c>
      <c r="H866">
        <v>16</v>
      </c>
      <c r="I866">
        <v>15.5</v>
      </c>
      <c r="J866" s="110">
        <v>864</v>
      </c>
      <c r="K866" t="s">
        <v>1505</v>
      </c>
      <c r="L866">
        <f>IF(Table_TRM_Fixtures[[#This Row],[Technology]]="LED", Table_TRM_Fixtures[[#This Row],[Fixture Watts  (TRM Data)]], Table_TRM_Fixtures[[#This Row],[Lamp Watts  (TRM Data)]])</f>
        <v>17</v>
      </c>
      <c r="M866">
        <f>Table_TRM_Fixtures[[#This Row],[No. of Lamps  (TRM Data)]]</f>
        <v>1</v>
      </c>
      <c r="N866">
        <v>24</v>
      </c>
      <c r="O866" t="s">
        <v>1381</v>
      </c>
      <c r="P866" t="s">
        <v>187</v>
      </c>
      <c r="Q866" t="s">
        <v>5612</v>
      </c>
      <c r="R866" t="str">
        <f>_xlfn.CONCAT(Table_TRM_Fixtures[[#This Row],[Technology]], ", ", Table_TRM_Fixtures[[#This Row],[Ballast Code]], " Ballast")</f>
        <v>T8, Electronic STD Ballast</v>
      </c>
      <c r="S866" t="str">
        <f>Table_TRM_Fixtures[[#This Row],[Description  (TRM Data)]]</f>
        <v>Fluorescent, (1) 24", T-8 lamp, Tandem 3-lamp IS Ballast, NLO (0.85 &lt; BF &lt; 0.95)</v>
      </c>
      <c r="T866" t="str">
        <f>Table_TRM_Fixtures[[#This Row],[Fixture code  (TRM Data)]]</f>
        <v>F21ILL/T3</v>
      </c>
      <c r="U866" t="s">
        <v>2882</v>
      </c>
      <c r="V866" t="s">
        <v>186</v>
      </c>
      <c r="W866" t="s">
        <v>3120</v>
      </c>
      <c r="X866" t="s">
        <v>186</v>
      </c>
      <c r="Y866" t="s">
        <v>4815</v>
      </c>
      <c r="Z866" t="s">
        <v>4815</v>
      </c>
      <c r="AA866">
        <f>IF(Table_TRM_Fixtures[[#This Row],[Pre-EISA Baseline]]="Nominal", Table_TRM_Fixtures[[#This Row],[Fixture Watts  (TRM Data)]], Table_TRM_Fixtures[[#This Row],[Modified Baseline Fixture Watts]])</f>
        <v>16</v>
      </c>
    </row>
    <row r="867" spans="1:27" x14ac:dyDescent="0.2">
      <c r="A867" t="s">
        <v>1523</v>
      </c>
      <c r="B867" t="s">
        <v>5610</v>
      </c>
      <c r="C867" t="s">
        <v>1522</v>
      </c>
      <c r="D867" t="s">
        <v>5613</v>
      </c>
      <c r="E867" t="s">
        <v>187</v>
      </c>
      <c r="F867">
        <v>1</v>
      </c>
      <c r="G867">
        <v>17</v>
      </c>
      <c r="H867">
        <v>14</v>
      </c>
      <c r="I867">
        <v>15.5</v>
      </c>
      <c r="J867" s="110">
        <v>865</v>
      </c>
      <c r="K867" t="s">
        <v>1505</v>
      </c>
      <c r="L867">
        <f>IF(Table_TRM_Fixtures[[#This Row],[Technology]]="LED", Table_TRM_Fixtures[[#This Row],[Fixture Watts  (TRM Data)]], Table_TRM_Fixtures[[#This Row],[Lamp Watts  (TRM Data)]])</f>
        <v>17</v>
      </c>
      <c r="M867">
        <f>Table_TRM_Fixtures[[#This Row],[No. of Lamps  (TRM Data)]]</f>
        <v>1</v>
      </c>
      <c r="N867">
        <v>24</v>
      </c>
      <c r="O867" t="s">
        <v>1381</v>
      </c>
      <c r="P867" t="s">
        <v>187</v>
      </c>
      <c r="Q867" t="s">
        <v>5614</v>
      </c>
      <c r="R867" t="str">
        <f>_xlfn.CONCAT(Table_TRM_Fixtures[[#This Row],[Technology]], ", ", Table_TRM_Fixtures[[#This Row],[Ballast Code]], " Ballast")</f>
        <v>T8, Electronic RLO Ballast</v>
      </c>
      <c r="S867" t="str">
        <f>Table_TRM_Fixtures[[#This Row],[Description  (TRM Data)]]</f>
        <v>Fluorescent, (1) 24", T-8 lamp, Tandem 3-lamp IS Ballast, RLO (BF&lt; 0.85)</v>
      </c>
      <c r="T867" t="str">
        <f>Table_TRM_Fixtures[[#This Row],[Fixture code  (TRM Data)]]</f>
        <v>F21ILL/T3-R</v>
      </c>
      <c r="U867" t="s">
        <v>2882</v>
      </c>
      <c r="V867" t="s">
        <v>186</v>
      </c>
      <c r="W867" t="s">
        <v>3120</v>
      </c>
      <c r="X867" t="s">
        <v>186</v>
      </c>
      <c r="Y867" t="s">
        <v>4815</v>
      </c>
      <c r="Z867" t="s">
        <v>4815</v>
      </c>
      <c r="AA867">
        <f>IF(Table_TRM_Fixtures[[#This Row],[Pre-EISA Baseline]]="Nominal", Table_TRM_Fixtures[[#This Row],[Fixture Watts  (TRM Data)]], Table_TRM_Fixtures[[#This Row],[Modified Baseline Fixture Watts]])</f>
        <v>14</v>
      </c>
    </row>
    <row r="868" spans="1:27" x14ac:dyDescent="0.2">
      <c r="A868" t="s">
        <v>1525</v>
      </c>
      <c r="B868" t="s">
        <v>5610</v>
      </c>
      <c r="C868" t="s">
        <v>1524</v>
      </c>
      <c r="D868" t="s">
        <v>5611</v>
      </c>
      <c r="E868" t="s">
        <v>187</v>
      </c>
      <c r="F868">
        <v>1</v>
      </c>
      <c r="G868">
        <v>17</v>
      </c>
      <c r="H868">
        <v>15</v>
      </c>
      <c r="I868">
        <v>15.5</v>
      </c>
      <c r="J868" s="110">
        <v>866</v>
      </c>
      <c r="K868" t="s">
        <v>1505</v>
      </c>
      <c r="L868">
        <f>IF(Table_TRM_Fixtures[[#This Row],[Technology]]="LED", Table_TRM_Fixtures[[#This Row],[Fixture Watts  (TRM Data)]], Table_TRM_Fixtures[[#This Row],[Lamp Watts  (TRM Data)]])</f>
        <v>17</v>
      </c>
      <c r="M868">
        <f>Table_TRM_Fixtures[[#This Row],[No. of Lamps  (TRM Data)]]</f>
        <v>1</v>
      </c>
      <c r="N868">
        <v>24</v>
      </c>
      <c r="O868" t="s">
        <v>1381</v>
      </c>
      <c r="P868" t="s">
        <v>187</v>
      </c>
      <c r="Q868" t="s">
        <v>5612</v>
      </c>
      <c r="R868" t="str">
        <f>_xlfn.CONCAT(Table_TRM_Fixtures[[#This Row],[Technology]], ", ", Table_TRM_Fixtures[[#This Row],[Ballast Code]], " Ballast")</f>
        <v>T8, Electronic STD Ballast</v>
      </c>
      <c r="S868" t="str">
        <f>Table_TRM_Fixtures[[#This Row],[Description  (TRM Data)]]</f>
        <v>Fluorescent, (1) 24", T-8 lamp, Tandem 4-lamp IS Ballast, NLO (0.85 &lt; BF &lt; 0.95)</v>
      </c>
      <c r="T868" t="str">
        <f>Table_TRM_Fixtures[[#This Row],[Fixture code  (TRM Data)]]</f>
        <v>F21ILL/T4</v>
      </c>
      <c r="U868" t="s">
        <v>2882</v>
      </c>
      <c r="V868" t="s">
        <v>186</v>
      </c>
      <c r="W868" t="s">
        <v>3120</v>
      </c>
      <c r="X868" t="s">
        <v>186</v>
      </c>
      <c r="Y868" t="s">
        <v>4815</v>
      </c>
      <c r="Z868" t="s">
        <v>4815</v>
      </c>
      <c r="AA868">
        <f>IF(Table_TRM_Fixtures[[#This Row],[Pre-EISA Baseline]]="Nominal", Table_TRM_Fixtures[[#This Row],[Fixture Watts  (TRM Data)]], Table_TRM_Fixtures[[#This Row],[Modified Baseline Fixture Watts]])</f>
        <v>15</v>
      </c>
    </row>
    <row r="869" spans="1:27" x14ac:dyDescent="0.2">
      <c r="A869" t="s">
        <v>1527</v>
      </c>
      <c r="B869" t="s">
        <v>5610</v>
      </c>
      <c r="C869" t="s">
        <v>1526</v>
      </c>
      <c r="D869" t="s">
        <v>5613</v>
      </c>
      <c r="E869" t="s">
        <v>187</v>
      </c>
      <c r="F869">
        <v>1</v>
      </c>
      <c r="G869">
        <v>17</v>
      </c>
      <c r="H869">
        <v>13</v>
      </c>
      <c r="I869">
        <v>15.5</v>
      </c>
      <c r="J869" s="110">
        <v>867</v>
      </c>
      <c r="K869" t="s">
        <v>1505</v>
      </c>
      <c r="L869">
        <f>IF(Table_TRM_Fixtures[[#This Row],[Technology]]="LED", Table_TRM_Fixtures[[#This Row],[Fixture Watts  (TRM Data)]], Table_TRM_Fixtures[[#This Row],[Lamp Watts  (TRM Data)]])</f>
        <v>17</v>
      </c>
      <c r="M869">
        <f>Table_TRM_Fixtures[[#This Row],[No. of Lamps  (TRM Data)]]</f>
        <v>1</v>
      </c>
      <c r="N869">
        <v>24</v>
      </c>
      <c r="O869" t="s">
        <v>1381</v>
      </c>
      <c r="P869" t="s">
        <v>187</v>
      </c>
      <c r="Q869" t="s">
        <v>5614</v>
      </c>
      <c r="R869" t="str">
        <f>_xlfn.CONCAT(Table_TRM_Fixtures[[#This Row],[Technology]], ", ", Table_TRM_Fixtures[[#This Row],[Ballast Code]], " Ballast")</f>
        <v>T8, Electronic RLO Ballast</v>
      </c>
      <c r="S869" t="str">
        <f>Table_TRM_Fixtures[[#This Row],[Description  (TRM Data)]]</f>
        <v>Fluorescent, (1) 24", T-8 lamp, Tandem 4-lamp IS Ballast, RLO (BF&lt; 0.85)</v>
      </c>
      <c r="T869" t="str">
        <f>Table_TRM_Fixtures[[#This Row],[Fixture code  (TRM Data)]]</f>
        <v>F21ILL/T4-R</v>
      </c>
      <c r="U869" t="s">
        <v>2882</v>
      </c>
      <c r="V869" t="s">
        <v>186</v>
      </c>
      <c r="W869" t="s">
        <v>3120</v>
      </c>
      <c r="X869" t="s">
        <v>186</v>
      </c>
      <c r="Y869" t="s">
        <v>4815</v>
      </c>
      <c r="Z869" t="s">
        <v>4815</v>
      </c>
      <c r="AA869">
        <f>IF(Table_TRM_Fixtures[[#This Row],[Pre-EISA Baseline]]="Nominal", Table_TRM_Fixtures[[#This Row],[Fixture Watts  (TRM Data)]], Table_TRM_Fixtures[[#This Row],[Modified Baseline Fixture Watts]])</f>
        <v>13</v>
      </c>
    </row>
    <row r="870" spans="1:27" x14ac:dyDescent="0.2">
      <c r="A870" t="s">
        <v>1528</v>
      </c>
      <c r="B870" t="s">
        <v>5610</v>
      </c>
      <c r="C870" t="s">
        <v>1512</v>
      </c>
      <c r="D870" t="s">
        <v>5611</v>
      </c>
      <c r="E870" t="s">
        <v>187</v>
      </c>
      <c r="F870">
        <v>1</v>
      </c>
      <c r="G870">
        <v>17</v>
      </c>
      <c r="H870">
        <v>17</v>
      </c>
      <c r="I870">
        <v>15.5</v>
      </c>
      <c r="J870" s="110">
        <v>868</v>
      </c>
      <c r="K870" t="s">
        <v>1505</v>
      </c>
      <c r="L870">
        <f>IF(Table_TRM_Fixtures[[#This Row],[Technology]]="LED", Table_TRM_Fixtures[[#This Row],[Fixture Watts  (TRM Data)]], Table_TRM_Fixtures[[#This Row],[Lamp Watts  (TRM Data)]])</f>
        <v>17</v>
      </c>
      <c r="M870">
        <f>Table_TRM_Fixtures[[#This Row],[No. of Lamps  (TRM Data)]]</f>
        <v>1</v>
      </c>
      <c r="N870">
        <v>24</v>
      </c>
      <c r="O870" t="s">
        <v>1381</v>
      </c>
      <c r="P870" t="s">
        <v>187</v>
      </c>
      <c r="Q870" t="s">
        <v>5612</v>
      </c>
      <c r="R870" t="str">
        <f>_xlfn.CONCAT(Table_TRM_Fixtures[[#This Row],[Technology]], ", ", Table_TRM_Fixtures[[#This Row],[Ballast Code]], " Ballast")</f>
        <v>T8, Electronic STD Ballast</v>
      </c>
      <c r="S870" t="str">
        <f>Table_TRM_Fixtures[[#This Row],[Description  (TRM Data)]]</f>
        <v>Fluorescent, (1) 24", T-8 lamp, Instant Start Ballast, NLO (0.85 &lt; BF &lt; 0.95)</v>
      </c>
      <c r="T870" t="str">
        <f>Table_TRM_Fixtures[[#This Row],[Fixture code  (TRM Data)]]</f>
        <v>F21ILU</v>
      </c>
      <c r="U870" t="s">
        <v>2882</v>
      </c>
      <c r="V870" t="s">
        <v>186</v>
      </c>
      <c r="W870" t="s">
        <v>3120</v>
      </c>
      <c r="X870" t="s">
        <v>186</v>
      </c>
      <c r="Y870" t="s">
        <v>4815</v>
      </c>
      <c r="Z870" t="s">
        <v>4815</v>
      </c>
      <c r="AA870">
        <f>IF(Table_TRM_Fixtures[[#This Row],[Pre-EISA Baseline]]="Nominal", Table_TRM_Fixtures[[#This Row],[Fixture Watts  (TRM Data)]], Table_TRM_Fixtures[[#This Row],[Modified Baseline Fixture Watts]])</f>
        <v>17</v>
      </c>
    </row>
    <row r="871" spans="1:27" x14ac:dyDescent="0.2">
      <c r="A871" t="s">
        <v>1529</v>
      </c>
      <c r="B871" t="s">
        <v>5610</v>
      </c>
      <c r="C871" t="s">
        <v>1514</v>
      </c>
      <c r="D871" t="s">
        <v>5613</v>
      </c>
      <c r="E871" t="s">
        <v>187</v>
      </c>
      <c r="F871">
        <v>1</v>
      </c>
      <c r="G871">
        <v>17</v>
      </c>
      <c r="H871">
        <v>15</v>
      </c>
      <c r="I871">
        <v>15.5</v>
      </c>
      <c r="J871" s="110">
        <v>869</v>
      </c>
      <c r="K871" t="s">
        <v>1505</v>
      </c>
      <c r="L871">
        <f>IF(Table_TRM_Fixtures[[#This Row],[Technology]]="LED", Table_TRM_Fixtures[[#This Row],[Fixture Watts  (TRM Data)]], Table_TRM_Fixtures[[#This Row],[Lamp Watts  (TRM Data)]])</f>
        <v>17</v>
      </c>
      <c r="M871">
        <f>Table_TRM_Fixtures[[#This Row],[No. of Lamps  (TRM Data)]]</f>
        <v>1</v>
      </c>
      <c r="N871">
        <v>24</v>
      </c>
      <c r="O871" t="s">
        <v>1381</v>
      </c>
      <c r="P871" t="s">
        <v>187</v>
      </c>
      <c r="Q871" t="s">
        <v>5614</v>
      </c>
      <c r="R871" t="str">
        <f>_xlfn.CONCAT(Table_TRM_Fixtures[[#This Row],[Technology]], ", ", Table_TRM_Fixtures[[#This Row],[Ballast Code]], " Ballast")</f>
        <v>T8, Electronic RLO Ballast</v>
      </c>
      <c r="S871" t="str">
        <f>Table_TRM_Fixtures[[#This Row],[Description  (TRM Data)]]</f>
        <v>Fluorescent, (1) 24", T-8 lamp, Instant Start Ballast, RLO (BF&lt; 0.85)</v>
      </c>
      <c r="T871" t="str">
        <f>Table_TRM_Fixtures[[#This Row],[Fixture code  (TRM Data)]]</f>
        <v>F21ILU-R</v>
      </c>
      <c r="U871" t="s">
        <v>2882</v>
      </c>
      <c r="V871" t="s">
        <v>186</v>
      </c>
      <c r="W871" t="s">
        <v>3120</v>
      </c>
      <c r="X871" t="s">
        <v>186</v>
      </c>
      <c r="Y871" t="s">
        <v>4815</v>
      </c>
      <c r="Z871" t="s">
        <v>4815</v>
      </c>
      <c r="AA871">
        <f>IF(Table_TRM_Fixtures[[#This Row],[Pre-EISA Baseline]]="Nominal", Table_TRM_Fixtures[[#This Row],[Fixture Watts  (TRM Data)]], Table_TRM_Fixtures[[#This Row],[Modified Baseline Fixture Watts]])</f>
        <v>15</v>
      </c>
    </row>
    <row r="872" spans="1:27" x14ac:dyDescent="0.2">
      <c r="A872" t="s">
        <v>1531</v>
      </c>
      <c r="B872" t="s">
        <v>5610</v>
      </c>
      <c r="C872" t="s">
        <v>1530</v>
      </c>
      <c r="D872" t="s">
        <v>5615</v>
      </c>
      <c r="E872" t="s">
        <v>187</v>
      </c>
      <c r="F872">
        <v>1</v>
      </c>
      <c r="G872">
        <v>17</v>
      </c>
      <c r="H872">
        <v>22</v>
      </c>
      <c r="I872">
        <v>15.5</v>
      </c>
      <c r="J872" s="110">
        <v>870</v>
      </c>
      <c r="K872" t="s">
        <v>1505</v>
      </c>
      <c r="L872">
        <f>IF(Table_TRM_Fixtures[[#This Row],[Technology]]="LED", Table_TRM_Fixtures[[#This Row],[Fixture Watts  (TRM Data)]], Table_TRM_Fixtures[[#This Row],[Lamp Watts  (TRM Data)]])</f>
        <v>17</v>
      </c>
      <c r="M872">
        <f>Table_TRM_Fixtures[[#This Row],[No. of Lamps  (TRM Data)]]</f>
        <v>1</v>
      </c>
      <c r="N872">
        <v>24</v>
      </c>
      <c r="O872" t="s">
        <v>1381</v>
      </c>
      <c r="P872" t="s">
        <v>187</v>
      </c>
      <c r="Q872" t="s">
        <v>5616</v>
      </c>
      <c r="R872" t="str">
        <f>_xlfn.CONCAT(Table_TRM_Fixtures[[#This Row],[Technology]], ", ", Table_TRM_Fixtures[[#This Row],[Ballast Code]], " Ballast")</f>
        <v>T8, Electronic VHLO Ballast</v>
      </c>
      <c r="S872" t="str">
        <f>Table_TRM_Fixtures[[#This Row],[Description  (TRM Data)]]</f>
        <v>Fluorescent, (1) 24", T-8 lamps, Instant Start Ballast, VHLO ( BF &gt; 1.1)</v>
      </c>
      <c r="T872" t="str">
        <f>Table_TRM_Fixtures[[#This Row],[Fixture code  (TRM Data)]]</f>
        <v>F21ILU-V</v>
      </c>
      <c r="U872" t="s">
        <v>2882</v>
      </c>
      <c r="V872" t="s">
        <v>186</v>
      </c>
      <c r="W872" t="s">
        <v>3120</v>
      </c>
      <c r="X872" t="s">
        <v>186</v>
      </c>
      <c r="Y872" t="str">
        <f>_xlfn.CONCAT(Table_TRM_Fixtures[[#This Row],[Combined Lighting/Ballast Types]],":",Table_TRM_Fixtures[[#This Row],[No. of Lamps]], ":", Table_TRM_Fixtures[[#This Row],[Lamp Watts  (TRM Data)]])</f>
        <v>T8, Electronic VHLO Ballast:1:17</v>
      </c>
      <c r="Z872" t="s">
        <v>4815</v>
      </c>
      <c r="AA872">
        <f>IF(Table_TRM_Fixtures[[#This Row],[Pre-EISA Baseline]]="Nominal", Table_TRM_Fixtures[[#This Row],[Fixture Watts  (TRM Data)]], Table_TRM_Fixtures[[#This Row],[Modified Baseline Fixture Watts]])</f>
        <v>22</v>
      </c>
    </row>
    <row r="873" spans="1:27" x14ac:dyDescent="0.2">
      <c r="A873" t="s">
        <v>1533</v>
      </c>
      <c r="B873" t="s">
        <v>5610</v>
      </c>
      <c r="C873" t="s">
        <v>1532</v>
      </c>
      <c r="D873" t="s">
        <v>5611</v>
      </c>
      <c r="E873" t="s">
        <v>187</v>
      </c>
      <c r="F873">
        <v>1</v>
      </c>
      <c r="G873">
        <v>17</v>
      </c>
      <c r="H873">
        <v>16</v>
      </c>
      <c r="I873">
        <v>15.5</v>
      </c>
      <c r="J873" s="110">
        <v>871</v>
      </c>
      <c r="K873" t="s">
        <v>1505</v>
      </c>
      <c r="L873">
        <f>IF(Table_TRM_Fixtures[[#This Row],[Technology]]="LED", Table_TRM_Fixtures[[#This Row],[Fixture Watts  (TRM Data)]], Table_TRM_Fixtures[[#This Row],[Lamp Watts  (TRM Data)]])</f>
        <v>17</v>
      </c>
      <c r="M873">
        <f>Table_TRM_Fixtures[[#This Row],[No. of Lamps  (TRM Data)]]</f>
        <v>1</v>
      </c>
      <c r="N873">
        <v>24</v>
      </c>
      <c r="O873" t="s">
        <v>1381</v>
      </c>
      <c r="P873" t="s">
        <v>187</v>
      </c>
      <c r="Q873" t="s">
        <v>5612</v>
      </c>
      <c r="R873" t="str">
        <f>_xlfn.CONCAT(Table_TRM_Fixtures[[#This Row],[Technology]], ", ", Table_TRM_Fixtures[[#This Row],[Ballast Code]], " Ballast")</f>
        <v>T8, Electronic STD Ballast</v>
      </c>
      <c r="S873" t="str">
        <f>Table_TRM_Fixtures[[#This Row],[Description  (TRM Data)]]</f>
        <v>Fluorescent, (1) 24", T-8 lamp, Rapid Start Ballast, NLO (0.85 &lt; BF &lt; 0.95)</v>
      </c>
      <c r="T873" t="str">
        <f>Table_TRM_Fixtures[[#This Row],[Fixture code  (TRM Data)]]</f>
        <v>F21LL</v>
      </c>
      <c r="U873" t="s">
        <v>2882</v>
      </c>
      <c r="V873" t="s">
        <v>186</v>
      </c>
      <c r="W873" t="s">
        <v>3120</v>
      </c>
      <c r="X873" t="s">
        <v>186</v>
      </c>
      <c r="Y873" t="s">
        <v>4815</v>
      </c>
      <c r="Z873" t="s">
        <v>4815</v>
      </c>
      <c r="AA873">
        <f>IF(Table_TRM_Fixtures[[#This Row],[Pre-EISA Baseline]]="Nominal", Table_TRM_Fixtures[[#This Row],[Fixture Watts  (TRM Data)]], Table_TRM_Fixtures[[#This Row],[Modified Baseline Fixture Watts]])</f>
        <v>16</v>
      </c>
    </row>
    <row r="874" spans="1:27" x14ac:dyDescent="0.2">
      <c r="A874" t="s">
        <v>1535</v>
      </c>
      <c r="B874" t="s">
        <v>5610</v>
      </c>
      <c r="C874" t="s">
        <v>1534</v>
      </c>
      <c r="D874" t="s">
        <v>5613</v>
      </c>
      <c r="E874" t="s">
        <v>187</v>
      </c>
      <c r="F874">
        <v>1</v>
      </c>
      <c r="G874">
        <v>17</v>
      </c>
      <c r="H874">
        <v>15</v>
      </c>
      <c r="I874">
        <v>15.5</v>
      </c>
      <c r="J874" s="110">
        <v>872</v>
      </c>
      <c r="K874" t="s">
        <v>1505</v>
      </c>
      <c r="L874">
        <f>IF(Table_TRM_Fixtures[[#This Row],[Technology]]="LED", Table_TRM_Fixtures[[#This Row],[Fixture Watts  (TRM Data)]], Table_TRM_Fixtures[[#This Row],[Lamp Watts  (TRM Data)]])</f>
        <v>17</v>
      </c>
      <c r="M874">
        <f>Table_TRM_Fixtures[[#This Row],[No. of Lamps  (TRM Data)]]</f>
        <v>1</v>
      </c>
      <c r="N874">
        <v>24</v>
      </c>
      <c r="O874" t="s">
        <v>1381</v>
      </c>
      <c r="P874" t="s">
        <v>187</v>
      </c>
      <c r="Q874" t="s">
        <v>5614</v>
      </c>
      <c r="R874" t="str">
        <f>_xlfn.CONCAT(Table_TRM_Fixtures[[#This Row],[Technology]], ", ", Table_TRM_Fixtures[[#This Row],[Ballast Code]], " Ballast")</f>
        <v>T8, Electronic RLO Ballast</v>
      </c>
      <c r="S874" t="str">
        <f>Table_TRM_Fixtures[[#This Row],[Description  (TRM Data)]]</f>
        <v>Fluorescent, (1) 24", T-8 lamp, Rapid Start Ballast, RLO (BF&lt; 0.85)</v>
      </c>
      <c r="T874" t="str">
        <f>Table_TRM_Fixtures[[#This Row],[Fixture code  (TRM Data)]]</f>
        <v>F21LL-R</v>
      </c>
      <c r="U874" t="s">
        <v>2882</v>
      </c>
      <c r="V874" t="s">
        <v>186</v>
      </c>
      <c r="W874" t="s">
        <v>3120</v>
      </c>
      <c r="X874" t="s">
        <v>186</v>
      </c>
      <c r="Y874" t="s">
        <v>4815</v>
      </c>
      <c r="Z874" t="s">
        <v>4815</v>
      </c>
      <c r="AA874">
        <f>IF(Table_TRM_Fixtures[[#This Row],[Pre-EISA Baseline]]="Nominal", Table_TRM_Fixtures[[#This Row],[Fixture Watts  (TRM Data)]], Table_TRM_Fixtures[[#This Row],[Modified Baseline Fixture Watts]])</f>
        <v>15</v>
      </c>
    </row>
    <row r="875" spans="1:27" x14ac:dyDescent="0.2">
      <c r="A875" t="s">
        <v>1537</v>
      </c>
      <c r="B875" t="s">
        <v>5610</v>
      </c>
      <c r="C875" t="s">
        <v>1536</v>
      </c>
      <c r="D875" t="s">
        <v>5611</v>
      </c>
      <c r="E875" t="s">
        <v>187</v>
      </c>
      <c r="F875">
        <v>1</v>
      </c>
      <c r="G875">
        <v>17</v>
      </c>
      <c r="H875">
        <v>16</v>
      </c>
      <c r="I875">
        <v>15.5</v>
      </c>
      <c r="J875" s="110">
        <v>873</v>
      </c>
      <c r="K875" t="s">
        <v>1505</v>
      </c>
      <c r="L875">
        <f>IF(Table_TRM_Fixtures[[#This Row],[Technology]]="LED", Table_TRM_Fixtures[[#This Row],[Fixture Watts  (TRM Data)]], Table_TRM_Fixtures[[#This Row],[Lamp Watts  (TRM Data)]])</f>
        <v>17</v>
      </c>
      <c r="M875">
        <f>Table_TRM_Fixtures[[#This Row],[No. of Lamps  (TRM Data)]]</f>
        <v>1</v>
      </c>
      <c r="N875">
        <v>24</v>
      </c>
      <c r="O875" t="s">
        <v>1381</v>
      </c>
      <c r="P875" t="s">
        <v>187</v>
      </c>
      <c r="Q875" t="s">
        <v>5612</v>
      </c>
      <c r="R875" t="str">
        <f>_xlfn.CONCAT(Table_TRM_Fixtures[[#This Row],[Technology]], ", ", Table_TRM_Fixtures[[#This Row],[Ballast Code]], " Ballast")</f>
        <v>T8, Electronic STD Ballast</v>
      </c>
      <c r="S875" t="str">
        <f>Table_TRM_Fixtures[[#This Row],[Description  (TRM Data)]]</f>
        <v>Fluorescent, (1) 24", T-8 lamp, Tandem 2-Lamp RS Ballast, NLO (0.85 &lt; BF &lt; 0.95)</v>
      </c>
      <c r="T875" t="str">
        <f>Table_TRM_Fixtures[[#This Row],[Fixture code  (TRM Data)]]</f>
        <v>F21LL/T2</v>
      </c>
      <c r="U875" t="s">
        <v>2882</v>
      </c>
      <c r="V875" t="s">
        <v>186</v>
      </c>
      <c r="W875" t="s">
        <v>3120</v>
      </c>
      <c r="X875" t="s">
        <v>186</v>
      </c>
      <c r="Y875" t="s">
        <v>4815</v>
      </c>
      <c r="Z875" t="s">
        <v>4815</v>
      </c>
      <c r="AA875">
        <f>IF(Table_TRM_Fixtures[[#This Row],[Pre-EISA Baseline]]="Nominal", Table_TRM_Fixtures[[#This Row],[Fixture Watts  (TRM Data)]], Table_TRM_Fixtures[[#This Row],[Modified Baseline Fixture Watts]])</f>
        <v>16</v>
      </c>
    </row>
    <row r="876" spans="1:27" x14ac:dyDescent="0.2">
      <c r="A876" t="s">
        <v>1539</v>
      </c>
      <c r="B876" t="s">
        <v>5610</v>
      </c>
      <c r="C876" t="s">
        <v>1538</v>
      </c>
      <c r="D876" t="s">
        <v>5611</v>
      </c>
      <c r="E876" t="s">
        <v>187</v>
      </c>
      <c r="F876">
        <v>1</v>
      </c>
      <c r="G876">
        <v>17</v>
      </c>
      <c r="H876">
        <v>17</v>
      </c>
      <c r="I876">
        <v>15.5</v>
      </c>
      <c r="J876" s="110">
        <v>874</v>
      </c>
      <c r="K876" t="s">
        <v>1505</v>
      </c>
      <c r="L876">
        <f>IF(Table_TRM_Fixtures[[#This Row],[Technology]]="LED", Table_TRM_Fixtures[[#This Row],[Fixture Watts  (TRM Data)]], Table_TRM_Fixtures[[#This Row],[Lamp Watts  (TRM Data)]])</f>
        <v>17</v>
      </c>
      <c r="M876">
        <f>Table_TRM_Fixtures[[#This Row],[No. of Lamps  (TRM Data)]]</f>
        <v>1</v>
      </c>
      <c r="N876">
        <v>24</v>
      </c>
      <c r="O876" t="s">
        <v>1381</v>
      </c>
      <c r="P876" t="s">
        <v>187</v>
      </c>
      <c r="Q876" t="s">
        <v>5612</v>
      </c>
      <c r="R876" t="str">
        <f>_xlfn.CONCAT(Table_TRM_Fixtures[[#This Row],[Technology]], ", ", Table_TRM_Fixtures[[#This Row],[Ballast Code]], " Ballast")</f>
        <v>T8, Electronic STD Ballast</v>
      </c>
      <c r="S876" t="str">
        <f>Table_TRM_Fixtures[[#This Row],[Description  (TRM Data)]]</f>
        <v>Fluorescent, (1) 24", T-8 lamp, Tandem 3-Lamp RS Ballast, NLO (0.85 &lt; BF &lt; 0.95)</v>
      </c>
      <c r="T876" t="str">
        <f>Table_TRM_Fixtures[[#This Row],[Fixture code  (TRM Data)]]</f>
        <v>F21LL/T3</v>
      </c>
      <c r="U876" t="s">
        <v>2882</v>
      </c>
      <c r="V876" t="s">
        <v>186</v>
      </c>
      <c r="W876" t="s">
        <v>3120</v>
      </c>
      <c r="X876" t="s">
        <v>186</v>
      </c>
      <c r="Y876" t="s">
        <v>4815</v>
      </c>
      <c r="Z876" t="s">
        <v>4815</v>
      </c>
      <c r="AA876">
        <f>IF(Table_TRM_Fixtures[[#This Row],[Pre-EISA Baseline]]="Nominal", Table_TRM_Fixtures[[#This Row],[Fixture Watts  (TRM Data)]], Table_TRM_Fixtures[[#This Row],[Modified Baseline Fixture Watts]])</f>
        <v>17</v>
      </c>
    </row>
    <row r="877" spans="1:27" x14ac:dyDescent="0.2">
      <c r="A877" t="s">
        <v>1541</v>
      </c>
      <c r="B877" t="s">
        <v>5610</v>
      </c>
      <c r="C877" t="s">
        <v>1540</v>
      </c>
      <c r="D877" t="s">
        <v>5611</v>
      </c>
      <c r="E877" t="s">
        <v>187</v>
      </c>
      <c r="F877">
        <v>1</v>
      </c>
      <c r="G877">
        <v>17</v>
      </c>
      <c r="H877">
        <v>17</v>
      </c>
      <c r="I877">
        <v>15.5</v>
      </c>
      <c r="J877" s="110">
        <v>875</v>
      </c>
      <c r="K877" t="s">
        <v>1505</v>
      </c>
      <c r="L877">
        <f>IF(Table_TRM_Fixtures[[#This Row],[Technology]]="LED", Table_TRM_Fixtures[[#This Row],[Fixture Watts  (TRM Data)]], Table_TRM_Fixtures[[#This Row],[Lamp Watts  (TRM Data)]])</f>
        <v>17</v>
      </c>
      <c r="M877">
        <f>Table_TRM_Fixtures[[#This Row],[No. of Lamps  (TRM Data)]]</f>
        <v>1</v>
      </c>
      <c r="N877">
        <v>24</v>
      </c>
      <c r="O877" t="s">
        <v>1381</v>
      </c>
      <c r="P877" t="s">
        <v>187</v>
      </c>
      <c r="Q877" t="s">
        <v>5612</v>
      </c>
      <c r="R877" t="str">
        <f>_xlfn.CONCAT(Table_TRM_Fixtures[[#This Row],[Technology]], ", ", Table_TRM_Fixtures[[#This Row],[Ballast Code]], " Ballast")</f>
        <v>T8, Electronic STD Ballast</v>
      </c>
      <c r="S877" t="str">
        <f>Table_TRM_Fixtures[[#This Row],[Description  (TRM Data)]]</f>
        <v>Fluorescent, (1) 24", T-8 lamp, Tandem 4-Lamp RS Ballast, NLO (0.85 &lt; BF &lt; 0.95)</v>
      </c>
      <c r="T877" t="str">
        <f>Table_TRM_Fixtures[[#This Row],[Fixture code  (TRM Data)]]</f>
        <v>F21LL/T4</v>
      </c>
      <c r="U877" t="s">
        <v>2882</v>
      </c>
      <c r="V877" t="s">
        <v>186</v>
      </c>
      <c r="W877" t="s">
        <v>3120</v>
      </c>
      <c r="X877" t="s">
        <v>186</v>
      </c>
      <c r="Y877" t="s">
        <v>4815</v>
      </c>
      <c r="Z877" t="s">
        <v>4815</v>
      </c>
      <c r="AA877">
        <f>IF(Table_TRM_Fixtures[[#This Row],[Pre-EISA Baseline]]="Nominal", Table_TRM_Fixtures[[#This Row],[Fixture Watts  (TRM Data)]], Table_TRM_Fixtures[[#This Row],[Modified Baseline Fixture Watts]])</f>
        <v>17</v>
      </c>
    </row>
    <row r="878" spans="1:27" x14ac:dyDescent="0.2">
      <c r="A878" t="s">
        <v>1543</v>
      </c>
      <c r="B878" t="s">
        <v>5610</v>
      </c>
      <c r="C878" t="s">
        <v>1542</v>
      </c>
      <c r="D878" t="s">
        <v>5611</v>
      </c>
      <c r="E878" t="s">
        <v>1309</v>
      </c>
      <c r="F878">
        <v>1</v>
      </c>
      <c r="G878">
        <v>17</v>
      </c>
      <c r="H878">
        <v>24</v>
      </c>
      <c r="I878">
        <v>15.5</v>
      </c>
      <c r="J878" s="110">
        <v>876</v>
      </c>
      <c r="K878" t="s">
        <v>1505</v>
      </c>
      <c r="L878">
        <f>IF(Table_TRM_Fixtures[[#This Row],[Technology]]="LED", Table_TRM_Fixtures[[#This Row],[Fixture Watts  (TRM Data)]], Table_TRM_Fixtures[[#This Row],[Lamp Watts  (TRM Data)]])</f>
        <v>17</v>
      </c>
      <c r="M878">
        <f>Table_TRM_Fixtures[[#This Row],[No. of Lamps  (TRM Data)]]</f>
        <v>1</v>
      </c>
      <c r="N878">
        <v>24</v>
      </c>
      <c r="O878" t="s">
        <v>1381</v>
      </c>
      <c r="P878" t="s">
        <v>2640</v>
      </c>
      <c r="Q878" t="s">
        <v>5608</v>
      </c>
      <c r="R878" t="str">
        <f>_xlfn.CONCAT(Table_TRM_Fixtures[[#This Row],[Technology]], ", ", Table_TRM_Fixtures[[#This Row],[Ballast Code]], " Ballast")</f>
        <v>T8, Magnetic STD Ballast</v>
      </c>
      <c r="S878" t="str">
        <f>Table_TRM_Fixtures[[#This Row],[Description  (TRM Data)]]</f>
        <v>Fluorescent, (1) 24", T-8 lamp, Standard Ballast</v>
      </c>
      <c r="T878" t="str">
        <f>Table_TRM_Fixtures[[#This Row],[Fixture code  (TRM Data)]]</f>
        <v>F21SL</v>
      </c>
      <c r="U878" t="s">
        <v>2882</v>
      </c>
      <c r="V878" t="s">
        <v>186</v>
      </c>
      <c r="W878" t="s">
        <v>3120</v>
      </c>
      <c r="X878" t="s">
        <v>186</v>
      </c>
      <c r="Y878" t="str">
        <f>_xlfn.CONCAT(Table_TRM_Fixtures[[#This Row],[Combined Lighting/Ballast Types]],":",Table_TRM_Fixtures[[#This Row],[No. of Lamps]], ":", Table_TRM_Fixtures[[#This Row],[Lamp Watts  (TRM Data)]])</f>
        <v>T8, Magnetic STD Ballast:1:17</v>
      </c>
      <c r="Z878" t="s">
        <v>4815</v>
      </c>
      <c r="AA878">
        <f>IF(Table_TRM_Fixtures[[#This Row],[Pre-EISA Baseline]]="Nominal", Table_TRM_Fixtures[[#This Row],[Fixture Watts  (TRM Data)]], Table_TRM_Fixtures[[#This Row],[Modified Baseline Fixture Watts]])</f>
        <v>24</v>
      </c>
    </row>
    <row r="879" spans="1:27" x14ac:dyDescent="0.2">
      <c r="A879" t="s">
        <v>1545</v>
      </c>
      <c r="B879" t="s">
        <v>5610</v>
      </c>
      <c r="C879" t="s">
        <v>1544</v>
      </c>
      <c r="D879" t="s">
        <v>5617</v>
      </c>
      <c r="E879" t="s">
        <v>1386</v>
      </c>
      <c r="F879">
        <v>2</v>
      </c>
      <c r="G879">
        <v>17</v>
      </c>
      <c r="H879">
        <v>31</v>
      </c>
      <c r="I879">
        <v>15.5</v>
      </c>
      <c r="J879" s="110">
        <v>877</v>
      </c>
      <c r="K879" t="s">
        <v>1505</v>
      </c>
      <c r="L879">
        <f>IF(Table_TRM_Fixtures[[#This Row],[Technology]]="LED", Table_TRM_Fixtures[[#This Row],[Fixture Watts  (TRM Data)]], Table_TRM_Fixtures[[#This Row],[Lamp Watts  (TRM Data)]])</f>
        <v>17</v>
      </c>
      <c r="M879">
        <f>Table_TRM_Fixtures[[#This Row],[No. of Lamps  (TRM Data)]]</f>
        <v>2</v>
      </c>
      <c r="N879">
        <v>24</v>
      </c>
      <c r="O879" t="s">
        <v>1381</v>
      </c>
      <c r="P879" t="s">
        <v>187</v>
      </c>
      <c r="Q879" t="s">
        <v>5612</v>
      </c>
      <c r="R879" t="str">
        <f>_xlfn.CONCAT(Table_TRM_Fixtures[[#This Row],[Technology]], ", ", Table_TRM_Fixtures[[#This Row],[Ballast Code]], " Ballast")</f>
        <v>T8, Electronic STD Ballast</v>
      </c>
      <c r="S879" t="str">
        <f>Table_TRM_Fixtures[[#This Row],[Description  (TRM Data)]]</f>
        <v>Fluorescent (2) 24" T-8 lamp, Prog. Start or PRS Ballast, NLO (0.85 &lt; BF &lt; 0.95)</v>
      </c>
      <c r="T879" t="str">
        <f>Table_TRM_Fixtures[[#This Row],[Fixture code  (TRM Data)]]</f>
        <v>F22GLL</v>
      </c>
      <c r="U879" t="s">
        <v>2882</v>
      </c>
      <c r="V879" t="s">
        <v>186</v>
      </c>
      <c r="W879" t="s">
        <v>3120</v>
      </c>
      <c r="X879" t="s">
        <v>186</v>
      </c>
      <c r="Y879" t="s">
        <v>4815</v>
      </c>
      <c r="Z879" t="s">
        <v>4815</v>
      </c>
      <c r="AA879">
        <f>IF(Table_TRM_Fixtures[[#This Row],[Pre-EISA Baseline]]="Nominal", Table_TRM_Fixtures[[#This Row],[Fixture Watts  (TRM Data)]], Table_TRM_Fixtures[[#This Row],[Modified Baseline Fixture Watts]])</f>
        <v>31</v>
      </c>
    </row>
    <row r="880" spans="1:27" x14ac:dyDescent="0.2">
      <c r="A880" t="s">
        <v>1547</v>
      </c>
      <c r="B880" t="s">
        <v>5610</v>
      </c>
      <c r="C880" t="s">
        <v>1546</v>
      </c>
      <c r="D880" t="s">
        <v>5617</v>
      </c>
      <c r="E880" t="s">
        <v>187</v>
      </c>
      <c r="F880">
        <v>2</v>
      </c>
      <c r="G880">
        <v>17</v>
      </c>
      <c r="H880">
        <v>33</v>
      </c>
      <c r="I880">
        <v>15.5</v>
      </c>
      <c r="J880" s="110">
        <v>878</v>
      </c>
      <c r="K880" t="s">
        <v>1505</v>
      </c>
      <c r="L880">
        <f>IF(Table_TRM_Fixtures[[#This Row],[Technology]]="LED", Table_TRM_Fixtures[[#This Row],[Fixture Watts  (TRM Data)]], Table_TRM_Fixtures[[#This Row],[Lamp Watts  (TRM Data)]])</f>
        <v>17</v>
      </c>
      <c r="M880">
        <f>Table_TRM_Fixtures[[#This Row],[No. of Lamps  (TRM Data)]]</f>
        <v>2</v>
      </c>
      <c r="N880">
        <v>24</v>
      </c>
      <c r="O880" t="s">
        <v>1381</v>
      </c>
      <c r="P880" t="s">
        <v>187</v>
      </c>
      <c r="Q880" t="s">
        <v>5612</v>
      </c>
      <c r="R880" t="str">
        <f>_xlfn.CONCAT(Table_TRM_Fixtures[[#This Row],[Technology]], ", ", Table_TRM_Fixtures[[#This Row],[Ballast Code]], " Ballast")</f>
        <v>T8, Electronic STD Ballast</v>
      </c>
      <c r="S880" t="str">
        <f>Table_TRM_Fixtures[[#This Row],[Description  (TRM Data)]]</f>
        <v>Fluorescent, (2) 24", T-8 lamps, Instant Start Ballast, NLO (0.85 &lt; BF &lt; 0.95)</v>
      </c>
      <c r="T880" t="str">
        <f>Table_TRM_Fixtures[[#This Row],[Fixture code  (TRM Data)]]</f>
        <v>F22ILL</v>
      </c>
      <c r="U880" t="s">
        <v>2882</v>
      </c>
      <c r="V880" t="s">
        <v>186</v>
      </c>
      <c r="W880" t="s">
        <v>3120</v>
      </c>
      <c r="X880" t="s">
        <v>186</v>
      </c>
      <c r="Y880" t="str">
        <f>_xlfn.CONCAT(Table_TRM_Fixtures[[#This Row],[Combined Lighting/Ballast Types]],":",Table_TRM_Fixtures[[#This Row],[No. of Lamps]], ":", Table_TRM_Fixtures[[#This Row],[Lamp Watts  (TRM Data)]])</f>
        <v>T8, Electronic STD Ballast:2:17</v>
      </c>
      <c r="Z880"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T8:2:17</v>
      </c>
      <c r="AA880">
        <f>IF(Table_TRM_Fixtures[[#This Row],[Pre-EISA Baseline]]="Nominal", Table_TRM_Fixtures[[#This Row],[Fixture Watts  (TRM Data)]], Table_TRM_Fixtures[[#This Row],[Modified Baseline Fixture Watts]])</f>
        <v>33</v>
      </c>
    </row>
    <row r="881" spans="1:27" x14ac:dyDescent="0.2">
      <c r="A881" t="s">
        <v>1549</v>
      </c>
      <c r="B881" t="s">
        <v>5610</v>
      </c>
      <c r="C881" t="s">
        <v>1548</v>
      </c>
      <c r="D881" t="s">
        <v>5618</v>
      </c>
      <c r="E881" t="s">
        <v>187</v>
      </c>
      <c r="F881">
        <v>2</v>
      </c>
      <c r="G881">
        <v>17</v>
      </c>
      <c r="H881">
        <v>30</v>
      </c>
      <c r="I881">
        <v>15.5</v>
      </c>
      <c r="J881" s="110">
        <v>879</v>
      </c>
      <c r="K881" t="s">
        <v>1505</v>
      </c>
      <c r="L881">
        <f>IF(Table_TRM_Fixtures[[#This Row],[Technology]]="LED", Table_TRM_Fixtures[[#This Row],[Fixture Watts  (TRM Data)]], Table_TRM_Fixtures[[#This Row],[Lamp Watts  (TRM Data)]])</f>
        <v>17</v>
      </c>
      <c r="M881">
        <f>Table_TRM_Fixtures[[#This Row],[No. of Lamps  (TRM Data)]]</f>
        <v>2</v>
      </c>
      <c r="N881">
        <v>24</v>
      </c>
      <c r="O881" t="s">
        <v>1381</v>
      </c>
      <c r="P881" t="s">
        <v>187</v>
      </c>
      <c r="Q881" t="s">
        <v>5614</v>
      </c>
      <c r="R881" t="str">
        <f>_xlfn.CONCAT(Table_TRM_Fixtures[[#This Row],[Technology]], ", ", Table_TRM_Fixtures[[#This Row],[Ballast Code]], " Ballast")</f>
        <v>T8, Electronic RLO Ballast</v>
      </c>
      <c r="S881" t="str">
        <f>Table_TRM_Fixtures[[#This Row],[Description  (TRM Data)]]</f>
        <v>Fluorescent, (2) 24", T-8 lamps, Instant Start Ballast, RLO (BF&lt; 0.85)</v>
      </c>
      <c r="T881" t="str">
        <f>Table_TRM_Fixtures[[#This Row],[Fixture code  (TRM Data)]]</f>
        <v>F22ILL-R</v>
      </c>
      <c r="U881" t="s">
        <v>2882</v>
      </c>
      <c r="V881" t="s">
        <v>186</v>
      </c>
      <c r="W881" t="s">
        <v>3120</v>
      </c>
      <c r="X881" t="s">
        <v>186</v>
      </c>
      <c r="Y881" t="str">
        <f>_xlfn.CONCAT(Table_TRM_Fixtures[[#This Row],[Combined Lighting/Ballast Types]],":",Table_TRM_Fixtures[[#This Row],[No. of Lamps]], ":", Table_TRM_Fixtures[[#This Row],[Lamp Watts  (TRM Data)]])</f>
        <v>T8, Electronic RLO Ballast:2:17</v>
      </c>
      <c r="Z881" t="s">
        <v>4815</v>
      </c>
      <c r="AA881">
        <f>IF(Table_TRM_Fixtures[[#This Row],[Pre-EISA Baseline]]="Nominal", Table_TRM_Fixtures[[#This Row],[Fixture Watts  (TRM Data)]], Table_TRM_Fixtures[[#This Row],[Modified Baseline Fixture Watts]])</f>
        <v>30</v>
      </c>
    </row>
    <row r="882" spans="1:27" x14ac:dyDescent="0.2">
      <c r="A882" t="s">
        <v>1551</v>
      </c>
      <c r="B882" t="s">
        <v>5610</v>
      </c>
      <c r="C882" t="s">
        <v>1550</v>
      </c>
      <c r="D882" t="s">
        <v>5617</v>
      </c>
      <c r="E882" t="s">
        <v>187</v>
      </c>
      <c r="F882">
        <v>2</v>
      </c>
      <c r="G882">
        <v>17</v>
      </c>
      <c r="H882">
        <v>30</v>
      </c>
      <c r="I882">
        <v>15.5</v>
      </c>
      <c r="J882" s="110">
        <v>880</v>
      </c>
      <c r="K882" t="s">
        <v>1505</v>
      </c>
      <c r="L882">
        <f>IF(Table_TRM_Fixtures[[#This Row],[Technology]]="LED", Table_TRM_Fixtures[[#This Row],[Fixture Watts  (TRM Data)]], Table_TRM_Fixtures[[#This Row],[Lamp Watts  (TRM Data)]])</f>
        <v>17</v>
      </c>
      <c r="M882">
        <f>Table_TRM_Fixtures[[#This Row],[No. of Lamps  (TRM Data)]]</f>
        <v>2</v>
      </c>
      <c r="N882">
        <v>24</v>
      </c>
      <c r="O882" t="s">
        <v>1381</v>
      </c>
      <c r="P882" t="s">
        <v>187</v>
      </c>
      <c r="Q882" t="s">
        <v>5612</v>
      </c>
      <c r="R882" t="str">
        <f>_xlfn.CONCAT(Table_TRM_Fixtures[[#This Row],[Technology]], ", ", Table_TRM_Fixtures[[#This Row],[Ballast Code]], " Ballast")</f>
        <v>T8, Electronic STD Ballast</v>
      </c>
      <c r="S882" t="str">
        <f>Table_TRM_Fixtures[[#This Row],[Description  (TRM Data)]]</f>
        <v>Fluorescent, (2) 24", T-8 lamps, Tandem 4-lamp IS Ballast, NLO (0.85 &lt; BF &lt; 0.95)</v>
      </c>
      <c r="T882" t="str">
        <f>Table_TRM_Fixtures[[#This Row],[Fixture code  (TRM Data)]]</f>
        <v>F22ILL/T4</v>
      </c>
      <c r="U882" t="s">
        <v>2882</v>
      </c>
      <c r="V882" t="s">
        <v>186</v>
      </c>
      <c r="W882" t="s">
        <v>3120</v>
      </c>
      <c r="X882" t="s">
        <v>186</v>
      </c>
      <c r="Y882" t="s">
        <v>4815</v>
      </c>
      <c r="Z882" t="s">
        <v>4815</v>
      </c>
      <c r="AA882">
        <f>IF(Table_TRM_Fixtures[[#This Row],[Pre-EISA Baseline]]="Nominal", Table_TRM_Fixtures[[#This Row],[Fixture Watts  (TRM Data)]], Table_TRM_Fixtures[[#This Row],[Modified Baseline Fixture Watts]])</f>
        <v>30</v>
      </c>
    </row>
    <row r="883" spans="1:27" x14ac:dyDescent="0.2">
      <c r="A883" t="s">
        <v>1553</v>
      </c>
      <c r="B883" t="s">
        <v>5610</v>
      </c>
      <c r="C883" t="s">
        <v>1552</v>
      </c>
      <c r="D883" t="s">
        <v>5618</v>
      </c>
      <c r="E883" t="s">
        <v>187</v>
      </c>
      <c r="F883">
        <v>2</v>
      </c>
      <c r="G883">
        <v>17</v>
      </c>
      <c r="H883">
        <v>27</v>
      </c>
      <c r="I883">
        <v>15.5</v>
      </c>
      <c r="J883" s="110">
        <v>881</v>
      </c>
      <c r="K883" t="s">
        <v>1505</v>
      </c>
      <c r="L883">
        <f>IF(Table_TRM_Fixtures[[#This Row],[Technology]]="LED", Table_TRM_Fixtures[[#This Row],[Fixture Watts  (TRM Data)]], Table_TRM_Fixtures[[#This Row],[Lamp Watts  (TRM Data)]])</f>
        <v>17</v>
      </c>
      <c r="M883">
        <f>Table_TRM_Fixtures[[#This Row],[No. of Lamps  (TRM Data)]]</f>
        <v>2</v>
      </c>
      <c r="N883">
        <v>24</v>
      </c>
      <c r="O883" t="s">
        <v>1381</v>
      </c>
      <c r="P883" t="s">
        <v>187</v>
      </c>
      <c r="Q883" t="s">
        <v>5614</v>
      </c>
      <c r="R883" t="str">
        <f>_xlfn.CONCAT(Table_TRM_Fixtures[[#This Row],[Technology]], ", ", Table_TRM_Fixtures[[#This Row],[Ballast Code]], " Ballast")</f>
        <v>T8, Electronic RLO Ballast</v>
      </c>
      <c r="S883" t="str">
        <f>Table_TRM_Fixtures[[#This Row],[Description  (TRM Data)]]</f>
        <v>Fluorescent, (2) 24", T-8 lamps, Tandem 4-lamp IS Ballast, RLO (BF&lt;.85)</v>
      </c>
      <c r="T883" t="str">
        <f>Table_TRM_Fixtures[[#This Row],[Fixture code  (TRM Data)]]</f>
        <v>F22ILL/T4-R</v>
      </c>
      <c r="U883" t="s">
        <v>2882</v>
      </c>
      <c r="V883" t="s">
        <v>186</v>
      </c>
      <c r="W883" t="s">
        <v>3120</v>
      </c>
      <c r="X883" t="s">
        <v>186</v>
      </c>
      <c r="Y883" t="s">
        <v>4815</v>
      </c>
      <c r="Z883" t="s">
        <v>4815</v>
      </c>
      <c r="AA883">
        <f>IF(Table_TRM_Fixtures[[#This Row],[Pre-EISA Baseline]]="Nominal", Table_TRM_Fixtures[[#This Row],[Fixture Watts  (TRM Data)]], Table_TRM_Fixtures[[#This Row],[Modified Baseline Fixture Watts]])</f>
        <v>27</v>
      </c>
    </row>
    <row r="884" spans="1:27" x14ac:dyDescent="0.2">
      <c r="A884" t="s">
        <v>1554</v>
      </c>
      <c r="B884" t="s">
        <v>5610</v>
      </c>
      <c r="C884" t="s">
        <v>1546</v>
      </c>
      <c r="D884" t="s">
        <v>5617</v>
      </c>
      <c r="E884" t="s">
        <v>187</v>
      </c>
      <c r="F884">
        <v>2</v>
      </c>
      <c r="G884">
        <v>17</v>
      </c>
      <c r="H884">
        <v>30</v>
      </c>
      <c r="I884">
        <v>15.5</v>
      </c>
      <c r="J884" s="110">
        <v>882</v>
      </c>
      <c r="K884" t="s">
        <v>1505</v>
      </c>
      <c r="L884">
        <f>IF(Table_TRM_Fixtures[[#This Row],[Technology]]="LED", Table_TRM_Fixtures[[#This Row],[Fixture Watts  (TRM Data)]], Table_TRM_Fixtures[[#This Row],[Lamp Watts  (TRM Data)]])</f>
        <v>17</v>
      </c>
      <c r="M884">
        <f>Table_TRM_Fixtures[[#This Row],[No. of Lamps  (TRM Data)]]</f>
        <v>2</v>
      </c>
      <c r="N884">
        <v>24</v>
      </c>
      <c r="O884" t="s">
        <v>1381</v>
      </c>
      <c r="P884" t="s">
        <v>187</v>
      </c>
      <c r="Q884" t="s">
        <v>5612</v>
      </c>
      <c r="R884" t="str">
        <f>_xlfn.CONCAT(Table_TRM_Fixtures[[#This Row],[Technology]], ", ", Table_TRM_Fixtures[[#This Row],[Ballast Code]], " Ballast")</f>
        <v>T8, Electronic STD Ballast</v>
      </c>
      <c r="S884" t="str">
        <f>Table_TRM_Fixtures[[#This Row],[Description  (TRM Data)]]</f>
        <v>Fluorescent, (2) 24", T-8 lamps, Instant Start Ballast, NLO (0.85 &lt; BF &lt; 0.95)</v>
      </c>
      <c r="T884" t="str">
        <f>Table_TRM_Fixtures[[#This Row],[Fixture code  (TRM Data)]]</f>
        <v>F22ILU</v>
      </c>
      <c r="U884" t="s">
        <v>2882</v>
      </c>
      <c r="V884" t="s">
        <v>186</v>
      </c>
      <c r="W884" t="s">
        <v>3120</v>
      </c>
      <c r="X884" t="s">
        <v>186</v>
      </c>
      <c r="Y884" t="s">
        <v>4815</v>
      </c>
      <c r="Z884" t="s">
        <v>4815</v>
      </c>
      <c r="AA884">
        <f>IF(Table_TRM_Fixtures[[#This Row],[Pre-EISA Baseline]]="Nominal", Table_TRM_Fixtures[[#This Row],[Fixture Watts  (TRM Data)]], Table_TRM_Fixtures[[#This Row],[Modified Baseline Fixture Watts]])</f>
        <v>30</v>
      </c>
    </row>
    <row r="885" spans="1:27" x14ac:dyDescent="0.2">
      <c r="A885" t="s">
        <v>1555</v>
      </c>
      <c r="B885" t="s">
        <v>5610</v>
      </c>
      <c r="C885" t="s">
        <v>1548</v>
      </c>
      <c r="D885" t="s">
        <v>5618</v>
      </c>
      <c r="E885" t="s">
        <v>187</v>
      </c>
      <c r="F885">
        <v>2</v>
      </c>
      <c r="G885">
        <v>17</v>
      </c>
      <c r="H885">
        <v>27</v>
      </c>
      <c r="I885">
        <v>15.5</v>
      </c>
      <c r="J885" s="110">
        <v>883</v>
      </c>
      <c r="K885" t="s">
        <v>1505</v>
      </c>
      <c r="L885">
        <f>IF(Table_TRM_Fixtures[[#This Row],[Technology]]="LED", Table_TRM_Fixtures[[#This Row],[Fixture Watts  (TRM Data)]], Table_TRM_Fixtures[[#This Row],[Lamp Watts  (TRM Data)]])</f>
        <v>17</v>
      </c>
      <c r="M885">
        <f>Table_TRM_Fixtures[[#This Row],[No. of Lamps  (TRM Data)]]</f>
        <v>2</v>
      </c>
      <c r="N885">
        <v>24</v>
      </c>
      <c r="O885" t="s">
        <v>1381</v>
      </c>
      <c r="P885" t="s">
        <v>187</v>
      </c>
      <c r="Q885" t="s">
        <v>5614</v>
      </c>
      <c r="R885" t="str">
        <f>_xlfn.CONCAT(Table_TRM_Fixtures[[#This Row],[Technology]], ", ", Table_TRM_Fixtures[[#This Row],[Ballast Code]], " Ballast")</f>
        <v>T8, Electronic RLO Ballast</v>
      </c>
      <c r="S885" t="str">
        <f>Table_TRM_Fixtures[[#This Row],[Description  (TRM Data)]]</f>
        <v>Fluorescent, (2) 24", T-8 lamps, Instant Start Ballast, RLO (BF&lt; 0.85)</v>
      </c>
      <c r="T885" t="str">
        <f>Table_TRM_Fixtures[[#This Row],[Fixture code  (TRM Data)]]</f>
        <v>F22ILU-R</v>
      </c>
      <c r="U885" t="s">
        <v>2882</v>
      </c>
      <c r="V885" t="s">
        <v>186</v>
      </c>
      <c r="W885" t="s">
        <v>3120</v>
      </c>
      <c r="X885" t="s">
        <v>186</v>
      </c>
      <c r="Y885" t="s">
        <v>4815</v>
      </c>
      <c r="Z885" t="s">
        <v>4815</v>
      </c>
      <c r="AA885">
        <f>IF(Table_TRM_Fixtures[[#This Row],[Pre-EISA Baseline]]="Nominal", Table_TRM_Fixtures[[#This Row],[Fixture Watts  (TRM Data)]], Table_TRM_Fixtures[[#This Row],[Modified Baseline Fixture Watts]])</f>
        <v>27</v>
      </c>
    </row>
    <row r="886" spans="1:27" x14ac:dyDescent="0.2">
      <c r="A886" t="s">
        <v>1557</v>
      </c>
      <c r="B886" t="s">
        <v>5610</v>
      </c>
      <c r="C886" t="s">
        <v>1556</v>
      </c>
      <c r="D886" t="s">
        <v>5619</v>
      </c>
      <c r="E886" t="s">
        <v>187</v>
      </c>
      <c r="F886">
        <v>2</v>
      </c>
      <c r="G886">
        <v>17</v>
      </c>
      <c r="H886">
        <v>41</v>
      </c>
      <c r="I886">
        <v>15.5</v>
      </c>
      <c r="J886" s="110">
        <v>884</v>
      </c>
      <c r="K886" t="s">
        <v>1505</v>
      </c>
      <c r="L886">
        <f>IF(Table_TRM_Fixtures[[#This Row],[Technology]]="LED", Table_TRM_Fixtures[[#This Row],[Fixture Watts  (TRM Data)]], Table_TRM_Fixtures[[#This Row],[Lamp Watts  (TRM Data)]])</f>
        <v>17</v>
      </c>
      <c r="M886">
        <f>Table_TRM_Fixtures[[#This Row],[No. of Lamps  (TRM Data)]]</f>
        <v>2</v>
      </c>
      <c r="N886">
        <v>24</v>
      </c>
      <c r="O886" t="s">
        <v>1381</v>
      </c>
      <c r="P886" t="s">
        <v>187</v>
      </c>
      <c r="Q886" t="s">
        <v>5616</v>
      </c>
      <c r="R886" t="str">
        <f>_xlfn.CONCAT(Table_TRM_Fixtures[[#This Row],[Technology]], ", ", Table_TRM_Fixtures[[#This Row],[Ballast Code]], " Ballast")</f>
        <v>T8, Electronic VHLO Ballast</v>
      </c>
      <c r="S886" t="str">
        <f>Table_TRM_Fixtures[[#This Row],[Description  (TRM Data)]]</f>
        <v>Fluorescent, (2) 24", T-8 lamps, Instant Start Ballast, VHLO ( BF &gt; 1.1)</v>
      </c>
      <c r="T886" t="str">
        <f>Table_TRM_Fixtures[[#This Row],[Fixture code  (TRM Data)]]</f>
        <v>F22ILU-V</v>
      </c>
      <c r="U886" t="s">
        <v>2882</v>
      </c>
      <c r="V886" t="s">
        <v>186</v>
      </c>
      <c r="W886" t="s">
        <v>3120</v>
      </c>
      <c r="X886" t="s">
        <v>186</v>
      </c>
      <c r="Y886" t="str">
        <f>_xlfn.CONCAT(Table_TRM_Fixtures[[#This Row],[Combined Lighting/Ballast Types]],":",Table_TRM_Fixtures[[#This Row],[No. of Lamps]], ":", Table_TRM_Fixtures[[#This Row],[Lamp Watts  (TRM Data)]])</f>
        <v>T8, Electronic VHLO Ballast:2:17</v>
      </c>
      <c r="Z886" t="s">
        <v>4815</v>
      </c>
      <c r="AA886">
        <f>IF(Table_TRM_Fixtures[[#This Row],[Pre-EISA Baseline]]="Nominal", Table_TRM_Fixtures[[#This Row],[Fixture Watts  (TRM Data)]], Table_TRM_Fixtures[[#This Row],[Modified Baseline Fixture Watts]])</f>
        <v>41</v>
      </c>
    </row>
    <row r="887" spans="1:27" x14ac:dyDescent="0.2">
      <c r="A887" t="s">
        <v>1559</v>
      </c>
      <c r="B887" t="s">
        <v>5610</v>
      </c>
      <c r="C887" t="s">
        <v>1558</v>
      </c>
      <c r="D887" t="s">
        <v>5618</v>
      </c>
      <c r="E887" t="s">
        <v>187</v>
      </c>
      <c r="F887">
        <v>2</v>
      </c>
      <c r="G887">
        <v>17</v>
      </c>
      <c r="H887">
        <v>26</v>
      </c>
      <c r="I887">
        <v>15.5</v>
      </c>
      <c r="J887" s="110">
        <v>885</v>
      </c>
      <c r="K887" t="s">
        <v>1505</v>
      </c>
      <c r="L887">
        <f>IF(Table_TRM_Fixtures[[#This Row],[Technology]]="LED", Table_TRM_Fixtures[[#This Row],[Fixture Watts  (TRM Data)]], Table_TRM_Fixtures[[#This Row],[Lamp Watts  (TRM Data)]])</f>
        <v>17</v>
      </c>
      <c r="M887">
        <f>Table_TRM_Fixtures[[#This Row],[No. of Lamps  (TRM Data)]]</f>
        <v>2</v>
      </c>
      <c r="N887">
        <v>24</v>
      </c>
      <c r="O887" t="s">
        <v>1381</v>
      </c>
      <c r="P887" t="s">
        <v>187</v>
      </c>
      <c r="Q887" t="s">
        <v>5614</v>
      </c>
      <c r="R887" t="str">
        <f>_xlfn.CONCAT(Table_TRM_Fixtures[[#This Row],[Technology]], ", ", Table_TRM_Fixtures[[#This Row],[Ballast Code]], " Ballast")</f>
        <v>T8, Electronic RLO Ballast</v>
      </c>
      <c r="S887" t="str">
        <f>Table_TRM_Fixtures[[#This Row],[Description  (TRM Data)]]</f>
        <v>Fluorescent, (2) 24", T-8 lamps, Tandem 4-lamp IS Ballast, RLO (BF&lt; 0.85)</v>
      </c>
      <c r="T887" t="str">
        <f>Table_TRM_Fixtures[[#This Row],[Fixture code  (TRM Data)]]</f>
        <v>F22ILU/T4-R</v>
      </c>
      <c r="U887" t="s">
        <v>2882</v>
      </c>
      <c r="V887" t="s">
        <v>186</v>
      </c>
      <c r="W887" t="s">
        <v>3120</v>
      </c>
      <c r="X887" t="s">
        <v>186</v>
      </c>
      <c r="Y887" t="s">
        <v>4815</v>
      </c>
      <c r="Z887" t="s">
        <v>4815</v>
      </c>
      <c r="AA887">
        <f>IF(Table_TRM_Fixtures[[#This Row],[Pre-EISA Baseline]]="Nominal", Table_TRM_Fixtures[[#This Row],[Fixture Watts  (TRM Data)]], Table_TRM_Fixtures[[#This Row],[Modified Baseline Fixture Watts]])</f>
        <v>26</v>
      </c>
    </row>
    <row r="888" spans="1:27" x14ac:dyDescent="0.2">
      <c r="A888" t="s">
        <v>1561</v>
      </c>
      <c r="B888" t="s">
        <v>5610</v>
      </c>
      <c r="C888" t="s">
        <v>1560</v>
      </c>
      <c r="D888" t="s">
        <v>5617</v>
      </c>
      <c r="E888" t="s">
        <v>187</v>
      </c>
      <c r="F888">
        <v>2</v>
      </c>
      <c r="G888">
        <v>17</v>
      </c>
      <c r="H888">
        <v>31</v>
      </c>
      <c r="I888">
        <v>15.5</v>
      </c>
      <c r="J888" s="110">
        <v>886</v>
      </c>
      <c r="K888" t="s">
        <v>1505</v>
      </c>
      <c r="L888">
        <f>IF(Table_TRM_Fixtures[[#This Row],[Technology]]="LED", Table_TRM_Fixtures[[#This Row],[Fixture Watts  (TRM Data)]], Table_TRM_Fixtures[[#This Row],[Lamp Watts  (TRM Data)]])</f>
        <v>17</v>
      </c>
      <c r="M888">
        <f>Table_TRM_Fixtures[[#This Row],[No. of Lamps  (TRM Data)]]</f>
        <v>2</v>
      </c>
      <c r="N888">
        <v>24</v>
      </c>
      <c r="O888" t="s">
        <v>1381</v>
      </c>
      <c r="P888" t="s">
        <v>187</v>
      </c>
      <c r="Q888" t="s">
        <v>5612</v>
      </c>
      <c r="R888" t="str">
        <f>_xlfn.CONCAT(Table_TRM_Fixtures[[#This Row],[Technology]], ", ", Table_TRM_Fixtures[[#This Row],[Ballast Code]], " Ballast")</f>
        <v>T8, Electronic STD Ballast</v>
      </c>
      <c r="S888" t="str">
        <f>Table_TRM_Fixtures[[#This Row],[Description  (TRM Data)]]</f>
        <v>Fluorescent, (2) 24", T-8 lamps, Rapid Start Ballast, NLO (0.85 &lt; BF &lt; 0.95)</v>
      </c>
      <c r="T888" t="str">
        <f>Table_TRM_Fixtures[[#This Row],[Fixture code  (TRM Data)]]</f>
        <v>F22LL</v>
      </c>
      <c r="U888" t="s">
        <v>2882</v>
      </c>
      <c r="V888" t="s">
        <v>186</v>
      </c>
      <c r="W888" t="s">
        <v>3120</v>
      </c>
      <c r="X888" t="s">
        <v>186</v>
      </c>
      <c r="Y888" t="s">
        <v>4815</v>
      </c>
      <c r="Z888" t="s">
        <v>4815</v>
      </c>
      <c r="AA888">
        <f>IF(Table_TRM_Fixtures[[#This Row],[Pre-EISA Baseline]]="Nominal", Table_TRM_Fixtures[[#This Row],[Fixture Watts  (TRM Data)]], Table_TRM_Fixtures[[#This Row],[Modified Baseline Fixture Watts]])</f>
        <v>31</v>
      </c>
    </row>
    <row r="889" spans="1:27" x14ac:dyDescent="0.2">
      <c r="A889" t="s">
        <v>1563</v>
      </c>
      <c r="B889" t="s">
        <v>5610</v>
      </c>
      <c r="C889" t="s">
        <v>1562</v>
      </c>
      <c r="D889" t="s">
        <v>5618</v>
      </c>
      <c r="E889" t="s">
        <v>187</v>
      </c>
      <c r="F889">
        <v>2</v>
      </c>
      <c r="G889">
        <v>17</v>
      </c>
      <c r="H889">
        <v>28</v>
      </c>
      <c r="I889">
        <v>15.5</v>
      </c>
      <c r="J889" s="110">
        <v>887</v>
      </c>
      <c r="K889" t="s">
        <v>1505</v>
      </c>
      <c r="L889">
        <f>IF(Table_TRM_Fixtures[[#This Row],[Technology]]="LED", Table_TRM_Fixtures[[#This Row],[Fixture Watts  (TRM Data)]], Table_TRM_Fixtures[[#This Row],[Lamp Watts  (TRM Data)]])</f>
        <v>17</v>
      </c>
      <c r="M889">
        <f>Table_TRM_Fixtures[[#This Row],[No. of Lamps  (TRM Data)]]</f>
        <v>2</v>
      </c>
      <c r="N889">
        <v>24</v>
      </c>
      <c r="O889" t="s">
        <v>1381</v>
      </c>
      <c r="P889" t="s">
        <v>187</v>
      </c>
      <c r="Q889" t="s">
        <v>5614</v>
      </c>
      <c r="R889" t="str">
        <f>_xlfn.CONCAT(Table_TRM_Fixtures[[#This Row],[Technology]], ", ", Table_TRM_Fixtures[[#This Row],[Ballast Code]], " Ballast")</f>
        <v>T8, Electronic RLO Ballast</v>
      </c>
      <c r="S889" t="str">
        <f>Table_TRM_Fixtures[[#This Row],[Description  (TRM Data)]]</f>
        <v>Fluorescent, (2) 24", T-8 lamps, Rapid Start Ballast, RLO (BF&lt; 0.85)</v>
      </c>
      <c r="T889" t="str">
        <f>Table_TRM_Fixtures[[#This Row],[Fixture code  (TRM Data)]]</f>
        <v>F22LL-R</v>
      </c>
      <c r="U889" t="s">
        <v>2882</v>
      </c>
      <c r="V889" t="s">
        <v>186</v>
      </c>
      <c r="W889" t="s">
        <v>3120</v>
      </c>
      <c r="X889" t="s">
        <v>186</v>
      </c>
      <c r="Y889" t="s">
        <v>4815</v>
      </c>
      <c r="Z889" t="s">
        <v>4815</v>
      </c>
      <c r="AA889">
        <f>IF(Table_TRM_Fixtures[[#This Row],[Pre-EISA Baseline]]="Nominal", Table_TRM_Fixtures[[#This Row],[Fixture Watts  (TRM Data)]], Table_TRM_Fixtures[[#This Row],[Modified Baseline Fixture Watts]])</f>
        <v>28</v>
      </c>
    </row>
    <row r="890" spans="1:27" x14ac:dyDescent="0.2">
      <c r="A890" t="s">
        <v>1565</v>
      </c>
      <c r="B890" t="s">
        <v>5610</v>
      </c>
      <c r="C890" t="s">
        <v>1564</v>
      </c>
      <c r="D890" t="s">
        <v>5617</v>
      </c>
      <c r="E890" t="s">
        <v>187</v>
      </c>
      <c r="F890">
        <v>2</v>
      </c>
      <c r="G890">
        <v>17</v>
      </c>
      <c r="H890">
        <v>34</v>
      </c>
      <c r="I890">
        <v>15.5</v>
      </c>
      <c r="J890" s="110">
        <v>888</v>
      </c>
      <c r="K890" t="s">
        <v>1505</v>
      </c>
      <c r="L890">
        <f>IF(Table_TRM_Fixtures[[#This Row],[Technology]]="LED", Table_TRM_Fixtures[[#This Row],[Fixture Watts  (TRM Data)]], Table_TRM_Fixtures[[#This Row],[Lamp Watts  (TRM Data)]])</f>
        <v>17</v>
      </c>
      <c r="M890">
        <f>Table_TRM_Fixtures[[#This Row],[No. of Lamps  (TRM Data)]]</f>
        <v>2</v>
      </c>
      <c r="N890">
        <v>24</v>
      </c>
      <c r="O890" t="s">
        <v>1381</v>
      </c>
      <c r="P890" t="s">
        <v>187</v>
      </c>
      <c r="Q890" t="s">
        <v>5612</v>
      </c>
      <c r="R890" t="str">
        <f>_xlfn.CONCAT(Table_TRM_Fixtures[[#This Row],[Technology]], ", ", Table_TRM_Fixtures[[#This Row],[Ballast Code]], " Ballast")</f>
        <v>T8, Electronic STD Ballast</v>
      </c>
      <c r="S890" t="str">
        <f>Table_TRM_Fixtures[[#This Row],[Description  (TRM Data)]]</f>
        <v>Fluorescent, (2) 24", T-8 lamps, Tandem 4-lamp RS Ballast, NLO (0.85 &lt; BF &lt; 0.95)</v>
      </c>
      <c r="T890" t="str">
        <f>Table_TRM_Fixtures[[#This Row],[Fixture code  (TRM Data)]]</f>
        <v>F22LL/T4</v>
      </c>
      <c r="U890" t="s">
        <v>2882</v>
      </c>
      <c r="V890" t="s">
        <v>186</v>
      </c>
      <c r="W890" t="s">
        <v>3120</v>
      </c>
      <c r="X890" t="s">
        <v>186</v>
      </c>
      <c r="Y890" t="s">
        <v>4815</v>
      </c>
      <c r="Z890" t="s">
        <v>4815</v>
      </c>
      <c r="AA890">
        <f>IF(Table_TRM_Fixtures[[#This Row],[Pre-EISA Baseline]]="Nominal", Table_TRM_Fixtures[[#This Row],[Fixture Watts  (TRM Data)]], Table_TRM_Fixtures[[#This Row],[Modified Baseline Fixture Watts]])</f>
        <v>34</v>
      </c>
    </row>
    <row r="891" spans="1:27" x14ac:dyDescent="0.2">
      <c r="A891" t="s">
        <v>1567</v>
      </c>
      <c r="B891" t="s">
        <v>5610</v>
      </c>
      <c r="C891" t="s">
        <v>1566</v>
      </c>
      <c r="D891" t="s">
        <v>5620</v>
      </c>
      <c r="E891" t="s">
        <v>1386</v>
      </c>
      <c r="F891">
        <v>3</v>
      </c>
      <c r="G891">
        <v>17</v>
      </c>
      <c r="H891">
        <v>47</v>
      </c>
      <c r="I891">
        <v>15.5</v>
      </c>
      <c r="J891" s="110">
        <v>889</v>
      </c>
      <c r="K891" t="s">
        <v>1505</v>
      </c>
      <c r="L891">
        <f>IF(Table_TRM_Fixtures[[#This Row],[Technology]]="LED", Table_TRM_Fixtures[[#This Row],[Fixture Watts  (TRM Data)]], Table_TRM_Fixtures[[#This Row],[Lamp Watts  (TRM Data)]])</f>
        <v>17</v>
      </c>
      <c r="M891">
        <f>Table_TRM_Fixtures[[#This Row],[No. of Lamps  (TRM Data)]]</f>
        <v>3</v>
      </c>
      <c r="N891">
        <v>24</v>
      </c>
      <c r="O891" t="s">
        <v>1381</v>
      </c>
      <c r="P891" t="s">
        <v>187</v>
      </c>
      <c r="Q891" t="s">
        <v>5612</v>
      </c>
      <c r="R891" t="str">
        <f>_xlfn.CONCAT(Table_TRM_Fixtures[[#This Row],[Technology]], ", ", Table_TRM_Fixtures[[#This Row],[Ballast Code]], " Ballast")</f>
        <v>T8, Electronic STD Ballast</v>
      </c>
      <c r="S891" t="str">
        <f>Table_TRM_Fixtures[[#This Row],[Description  (TRM Data)]]</f>
        <v>Fluorescent (3) 24" T-8 lamp, Prog. Start or PRS Ballast, NLO (0.85 &lt; BF &lt; 0.95)</v>
      </c>
      <c r="T891" t="str">
        <f>Table_TRM_Fixtures[[#This Row],[Fixture code  (TRM Data)]]</f>
        <v>F23GLL</v>
      </c>
      <c r="U891" t="s">
        <v>2882</v>
      </c>
      <c r="V891" t="s">
        <v>186</v>
      </c>
      <c r="W891" t="s">
        <v>3120</v>
      </c>
      <c r="X891" t="s">
        <v>186</v>
      </c>
      <c r="Y891" t="s">
        <v>4815</v>
      </c>
      <c r="Z891" t="s">
        <v>4815</v>
      </c>
      <c r="AA891">
        <f>IF(Table_TRM_Fixtures[[#This Row],[Pre-EISA Baseline]]="Nominal", Table_TRM_Fixtures[[#This Row],[Fixture Watts  (TRM Data)]], Table_TRM_Fixtures[[#This Row],[Modified Baseline Fixture Watts]])</f>
        <v>47</v>
      </c>
    </row>
    <row r="892" spans="1:27" x14ac:dyDescent="0.2">
      <c r="A892" t="s">
        <v>1569</v>
      </c>
      <c r="B892" t="s">
        <v>5610</v>
      </c>
      <c r="C892" t="s">
        <v>1568</v>
      </c>
      <c r="D892" t="s">
        <v>5620</v>
      </c>
      <c r="E892" t="s">
        <v>187</v>
      </c>
      <c r="F892">
        <v>3</v>
      </c>
      <c r="G892">
        <v>17</v>
      </c>
      <c r="H892">
        <v>47</v>
      </c>
      <c r="I892">
        <v>15.5</v>
      </c>
      <c r="J892" s="110">
        <v>890</v>
      </c>
      <c r="K892" t="s">
        <v>1505</v>
      </c>
      <c r="L892">
        <f>IF(Table_TRM_Fixtures[[#This Row],[Technology]]="LED", Table_TRM_Fixtures[[#This Row],[Fixture Watts  (TRM Data)]], Table_TRM_Fixtures[[#This Row],[Lamp Watts  (TRM Data)]])</f>
        <v>17</v>
      </c>
      <c r="M892">
        <f>Table_TRM_Fixtures[[#This Row],[No. of Lamps  (TRM Data)]]</f>
        <v>3</v>
      </c>
      <c r="N892">
        <v>24</v>
      </c>
      <c r="O892" t="s">
        <v>1381</v>
      </c>
      <c r="P892" t="s">
        <v>187</v>
      </c>
      <c r="Q892" t="s">
        <v>5612</v>
      </c>
      <c r="R892" t="str">
        <f>_xlfn.CONCAT(Table_TRM_Fixtures[[#This Row],[Technology]], ", ", Table_TRM_Fixtures[[#This Row],[Ballast Code]], " Ballast")</f>
        <v>T8, Electronic STD Ballast</v>
      </c>
      <c r="S892" t="str">
        <f>Table_TRM_Fixtures[[#This Row],[Description  (TRM Data)]]</f>
        <v>Fluorescent, (3) 24", T-8 lamps, Instant Start Ballast, NLO (0.85 &lt; BF &lt; 0.95)</v>
      </c>
      <c r="T892" t="str">
        <f>Table_TRM_Fixtures[[#This Row],[Fixture code  (TRM Data)]]</f>
        <v>F23ILL</v>
      </c>
      <c r="U892" t="s">
        <v>2882</v>
      </c>
      <c r="V892" t="s">
        <v>186</v>
      </c>
      <c r="W892" t="s">
        <v>3120</v>
      </c>
      <c r="X892" t="s">
        <v>186</v>
      </c>
      <c r="Y892" t="str">
        <f>_xlfn.CONCAT(Table_TRM_Fixtures[[#This Row],[Combined Lighting/Ballast Types]],":",Table_TRM_Fixtures[[#This Row],[No. of Lamps]], ":", Table_TRM_Fixtures[[#This Row],[Lamp Watts  (TRM Data)]])</f>
        <v>T8, Electronic STD Ballast:3:17</v>
      </c>
      <c r="Z892"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T8:3:17</v>
      </c>
      <c r="AA892">
        <f>IF(Table_TRM_Fixtures[[#This Row],[Pre-EISA Baseline]]="Nominal", Table_TRM_Fixtures[[#This Row],[Fixture Watts  (TRM Data)]], Table_TRM_Fixtures[[#This Row],[Modified Baseline Fixture Watts]])</f>
        <v>47</v>
      </c>
    </row>
    <row r="893" spans="1:27" x14ac:dyDescent="0.2">
      <c r="A893" t="s">
        <v>1571</v>
      </c>
      <c r="B893" t="s">
        <v>5610</v>
      </c>
      <c r="C893" t="s">
        <v>1570</v>
      </c>
      <c r="D893" t="s">
        <v>5621</v>
      </c>
      <c r="E893" t="s">
        <v>187</v>
      </c>
      <c r="F893">
        <v>3</v>
      </c>
      <c r="G893">
        <v>17</v>
      </c>
      <c r="H893">
        <v>51</v>
      </c>
      <c r="I893">
        <v>15.5</v>
      </c>
      <c r="J893" s="110">
        <v>891</v>
      </c>
      <c r="K893" t="s">
        <v>1505</v>
      </c>
      <c r="L893">
        <f>IF(Table_TRM_Fixtures[[#This Row],[Technology]]="LED", Table_TRM_Fixtures[[#This Row],[Fixture Watts  (TRM Data)]], Table_TRM_Fixtures[[#This Row],[Lamp Watts  (TRM Data)]])</f>
        <v>17</v>
      </c>
      <c r="M893">
        <f>Table_TRM_Fixtures[[#This Row],[No. of Lamps  (TRM Data)]]</f>
        <v>3</v>
      </c>
      <c r="N893">
        <v>24</v>
      </c>
      <c r="O893" t="s">
        <v>1381</v>
      </c>
      <c r="P893" t="s">
        <v>187</v>
      </c>
      <c r="Q893" t="s">
        <v>5566</v>
      </c>
      <c r="R893" t="str">
        <f>_xlfn.CONCAT(Table_TRM_Fixtures[[#This Row],[Technology]], ", ", Table_TRM_Fixtures[[#This Row],[Ballast Code]], " Ballast")</f>
        <v>T8, Electronic HLO Ballast</v>
      </c>
      <c r="S893" t="str">
        <f>Table_TRM_Fixtures[[#This Row],[Description  (TRM Data)]]</f>
        <v>Fluorescent, (3) 24", T-8 lamps, Instant Start Ballast, HLO (0.95 &lt; BF &lt; 1.1)</v>
      </c>
      <c r="T893" t="str">
        <f>Table_TRM_Fixtures[[#This Row],[Fixture code  (TRM Data)]]</f>
        <v>F23ILL-H</v>
      </c>
      <c r="U893" t="s">
        <v>2882</v>
      </c>
      <c r="V893" t="s">
        <v>186</v>
      </c>
      <c r="W893" t="s">
        <v>3120</v>
      </c>
      <c r="X893" t="s">
        <v>186</v>
      </c>
      <c r="Y893" t="str">
        <f>_xlfn.CONCAT(Table_TRM_Fixtures[[#This Row],[Combined Lighting/Ballast Types]],":",Table_TRM_Fixtures[[#This Row],[No. of Lamps]], ":", Table_TRM_Fixtures[[#This Row],[Lamp Watts  (TRM Data)]])</f>
        <v>T8, Electronic HLO Ballast:3:17</v>
      </c>
      <c r="Z893" t="s">
        <v>4815</v>
      </c>
      <c r="AA893">
        <f>IF(Table_TRM_Fixtures[[#This Row],[Pre-EISA Baseline]]="Nominal", Table_TRM_Fixtures[[#This Row],[Fixture Watts  (TRM Data)]], Table_TRM_Fixtures[[#This Row],[Modified Baseline Fixture Watts]])</f>
        <v>51</v>
      </c>
    </row>
    <row r="894" spans="1:27" x14ac:dyDescent="0.2">
      <c r="A894" t="s">
        <v>1573</v>
      </c>
      <c r="B894" t="s">
        <v>5610</v>
      </c>
      <c r="C894" t="s">
        <v>1572</v>
      </c>
      <c r="D894" t="s">
        <v>5622</v>
      </c>
      <c r="E894" t="s">
        <v>187</v>
      </c>
      <c r="F894">
        <v>3</v>
      </c>
      <c r="G894">
        <v>17</v>
      </c>
      <c r="H894">
        <v>41</v>
      </c>
      <c r="I894">
        <v>15.5</v>
      </c>
      <c r="J894" s="110">
        <v>892</v>
      </c>
      <c r="K894" t="s">
        <v>1505</v>
      </c>
      <c r="L894">
        <f>IF(Table_TRM_Fixtures[[#This Row],[Technology]]="LED", Table_TRM_Fixtures[[#This Row],[Fixture Watts  (TRM Data)]], Table_TRM_Fixtures[[#This Row],[Lamp Watts  (TRM Data)]])</f>
        <v>17</v>
      </c>
      <c r="M894">
        <f>Table_TRM_Fixtures[[#This Row],[No. of Lamps  (TRM Data)]]</f>
        <v>3</v>
      </c>
      <c r="N894">
        <v>24</v>
      </c>
      <c r="O894" t="s">
        <v>1381</v>
      </c>
      <c r="P894" t="s">
        <v>187</v>
      </c>
      <c r="Q894" t="s">
        <v>5614</v>
      </c>
      <c r="R894" t="str">
        <f>_xlfn.CONCAT(Table_TRM_Fixtures[[#This Row],[Technology]], ", ", Table_TRM_Fixtures[[#This Row],[Ballast Code]], " Ballast")</f>
        <v>T8, Electronic RLO Ballast</v>
      </c>
      <c r="S894" t="str">
        <f>Table_TRM_Fixtures[[#This Row],[Description  (TRM Data)]]</f>
        <v>Fluorescent, (3) 24", T-8 lamps, Instant Start Ballast, RLO (BF&lt; 0.85)</v>
      </c>
      <c r="T894" t="str">
        <f>Table_TRM_Fixtures[[#This Row],[Fixture code  (TRM Data)]]</f>
        <v>F23ILL-R</v>
      </c>
      <c r="U894" t="s">
        <v>2882</v>
      </c>
      <c r="V894" t="s">
        <v>186</v>
      </c>
      <c r="W894" t="s">
        <v>3120</v>
      </c>
      <c r="X894" t="s">
        <v>186</v>
      </c>
      <c r="Y894" t="str">
        <f>_xlfn.CONCAT(Table_TRM_Fixtures[[#This Row],[Combined Lighting/Ballast Types]],":",Table_TRM_Fixtures[[#This Row],[No. of Lamps]], ":", Table_TRM_Fixtures[[#This Row],[Lamp Watts  (TRM Data)]])</f>
        <v>T8, Electronic RLO Ballast:3:17</v>
      </c>
      <c r="Z894" t="s">
        <v>4815</v>
      </c>
      <c r="AA894">
        <f>IF(Table_TRM_Fixtures[[#This Row],[Pre-EISA Baseline]]="Nominal", Table_TRM_Fixtures[[#This Row],[Fixture Watts  (TRM Data)]], Table_TRM_Fixtures[[#This Row],[Modified Baseline Fixture Watts]])</f>
        <v>41</v>
      </c>
    </row>
    <row r="895" spans="1:27" x14ac:dyDescent="0.2">
      <c r="A895" t="s">
        <v>1574</v>
      </c>
      <c r="B895" t="s">
        <v>5610</v>
      </c>
      <c r="C895" t="s">
        <v>1568</v>
      </c>
      <c r="D895" t="s">
        <v>5620</v>
      </c>
      <c r="E895" t="s">
        <v>187</v>
      </c>
      <c r="F895">
        <v>3</v>
      </c>
      <c r="G895">
        <v>17</v>
      </c>
      <c r="H895">
        <v>45</v>
      </c>
      <c r="I895">
        <v>15.5</v>
      </c>
      <c r="J895" s="110">
        <v>893</v>
      </c>
      <c r="K895" t="s">
        <v>1505</v>
      </c>
      <c r="L895">
        <f>IF(Table_TRM_Fixtures[[#This Row],[Technology]]="LED", Table_TRM_Fixtures[[#This Row],[Fixture Watts  (TRM Data)]], Table_TRM_Fixtures[[#This Row],[Lamp Watts  (TRM Data)]])</f>
        <v>17</v>
      </c>
      <c r="M895">
        <f>Table_TRM_Fixtures[[#This Row],[No. of Lamps  (TRM Data)]]</f>
        <v>3</v>
      </c>
      <c r="N895">
        <v>24</v>
      </c>
      <c r="O895" t="s">
        <v>1381</v>
      </c>
      <c r="P895" t="s">
        <v>187</v>
      </c>
      <c r="Q895" t="s">
        <v>5612</v>
      </c>
      <c r="R895" t="str">
        <f>_xlfn.CONCAT(Table_TRM_Fixtures[[#This Row],[Technology]], ", ", Table_TRM_Fixtures[[#This Row],[Ballast Code]], " Ballast")</f>
        <v>T8, Electronic STD Ballast</v>
      </c>
      <c r="S895" t="str">
        <f>Table_TRM_Fixtures[[#This Row],[Description  (TRM Data)]]</f>
        <v>Fluorescent, (3) 24", T-8 lamps, Instant Start Ballast, NLO (0.85 &lt; BF &lt; 0.95)</v>
      </c>
      <c r="T895" t="str">
        <f>Table_TRM_Fixtures[[#This Row],[Fixture code  (TRM Data)]]</f>
        <v>F23ILU</v>
      </c>
      <c r="U895" t="s">
        <v>2882</v>
      </c>
      <c r="V895" t="s">
        <v>186</v>
      </c>
      <c r="W895" t="s">
        <v>3120</v>
      </c>
      <c r="X895" t="s">
        <v>186</v>
      </c>
      <c r="Y895" t="s">
        <v>4815</v>
      </c>
      <c r="Z895" t="s">
        <v>4815</v>
      </c>
      <c r="AA895">
        <f>IF(Table_TRM_Fixtures[[#This Row],[Pre-EISA Baseline]]="Nominal", Table_TRM_Fixtures[[#This Row],[Fixture Watts  (TRM Data)]], Table_TRM_Fixtures[[#This Row],[Modified Baseline Fixture Watts]])</f>
        <v>45</v>
      </c>
    </row>
    <row r="896" spans="1:27" x14ac:dyDescent="0.2">
      <c r="A896" t="s">
        <v>1575</v>
      </c>
      <c r="B896" t="s">
        <v>5610</v>
      </c>
      <c r="C896" t="s">
        <v>1572</v>
      </c>
      <c r="D896" t="s">
        <v>5622</v>
      </c>
      <c r="E896" t="s">
        <v>187</v>
      </c>
      <c r="F896">
        <v>3</v>
      </c>
      <c r="G896">
        <v>17</v>
      </c>
      <c r="H896">
        <v>40</v>
      </c>
      <c r="I896">
        <v>15.5</v>
      </c>
      <c r="J896" s="110">
        <v>894</v>
      </c>
      <c r="K896" t="s">
        <v>1505</v>
      </c>
      <c r="L896">
        <f>IF(Table_TRM_Fixtures[[#This Row],[Technology]]="LED", Table_TRM_Fixtures[[#This Row],[Fixture Watts  (TRM Data)]], Table_TRM_Fixtures[[#This Row],[Lamp Watts  (TRM Data)]])</f>
        <v>17</v>
      </c>
      <c r="M896">
        <f>Table_TRM_Fixtures[[#This Row],[No. of Lamps  (TRM Data)]]</f>
        <v>3</v>
      </c>
      <c r="N896">
        <v>24</v>
      </c>
      <c r="O896" t="s">
        <v>1381</v>
      </c>
      <c r="P896" t="s">
        <v>187</v>
      </c>
      <c r="Q896" t="s">
        <v>5614</v>
      </c>
      <c r="R896" t="str">
        <f>_xlfn.CONCAT(Table_TRM_Fixtures[[#This Row],[Technology]], ", ", Table_TRM_Fixtures[[#This Row],[Ballast Code]], " Ballast")</f>
        <v>T8, Electronic RLO Ballast</v>
      </c>
      <c r="S896" t="str">
        <f>Table_TRM_Fixtures[[#This Row],[Description  (TRM Data)]]</f>
        <v>Fluorescent, (3) 24", T-8 lamps, Instant Start Ballast, RLO (BF&lt; 0.85)</v>
      </c>
      <c r="T896" t="str">
        <f>Table_TRM_Fixtures[[#This Row],[Fixture code  (TRM Data)]]</f>
        <v>F23ILU-R</v>
      </c>
      <c r="U896" t="s">
        <v>2882</v>
      </c>
      <c r="V896" t="s">
        <v>186</v>
      </c>
      <c r="W896" t="s">
        <v>3120</v>
      </c>
      <c r="X896" t="s">
        <v>186</v>
      </c>
      <c r="Y896" t="s">
        <v>4815</v>
      </c>
      <c r="Z896" t="s">
        <v>4815</v>
      </c>
      <c r="AA896">
        <f>IF(Table_TRM_Fixtures[[#This Row],[Pre-EISA Baseline]]="Nominal", Table_TRM_Fixtures[[#This Row],[Fixture Watts  (TRM Data)]], Table_TRM_Fixtures[[#This Row],[Modified Baseline Fixture Watts]])</f>
        <v>40</v>
      </c>
    </row>
    <row r="897" spans="1:27" x14ac:dyDescent="0.2">
      <c r="A897" t="s">
        <v>1577</v>
      </c>
      <c r="B897" t="s">
        <v>5610</v>
      </c>
      <c r="C897" t="s">
        <v>1576</v>
      </c>
      <c r="D897" t="s">
        <v>5623</v>
      </c>
      <c r="E897" t="s">
        <v>187</v>
      </c>
      <c r="F897">
        <v>3</v>
      </c>
      <c r="G897">
        <v>17</v>
      </c>
      <c r="H897">
        <v>59</v>
      </c>
      <c r="I897">
        <v>15.5</v>
      </c>
      <c r="J897" s="110">
        <v>895</v>
      </c>
      <c r="K897" t="s">
        <v>1505</v>
      </c>
      <c r="L897">
        <f>IF(Table_TRM_Fixtures[[#This Row],[Technology]]="LED", Table_TRM_Fixtures[[#This Row],[Fixture Watts  (TRM Data)]], Table_TRM_Fixtures[[#This Row],[Lamp Watts  (TRM Data)]])</f>
        <v>17</v>
      </c>
      <c r="M897">
        <f>Table_TRM_Fixtures[[#This Row],[No. of Lamps  (TRM Data)]]</f>
        <v>3</v>
      </c>
      <c r="N897">
        <v>24</v>
      </c>
      <c r="O897" t="s">
        <v>1381</v>
      </c>
      <c r="P897" t="s">
        <v>187</v>
      </c>
      <c r="Q897" t="s">
        <v>5616</v>
      </c>
      <c r="R897" t="str">
        <f>_xlfn.CONCAT(Table_TRM_Fixtures[[#This Row],[Technology]], ", ", Table_TRM_Fixtures[[#This Row],[Ballast Code]], " Ballast")</f>
        <v>T8, Electronic VHLO Ballast</v>
      </c>
      <c r="S897" t="str">
        <f>Table_TRM_Fixtures[[#This Row],[Description  (TRM Data)]]</f>
        <v>Fluorescent, (3) 24", T-8 lamps, Instant Start Ballast, VHLO ( BF &gt; 1.1)</v>
      </c>
      <c r="T897" t="str">
        <f>Table_TRM_Fixtures[[#This Row],[Fixture code  (TRM Data)]]</f>
        <v>F23ILU-V</v>
      </c>
      <c r="U897" t="s">
        <v>2882</v>
      </c>
      <c r="V897" t="s">
        <v>186</v>
      </c>
      <c r="W897" t="s">
        <v>3120</v>
      </c>
      <c r="X897" t="s">
        <v>186</v>
      </c>
      <c r="Y897" t="str">
        <f>_xlfn.CONCAT(Table_TRM_Fixtures[[#This Row],[Combined Lighting/Ballast Types]],":",Table_TRM_Fixtures[[#This Row],[No. of Lamps]], ":", Table_TRM_Fixtures[[#This Row],[Lamp Watts  (TRM Data)]])</f>
        <v>T8, Electronic VHLO Ballast:3:17</v>
      </c>
      <c r="Z897" t="s">
        <v>4815</v>
      </c>
      <c r="AA897">
        <f>IF(Table_TRM_Fixtures[[#This Row],[Pre-EISA Baseline]]="Nominal", Table_TRM_Fixtures[[#This Row],[Fixture Watts  (TRM Data)]], Table_TRM_Fixtures[[#This Row],[Modified Baseline Fixture Watts]])</f>
        <v>59</v>
      </c>
    </row>
    <row r="898" spans="1:27" x14ac:dyDescent="0.2">
      <c r="A898" t="s">
        <v>1579</v>
      </c>
      <c r="B898" t="s">
        <v>5610</v>
      </c>
      <c r="C898" t="s">
        <v>1578</v>
      </c>
      <c r="D898" t="s">
        <v>5620</v>
      </c>
      <c r="E898" t="s">
        <v>187</v>
      </c>
      <c r="F898">
        <v>3</v>
      </c>
      <c r="G898">
        <v>17</v>
      </c>
      <c r="H898">
        <v>52</v>
      </c>
      <c r="I898">
        <v>15.5</v>
      </c>
      <c r="J898" s="110">
        <v>896</v>
      </c>
      <c r="K898" t="s">
        <v>1505</v>
      </c>
      <c r="L898">
        <f>IF(Table_TRM_Fixtures[[#This Row],[Technology]]="LED", Table_TRM_Fixtures[[#This Row],[Fixture Watts  (TRM Data)]], Table_TRM_Fixtures[[#This Row],[Lamp Watts  (TRM Data)]])</f>
        <v>17</v>
      </c>
      <c r="M898">
        <f>Table_TRM_Fixtures[[#This Row],[No. of Lamps  (TRM Data)]]</f>
        <v>3</v>
      </c>
      <c r="N898">
        <v>24</v>
      </c>
      <c r="O898" t="s">
        <v>1381</v>
      </c>
      <c r="P898" t="s">
        <v>187</v>
      </c>
      <c r="Q898" t="s">
        <v>5612</v>
      </c>
      <c r="R898" t="str">
        <f>_xlfn.CONCAT(Table_TRM_Fixtures[[#This Row],[Technology]], ", ", Table_TRM_Fixtures[[#This Row],[Ballast Code]], " Ballast")</f>
        <v>T8, Electronic STD Ballast</v>
      </c>
      <c r="S898" t="str">
        <f>Table_TRM_Fixtures[[#This Row],[Description  (TRM Data)]]</f>
        <v>Fluorescent, (3) 24", T-8 lamps, Rapid Start Ballast, NLO (0.85 &lt; BF &lt; 0.95)</v>
      </c>
      <c r="T898" t="str">
        <f>Table_TRM_Fixtures[[#This Row],[Fixture code  (TRM Data)]]</f>
        <v>F23LL</v>
      </c>
      <c r="U898" t="s">
        <v>2882</v>
      </c>
      <c r="V898" t="s">
        <v>186</v>
      </c>
      <c r="W898" t="s">
        <v>3120</v>
      </c>
      <c r="X898" t="s">
        <v>186</v>
      </c>
      <c r="Y898" t="s">
        <v>4815</v>
      </c>
      <c r="Z898" t="s">
        <v>4815</v>
      </c>
      <c r="AA898">
        <f>IF(Table_TRM_Fixtures[[#This Row],[Pre-EISA Baseline]]="Nominal", Table_TRM_Fixtures[[#This Row],[Fixture Watts  (TRM Data)]], Table_TRM_Fixtures[[#This Row],[Modified Baseline Fixture Watts]])</f>
        <v>52</v>
      </c>
    </row>
    <row r="899" spans="1:27" x14ac:dyDescent="0.2">
      <c r="A899" t="s">
        <v>1581</v>
      </c>
      <c r="B899" t="s">
        <v>5610</v>
      </c>
      <c r="C899" t="s">
        <v>1580</v>
      </c>
      <c r="D899" t="s">
        <v>5622</v>
      </c>
      <c r="E899" t="s">
        <v>187</v>
      </c>
      <c r="F899">
        <v>3</v>
      </c>
      <c r="G899">
        <v>17</v>
      </c>
      <c r="H899">
        <v>41</v>
      </c>
      <c r="I899">
        <v>15.5</v>
      </c>
      <c r="J899" s="110">
        <v>897</v>
      </c>
      <c r="K899" t="s">
        <v>1505</v>
      </c>
      <c r="L899">
        <f>IF(Table_TRM_Fixtures[[#This Row],[Technology]]="LED", Table_TRM_Fixtures[[#This Row],[Fixture Watts  (TRM Data)]], Table_TRM_Fixtures[[#This Row],[Lamp Watts  (TRM Data)]])</f>
        <v>17</v>
      </c>
      <c r="M899">
        <f>Table_TRM_Fixtures[[#This Row],[No. of Lamps  (TRM Data)]]</f>
        <v>3</v>
      </c>
      <c r="N899">
        <v>24</v>
      </c>
      <c r="O899" t="s">
        <v>1381</v>
      </c>
      <c r="P899" t="s">
        <v>187</v>
      </c>
      <c r="Q899" t="s">
        <v>5614</v>
      </c>
      <c r="R899" t="str">
        <f>_xlfn.CONCAT(Table_TRM_Fixtures[[#This Row],[Technology]], ", ", Table_TRM_Fixtures[[#This Row],[Ballast Code]], " Ballast")</f>
        <v>T8, Electronic RLO Ballast</v>
      </c>
      <c r="S899" t="str">
        <f>Table_TRM_Fixtures[[#This Row],[Description  (TRM Data)]]</f>
        <v>Fluorescent, (3) 24", T-8 lamps, Rapid Start Ballast, RLO (BF&lt; 0.85)</v>
      </c>
      <c r="T899" t="str">
        <f>Table_TRM_Fixtures[[#This Row],[Fixture code  (TRM Data)]]</f>
        <v>F23LL-R</v>
      </c>
      <c r="U899" t="s">
        <v>2882</v>
      </c>
      <c r="V899" t="s">
        <v>186</v>
      </c>
      <c r="W899" t="s">
        <v>3120</v>
      </c>
      <c r="X899" t="s">
        <v>186</v>
      </c>
      <c r="Y899" t="s">
        <v>4815</v>
      </c>
      <c r="Z899" t="s">
        <v>4815</v>
      </c>
      <c r="AA899">
        <f>IF(Table_TRM_Fixtures[[#This Row],[Pre-EISA Baseline]]="Nominal", Table_TRM_Fixtures[[#This Row],[Fixture Watts  (TRM Data)]], Table_TRM_Fixtures[[#This Row],[Modified Baseline Fixture Watts]])</f>
        <v>41</v>
      </c>
    </row>
    <row r="900" spans="1:27" x14ac:dyDescent="0.2">
      <c r="A900" t="s">
        <v>1583</v>
      </c>
      <c r="B900" t="s">
        <v>5610</v>
      </c>
      <c r="C900" t="s">
        <v>1582</v>
      </c>
      <c r="D900" t="s">
        <v>5624</v>
      </c>
      <c r="E900" t="s">
        <v>1386</v>
      </c>
      <c r="F900">
        <v>4</v>
      </c>
      <c r="G900">
        <v>17</v>
      </c>
      <c r="H900">
        <v>59</v>
      </c>
      <c r="I900">
        <v>15.5</v>
      </c>
      <c r="J900" s="110">
        <v>898</v>
      </c>
      <c r="K900" t="s">
        <v>1505</v>
      </c>
      <c r="L900">
        <f>IF(Table_TRM_Fixtures[[#This Row],[Technology]]="LED", Table_TRM_Fixtures[[#This Row],[Fixture Watts  (TRM Data)]], Table_TRM_Fixtures[[#This Row],[Lamp Watts  (TRM Data)]])</f>
        <v>17</v>
      </c>
      <c r="M900">
        <f>Table_TRM_Fixtures[[#This Row],[No. of Lamps  (TRM Data)]]</f>
        <v>4</v>
      </c>
      <c r="N900">
        <v>24</v>
      </c>
      <c r="O900" t="s">
        <v>1381</v>
      </c>
      <c r="P900" t="s">
        <v>187</v>
      </c>
      <c r="Q900" t="s">
        <v>5612</v>
      </c>
      <c r="R900" t="str">
        <f>_xlfn.CONCAT(Table_TRM_Fixtures[[#This Row],[Technology]], ", ", Table_TRM_Fixtures[[#This Row],[Ballast Code]], " Ballast")</f>
        <v>T8, Electronic STD Ballast</v>
      </c>
      <c r="S900" t="str">
        <f>Table_TRM_Fixtures[[#This Row],[Description  (TRM Data)]]</f>
        <v>Fluorescent (4) 24" T-8 lamp, Prog. Start or PRS Ballast, NLO (0.85 &lt; BF &lt; 0.95)</v>
      </c>
      <c r="T900" t="str">
        <f>Table_TRM_Fixtures[[#This Row],[Fixture code  (TRM Data)]]</f>
        <v>F24GLL</v>
      </c>
      <c r="U900" t="s">
        <v>2882</v>
      </c>
      <c r="V900" t="s">
        <v>186</v>
      </c>
      <c r="W900" t="s">
        <v>3120</v>
      </c>
      <c r="X900" t="s">
        <v>186</v>
      </c>
      <c r="Y900" t="s">
        <v>4815</v>
      </c>
      <c r="Z900" t="s">
        <v>4815</v>
      </c>
      <c r="AA900">
        <f>IF(Table_TRM_Fixtures[[#This Row],[Pre-EISA Baseline]]="Nominal", Table_TRM_Fixtures[[#This Row],[Fixture Watts  (TRM Data)]], Table_TRM_Fixtures[[#This Row],[Modified Baseline Fixture Watts]])</f>
        <v>59</v>
      </c>
    </row>
    <row r="901" spans="1:27" x14ac:dyDescent="0.2">
      <c r="A901" t="s">
        <v>1585</v>
      </c>
      <c r="B901" t="s">
        <v>5610</v>
      </c>
      <c r="C901" t="s">
        <v>1584</v>
      </c>
      <c r="D901" t="s">
        <v>5624</v>
      </c>
      <c r="E901" t="s">
        <v>187</v>
      </c>
      <c r="F901">
        <v>4</v>
      </c>
      <c r="G901">
        <v>17</v>
      </c>
      <c r="H901">
        <v>59</v>
      </c>
      <c r="I901">
        <v>15.5</v>
      </c>
      <c r="J901" s="110">
        <v>899</v>
      </c>
      <c r="K901" t="s">
        <v>1505</v>
      </c>
      <c r="L901">
        <f>IF(Table_TRM_Fixtures[[#This Row],[Technology]]="LED", Table_TRM_Fixtures[[#This Row],[Fixture Watts  (TRM Data)]], Table_TRM_Fixtures[[#This Row],[Lamp Watts  (TRM Data)]])</f>
        <v>17</v>
      </c>
      <c r="M901">
        <f>Table_TRM_Fixtures[[#This Row],[No. of Lamps  (TRM Data)]]</f>
        <v>4</v>
      </c>
      <c r="N901">
        <v>24</v>
      </c>
      <c r="O901" t="s">
        <v>1381</v>
      </c>
      <c r="P901" t="s">
        <v>187</v>
      </c>
      <c r="Q901" t="s">
        <v>5612</v>
      </c>
      <c r="R901" t="str">
        <f>_xlfn.CONCAT(Table_TRM_Fixtures[[#This Row],[Technology]], ", ", Table_TRM_Fixtures[[#This Row],[Ballast Code]], " Ballast")</f>
        <v>T8, Electronic STD Ballast</v>
      </c>
      <c r="S901" t="str">
        <f>Table_TRM_Fixtures[[#This Row],[Description  (TRM Data)]]</f>
        <v>Fluorescent, (4) 24", T-8 lamps, Instant Start Ballast, NLO (0.85 &lt; BF &lt; 0.95)</v>
      </c>
      <c r="T901" t="str">
        <f>Table_TRM_Fixtures[[#This Row],[Fixture code  (TRM Data)]]</f>
        <v>F24ILL</v>
      </c>
      <c r="U901" t="s">
        <v>2882</v>
      </c>
      <c r="V901" t="s">
        <v>186</v>
      </c>
      <c r="W901" t="s">
        <v>3120</v>
      </c>
      <c r="X901" t="s">
        <v>186</v>
      </c>
      <c r="Y901" t="str">
        <f>_xlfn.CONCAT(Table_TRM_Fixtures[[#This Row],[Combined Lighting/Ballast Types]],":",Table_TRM_Fixtures[[#This Row],[No. of Lamps]], ":", Table_TRM_Fixtures[[#This Row],[Lamp Watts  (TRM Data)]])</f>
        <v>T8, Electronic STD Ballast:4:17</v>
      </c>
      <c r="Z901"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T8:4:17</v>
      </c>
      <c r="AA901">
        <f>IF(Table_TRM_Fixtures[[#This Row],[Pre-EISA Baseline]]="Nominal", Table_TRM_Fixtures[[#This Row],[Fixture Watts  (TRM Data)]], Table_TRM_Fixtures[[#This Row],[Modified Baseline Fixture Watts]])</f>
        <v>59</v>
      </c>
    </row>
    <row r="902" spans="1:27" x14ac:dyDescent="0.2">
      <c r="A902" t="s">
        <v>1587</v>
      </c>
      <c r="B902" t="s">
        <v>5610</v>
      </c>
      <c r="C902" t="s">
        <v>1586</v>
      </c>
      <c r="D902" t="s">
        <v>5625</v>
      </c>
      <c r="E902" t="s">
        <v>187</v>
      </c>
      <c r="F902">
        <v>4</v>
      </c>
      <c r="G902">
        <v>17</v>
      </c>
      <c r="H902">
        <v>53</v>
      </c>
      <c r="I902">
        <v>15.5</v>
      </c>
      <c r="J902" s="110">
        <v>900</v>
      </c>
      <c r="K902" t="s">
        <v>1505</v>
      </c>
      <c r="L902">
        <f>IF(Table_TRM_Fixtures[[#This Row],[Technology]]="LED", Table_TRM_Fixtures[[#This Row],[Fixture Watts  (TRM Data)]], Table_TRM_Fixtures[[#This Row],[Lamp Watts  (TRM Data)]])</f>
        <v>17</v>
      </c>
      <c r="M902">
        <f>Table_TRM_Fixtures[[#This Row],[No. of Lamps  (TRM Data)]]</f>
        <v>4</v>
      </c>
      <c r="N902">
        <v>24</v>
      </c>
      <c r="O902" t="s">
        <v>1381</v>
      </c>
      <c r="P902" t="s">
        <v>187</v>
      </c>
      <c r="Q902" t="s">
        <v>5614</v>
      </c>
      <c r="R902" t="str">
        <f>_xlfn.CONCAT(Table_TRM_Fixtures[[#This Row],[Technology]], ", ", Table_TRM_Fixtures[[#This Row],[Ballast Code]], " Ballast")</f>
        <v>T8, Electronic RLO Ballast</v>
      </c>
      <c r="S902" t="str">
        <f>Table_TRM_Fixtures[[#This Row],[Description  (TRM Data)]]</f>
        <v>Fluorescent, (4) 24", T-8 lamps, Instant Start Ballast, RLO (BF&lt; 0.85)</v>
      </c>
      <c r="T902" t="str">
        <f>Table_TRM_Fixtures[[#This Row],[Fixture code  (TRM Data)]]</f>
        <v>F24ILL-R</v>
      </c>
      <c r="U902" t="s">
        <v>2882</v>
      </c>
      <c r="V902" t="s">
        <v>186</v>
      </c>
      <c r="W902" t="s">
        <v>3120</v>
      </c>
      <c r="X902" t="s">
        <v>186</v>
      </c>
      <c r="Y902" t="str">
        <f>_xlfn.CONCAT(Table_TRM_Fixtures[[#This Row],[Combined Lighting/Ballast Types]],":",Table_TRM_Fixtures[[#This Row],[No. of Lamps]], ":", Table_TRM_Fixtures[[#This Row],[Lamp Watts  (TRM Data)]])</f>
        <v>T8, Electronic RLO Ballast:4:17</v>
      </c>
      <c r="Z902" t="s">
        <v>4815</v>
      </c>
      <c r="AA902">
        <f>IF(Table_TRM_Fixtures[[#This Row],[Pre-EISA Baseline]]="Nominal", Table_TRM_Fixtures[[#This Row],[Fixture Watts  (TRM Data)]], Table_TRM_Fixtures[[#This Row],[Modified Baseline Fixture Watts]])</f>
        <v>53</v>
      </c>
    </row>
    <row r="903" spans="1:27" x14ac:dyDescent="0.2">
      <c r="A903" t="s">
        <v>1588</v>
      </c>
      <c r="B903" t="s">
        <v>5610</v>
      </c>
      <c r="C903" t="s">
        <v>1584</v>
      </c>
      <c r="D903" t="s">
        <v>5624</v>
      </c>
      <c r="E903" t="s">
        <v>187</v>
      </c>
      <c r="F903">
        <v>4</v>
      </c>
      <c r="G903">
        <v>17</v>
      </c>
      <c r="H903">
        <v>57</v>
      </c>
      <c r="I903">
        <v>15.5</v>
      </c>
      <c r="J903" s="110">
        <v>901</v>
      </c>
      <c r="K903" t="s">
        <v>1505</v>
      </c>
      <c r="L903">
        <f>IF(Table_TRM_Fixtures[[#This Row],[Technology]]="LED", Table_TRM_Fixtures[[#This Row],[Fixture Watts  (TRM Data)]], Table_TRM_Fixtures[[#This Row],[Lamp Watts  (TRM Data)]])</f>
        <v>17</v>
      </c>
      <c r="M903">
        <f>Table_TRM_Fixtures[[#This Row],[No. of Lamps  (TRM Data)]]</f>
        <v>4</v>
      </c>
      <c r="N903">
        <v>24</v>
      </c>
      <c r="O903" t="s">
        <v>1381</v>
      </c>
      <c r="P903" t="s">
        <v>187</v>
      </c>
      <c r="Q903" t="s">
        <v>5612</v>
      </c>
      <c r="R903" t="str">
        <f>_xlfn.CONCAT(Table_TRM_Fixtures[[#This Row],[Technology]], ", ", Table_TRM_Fixtures[[#This Row],[Ballast Code]], " Ballast")</f>
        <v>T8, Electronic STD Ballast</v>
      </c>
      <c r="S903" t="str">
        <f>Table_TRM_Fixtures[[#This Row],[Description  (TRM Data)]]</f>
        <v>Fluorescent, (4) 24", T-8 lamps, Instant Start Ballast, NLO (0.85 &lt; BF &lt; 0.95)</v>
      </c>
      <c r="T903" t="str">
        <f>Table_TRM_Fixtures[[#This Row],[Fixture code  (TRM Data)]]</f>
        <v>F24ILU</v>
      </c>
      <c r="U903" t="s">
        <v>2882</v>
      </c>
      <c r="V903" t="s">
        <v>186</v>
      </c>
      <c r="W903" t="s">
        <v>3120</v>
      </c>
      <c r="X903" t="s">
        <v>186</v>
      </c>
      <c r="Y903" t="s">
        <v>4815</v>
      </c>
      <c r="Z903" t="s">
        <v>4815</v>
      </c>
      <c r="AA903">
        <f>IF(Table_TRM_Fixtures[[#This Row],[Pre-EISA Baseline]]="Nominal", Table_TRM_Fixtures[[#This Row],[Fixture Watts  (TRM Data)]], Table_TRM_Fixtures[[#This Row],[Modified Baseline Fixture Watts]])</f>
        <v>57</v>
      </c>
    </row>
    <row r="904" spans="1:27" x14ac:dyDescent="0.2">
      <c r="A904" t="s">
        <v>1589</v>
      </c>
      <c r="B904" t="s">
        <v>5610</v>
      </c>
      <c r="C904" t="s">
        <v>1586</v>
      </c>
      <c r="D904" t="s">
        <v>5625</v>
      </c>
      <c r="E904" t="s">
        <v>187</v>
      </c>
      <c r="F904">
        <v>4</v>
      </c>
      <c r="G904">
        <v>17</v>
      </c>
      <c r="H904">
        <v>52</v>
      </c>
      <c r="I904">
        <v>15.5</v>
      </c>
      <c r="J904" s="110">
        <v>902</v>
      </c>
      <c r="K904" t="s">
        <v>1505</v>
      </c>
      <c r="L904">
        <f>IF(Table_TRM_Fixtures[[#This Row],[Technology]]="LED", Table_TRM_Fixtures[[#This Row],[Fixture Watts  (TRM Data)]], Table_TRM_Fixtures[[#This Row],[Lamp Watts  (TRM Data)]])</f>
        <v>17</v>
      </c>
      <c r="M904">
        <f>Table_TRM_Fixtures[[#This Row],[No. of Lamps  (TRM Data)]]</f>
        <v>4</v>
      </c>
      <c r="N904">
        <v>24</v>
      </c>
      <c r="O904" t="s">
        <v>1381</v>
      </c>
      <c r="P904" t="s">
        <v>187</v>
      </c>
      <c r="Q904" t="s">
        <v>5614</v>
      </c>
      <c r="R904" t="str">
        <f>_xlfn.CONCAT(Table_TRM_Fixtures[[#This Row],[Technology]], ", ", Table_TRM_Fixtures[[#This Row],[Ballast Code]], " Ballast")</f>
        <v>T8, Electronic RLO Ballast</v>
      </c>
      <c r="S904" t="str">
        <f>Table_TRM_Fixtures[[#This Row],[Description  (TRM Data)]]</f>
        <v>Fluorescent, (4) 24", T-8 lamps, Instant Start Ballast, RLO (BF&lt; 0.85)</v>
      </c>
      <c r="T904" t="str">
        <f>Table_TRM_Fixtures[[#This Row],[Fixture code  (TRM Data)]]</f>
        <v>F24ILU-R</v>
      </c>
      <c r="U904" t="s">
        <v>2882</v>
      </c>
      <c r="V904" t="s">
        <v>186</v>
      </c>
      <c r="W904" t="s">
        <v>3120</v>
      </c>
      <c r="X904" t="s">
        <v>186</v>
      </c>
      <c r="Y904" t="s">
        <v>4815</v>
      </c>
      <c r="Z904" t="s">
        <v>4815</v>
      </c>
      <c r="AA904">
        <f>IF(Table_TRM_Fixtures[[#This Row],[Pre-EISA Baseline]]="Nominal", Table_TRM_Fixtures[[#This Row],[Fixture Watts  (TRM Data)]], Table_TRM_Fixtures[[#This Row],[Modified Baseline Fixture Watts]])</f>
        <v>52</v>
      </c>
    </row>
    <row r="905" spans="1:27" x14ac:dyDescent="0.2">
      <c r="A905" t="s">
        <v>1591</v>
      </c>
      <c r="B905" t="s">
        <v>5610</v>
      </c>
      <c r="C905" t="s">
        <v>1590</v>
      </c>
      <c r="D905" t="s">
        <v>5624</v>
      </c>
      <c r="E905" t="s">
        <v>187</v>
      </c>
      <c r="F905">
        <v>4</v>
      </c>
      <c r="G905">
        <v>17</v>
      </c>
      <c r="H905">
        <v>68</v>
      </c>
      <c r="I905">
        <v>15.5</v>
      </c>
      <c r="J905" s="110">
        <v>903</v>
      </c>
      <c r="K905" t="s">
        <v>1505</v>
      </c>
      <c r="L905">
        <f>IF(Table_TRM_Fixtures[[#This Row],[Technology]]="LED", Table_TRM_Fixtures[[#This Row],[Fixture Watts  (TRM Data)]], Table_TRM_Fixtures[[#This Row],[Lamp Watts  (TRM Data)]])</f>
        <v>17</v>
      </c>
      <c r="M905">
        <f>Table_TRM_Fixtures[[#This Row],[No. of Lamps  (TRM Data)]]</f>
        <v>4</v>
      </c>
      <c r="N905">
        <v>24</v>
      </c>
      <c r="O905" t="s">
        <v>1381</v>
      </c>
      <c r="P905" t="s">
        <v>187</v>
      </c>
      <c r="Q905" t="s">
        <v>5612</v>
      </c>
      <c r="R905" t="str">
        <f>_xlfn.CONCAT(Table_TRM_Fixtures[[#This Row],[Technology]], ", ", Table_TRM_Fixtures[[#This Row],[Ballast Code]], " Ballast")</f>
        <v>T8, Electronic STD Ballast</v>
      </c>
      <c r="S905" t="str">
        <f>Table_TRM_Fixtures[[#This Row],[Description  (TRM Data)]]</f>
        <v>Fluorescent, (4) 24", T-8 lamps, Rapid Start Ballast, NLO (0.85 &lt; BF &lt; 0.95)</v>
      </c>
      <c r="T905" t="str">
        <f>Table_TRM_Fixtures[[#This Row],[Fixture code  (TRM Data)]]</f>
        <v>F24LL</v>
      </c>
      <c r="U905" t="s">
        <v>2882</v>
      </c>
      <c r="V905" t="s">
        <v>186</v>
      </c>
      <c r="W905" t="s">
        <v>3120</v>
      </c>
      <c r="X905" t="s">
        <v>186</v>
      </c>
      <c r="Y905" t="s">
        <v>4815</v>
      </c>
      <c r="Z905" t="s">
        <v>4815</v>
      </c>
      <c r="AA905">
        <f>IF(Table_TRM_Fixtures[[#This Row],[Pre-EISA Baseline]]="Nominal", Table_TRM_Fixtures[[#This Row],[Fixture Watts  (TRM Data)]], Table_TRM_Fixtures[[#This Row],[Modified Baseline Fixture Watts]])</f>
        <v>68</v>
      </c>
    </row>
    <row r="906" spans="1:27" x14ac:dyDescent="0.2">
      <c r="A906" t="s">
        <v>1593</v>
      </c>
      <c r="B906" t="s">
        <v>5610</v>
      </c>
      <c r="C906" t="s">
        <v>1592</v>
      </c>
      <c r="D906" t="s">
        <v>5625</v>
      </c>
      <c r="E906" t="s">
        <v>187</v>
      </c>
      <c r="F906">
        <v>4</v>
      </c>
      <c r="G906">
        <v>17</v>
      </c>
      <c r="H906">
        <v>57</v>
      </c>
      <c r="I906">
        <v>15.5</v>
      </c>
      <c r="J906" s="110">
        <v>904</v>
      </c>
      <c r="K906" t="s">
        <v>1505</v>
      </c>
      <c r="L906">
        <f>IF(Table_TRM_Fixtures[[#This Row],[Technology]]="LED", Table_TRM_Fixtures[[#This Row],[Fixture Watts  (TRM Data)]], Table_TRM_Fixtures[[#This Row],[Lamp Watts  (TRM Data)]])</f>
        <v>17</v>
      </c>
      <c r="M906">
        <f>Table_TRM_Fixtures[[#This Row],[No. of Lamps  (TRM Data)]]</f>
        <v>4</v>
      </c>
      <c r="N906">
        <v>24</v>
      </c>
      <c r="O906" t="s">
        <v>1381</v>
      </c>
      <c r="P906" t="s">
        <v>187</v>
      </c>
      <c r="Q906" t="s">
        <v>5614</v>
      </c>
      <c r="R906" t="str">
        <f>_xlfn.CONCAT(Table_TRM_Fixtures[[#This Row],[Technology]], ", ", Table_TRM_Fixtures[[#This Row],[Ballast Code]], " Ballast")</f>
        <v>T8, Electronic RLO Ballast</v>
      </c>
      <c r="S906" t="str">
        <f>Table_TRM_Fixtures[[#This Row],[Description  (TRM Data)]]</f>
        <v>Fluorescent, (4) 24", T-8 lamps, Rapid Start Ballast, RLO (BF&lt; 0.85)</v>
      </c>
      <c r="T906" t="str">
        <f>Table_TRM_Fixtures[[#This Row],[Fixture code  (TRM Data)]]</f>
        <v>F24LL-R</v>
      </c>
      <c r="U906" t="s">
        <v>2882</v>
      </c>
      <c r="V906" t="s">
        <v>186</v>
      </c>
      <c r="W906" t="s">
        <v>3120</v>
      </c>
      <c r="X906" t="s">
        <v>186</v>
      </c>
      <c r="Y906" t="s">
        <v>4815</v>
      </c>
      <c r="Z906" t="s">
        <v>4815</v>
      </c>
      <c r="AA906">
        <f>IF(Table_TRM_Fixtures[[#This Row],[Pre-EISA Baseline]]="Nominal", Table_TRM_Fixtures[[#This Row],[Fixture Watts  (TRM Data)]], Table_TRM_Fixtures[[#This Row],[Modified Baseline Fixture Watts]])</f>
        <v>57</v>
      </c>
    </row>
    <row r="907" spans="1:27" x14ac:dyDescent="0.2">
      <c r="A907" t="s">
        <v>1595</v>
      </c>
      <c r="B907" t="s">
        <v>5626</v>
      </c>
      <c r="C907" t="s">
        <v>1594</v>
      </c>
      <c r="D907" t="s">
        <v>5627</v>
      </c>
      <c r="E907" t="s">
        <v>187</v>
      </c>
      <c r="F907">
        <v>1</v>
      </c>
      <c r="G907">
        <v>25</v>
      </c>
      <c r="H907">
        <v>26</v>
      </c>
      <c r="I907">
        <v>15.5</v>
      </c>
      <c r="J907" s="110">
        <v>905</v>
      </c>
      <c r="K907" t="s">
        <v>1505</v>
      </c>
      <c r="L907">
        <f>IF(Table_TRM_Fixtures[[#This Row],[Technology]]="LED", Table_TRM_Fixtures[[#This Row],[Fixture Watts  (TRM Data)]], Table_TRM_Fixtures[[#This Row],[Lamp Watts  (TRM Data)]])</f>
        <v>25</v>
      </c>
      <c r="M907">
        <f>Table_TRM_Fixtures[[#This Row],[No. of Lamps  (TRM Data)]]</f>
        <v>1</v>
      </c>
      <c r="N907">
        <v>36</v>
      </c>
      <c r="O907" t="s">
        <v>1381</v>
      </c>
      <c r="P907" t="s">
        <v>187</v>
      </c>
      <c r="Q907" t="s">
        <v>5612</v>
      </c>
      <c r="R907" t="str">
        <f>_xlfn.CONCAT(Table_TRM_Fixtures[[#This Row],[Technology]], " ", Table_TRM_Fixtures[[#This Row],[Ballast Code]], " Ballast")</f>
        <v>T8 Electronic STD Ballast</v>
      </c>
      <c r="S907" t="str">
        <f>Table_TRM_Fixtures[[#This Row],[Description  (TRM Data)]]</f>
        <v>Fluorescent, (1) 36", T-8 lamp, Instant Start Ballast, NLO (0.85 &lt; BF &lt; 0.95)</v>
      </c>
      <c r="T907" t="str">
        <f>Table_TRM_Fixtures[[#This Row],[Fixture code  (TRM Data)]]</f>
        <v>F31ILL</v>
      </c>
      <c r="U907" t="s">
        <v>2883</v>
      </c>
      <c r="V907" t="s">
        <v>5562</v>
      </c>
      <c r="W907" t="s">
        <v>3120</v>
      </c>
      <c r="X907" t="s">
        <v>186</v>
      </c>
      <c r="AA907">
        <f>IF(Table_TRM_Fixtures[[#This Row],[Pre-EISA Baseline]]="Nominal", Table_TRM_Fixtures[[#This Row],[Fixture Watts  (TRM Data)]], Table_TRM_Fixtures[[#This Row],[Modified Baseline Fixture Watts]])</f>
        <v>26</v>
      </c>
    </row>
    <row r="908" spans="1:27" x14ac:dyDescent="0.2">
      <c r="A908" t="s">
        <v>1597</v>
      </c>
      <c r="B908" t="s">
        <v>5626</v>
      </c>
      <c r="C908" t="s">
        <v>1596</v>
      </c>
      <c r="D908" t="s">
        <v>5628</v>
      </c>
      <c r="E908" t="s">
        <v>187</v>
      </c>
      <c r="F908">
        <v>1</v>
      </c>
      <c r="G908">
        <v>25</v>
      </c>
      <c r="H908">
        <v>28</v>
      </c>
      <c r="I908">
        <v>15.5</v>
      </c>
      <c r="J908" s="110">
        <v>906</v>
      </c>
      <c r="K908" t="s">
        <v>1505</v>
      </c>
      <c r="L908">
        <f>IF(Table_TRM_Fixtures[[#This Row],[Technology]]="LED", Table_TRM_Fixtures[[#This Row],[Fixture Watts  (TRM Data)]], Table_TRM_Fixtures[[#This Row],[Lamp Watts  (TRM Data)]])</f>
        <v>25</v>
      </c>
      <c r="M908">
        <f>Table_TRM_Fixtures[[#This Row],[No. of Lamps  (TRM Data)]]</f>
        <v>1</v>
      </c>
      <c r="N908">
        <v>36</v>
      </c>
      <c r="O908" t="s">
        <v>1381</v>
      </c>
      <c r="P908" t="s">
        <v>187</v>
      </c>
      <c r="Q908" t="s">
        <v>5566</v>
      </c>
      <c r="R908" t="str">
        <f>_xlfn.CONCAT(Table_TRM_Fixtures[[#This Row],[Technology]], " ", Table_TRM_Fixtures[[#This Row],[Ballast Code]], " Ballast")</f>
        <v>T8 Electronic HLO Ballast</v>
      </c>
      <c r="S908" t="str">
        <f>Table_TRM_Fixtures[[#This Row],[Description  (TRM Data)]]</f>
        <v>Fluorescent, (1) 36", T-8 lamp, Instant Start Ballast, HLO (0.95 &lt; BF &lt; 1.1)</v>
      </c>
      <c r="T908" t="str">
        <f>Table_TRM_Fixtures[[#This Row],[Fixture code  (TRM Data)]]</f>
        <v>F31ILL-H</v>
      </c>
      <c r="U908" t="s">
        <v>2883</v>
      </c>
      <c r="V908" t="s">
        <v>5562</v>
      </c>
      <c r="W908" t="s">
        <v>3120</v>
      </c>
      <c r="X908" t="s">
        <v>186</v>
      </c>
      <c r="AA908">
        <f>IF(Table_TRM_Fixtures[[#This Row],[Pre-EISA Baseline]]="Nominal", Table_TRM_Fixtures[[#This Row],[Fixture Watts  (TRM Data)]], Table_TRM_Fixtures[[#This Row],[Modified Baseline Fixture Watts]])</f>
        <v>28</v>
      </c>
    </row>
    <row r="909" spans="1:27" x14ac:dyDescent="0.2">
      <c r="A909" t="s">
        <v>1599</v>
      </c>
      <c r="B909" t="s">
        <v>5626</v>
      </c>
      <c r="C909" t="s">
        <v>1598</v>
      </c>
      <c r="D909" t="s">
        <v>5629</v>
      </c>
      <c r="E909" t="s">
        <v>187</v>
      </c>
      <c r="F909">
        <v>1</v>
      </c>
      <c r="G909">
        <v>25</v>
      </c>
      <c r="H909">
        <v>22</v>
      </c>
      <c r="I909">
        <v>15.5</v>
      </c>
      <c r="J909" s="110">
        <v>907</v>
      </c>
      <c r="K909" t="s">
        <v>1505</v>
      </c>
      <c r="L909">
        <f>IF(Table_TRM_Fixtures[[#This Row],[Technology]]="LED", Table_TRM_Fixtures[[#This Row],[Fixture Watts  (TRM Data)]], Table_TRM_Fixtures[[#This Row],[Lamp Watts  (TRM Data)]])</f>
        <v>25</v>
      </c>
      <c r="M909">
        <f>Table_TRM_Fixtures[[#This Row],[No. of Lamps  (TRM Data)]]</f>
        <v>1</v>
      </c>
      <c r="N909">
        <v>36</v>
      </c>
      <c r="O909" t="s">
        <v>1381</v>
      </c>
      <c r="P909" t="s">
        <v>187</v>
      </c>
      <c r="Q909" t="s">
        <v>5614</v>
      </c>
      <c r="R909" t="str">
        <f>_xlfn.CONCAT(Table_TRM_Fixtures[[#This Row],[Technology]], " ", Table_TRM_Fixtures[[#This Row],[Ballast Code]], " Ballast")</f>
        <v>T8 Electronic RLO Ballast</v>
      </c>
      <c r="S909" t="str">
        <f>Table_TRM_Fixtures[[#This Row],[Description  (TRM Data)]]</f>
        <v>Fluorescent, (1) 36", T-8 lamp, Instant Start Ballast, RLO (BF&lt; 0.85)</v>
      </c>
      <c r="T909" t="str">
        <f>Table_TRM_Fixtures[[#This Row],[Fixture code  (TRM Data)]]</f>
        <v>F31ILL-R</v>
      </c>
      <c r="U909" t="s">
        <v>2883</v>
      </c>
      <c r="V909" t="s">
        <v>5562</v>
      </c>
      <c r="W909" t="s">
        <v>3120</v>
      </c>
      <c r="X909" t="s">
        <v>186</v>
      </c>
      <c r="AA909">
        <f>IF(Table_TRM_Fixtures[[#This Row],[Pre-EISA Baseline]]="Nominal", Table_TRM_Fixtures[[#This Row],[Fixture Watts  (TRM Data)]], Table_TRM_Fixtures[[#This Row],[Modified Baseline Fixture Watts]])</f>
        <v>22</v>
      </c>
    </row>
    <row r="910" spans="1:27" x14ac:dyDescent="0.2">
      <c r="A910" t="s">
        <v>1601</v>
      </c>
      <c r="B910" t="s">
        <v>5626</v>
      </c>
      <c r="C910" t="s">
        <v>1600</v>
      </c>
      <c r="D910" t="s">
        <v>5627</v>
      </c>
      <c r="E910" t="s">
        <v>187</v>
      </c>
      <c r="F910">
        <v>1</v>
      </c>
      <c r="G910">
        <v>25</v>
      </c>
      <c r="H910">
        <v>23</v>
      </c>
      <c r="I910">
        <v>15.5</v>
      </c>
      <c r="J910" s="110">
        <v>908</v>
      </c>
      <c r="K910" t="s">
        <v>1505</v>
      </c>
      <c r="L910">
        <f>IF(Table_TRM_Fixtures[[#This Row],[Technology]]="LED", Table_TRM_Fixtures[[#This Row],[Fixture Watts  (TRM Data)]], Table_TRM_Fixtures[[#This Row],[Lamp Watts  (TRM Data)]])</f>
        <v>25</v>
      </c>
      <c r="M910">
        <f>Table_TRM_Fixtures[[#This Row],[No. of Lamps  (TRM Data)]]</f>
        <v>1</v>
      </c>
      <c r="N910">
        <v>36</v>
      </c>
      <c r="O910" t="s">
        <v>1381</v>
      </c>
      <c r="P910" t="s">
        <v>187</v>
      </c>
      <c r="Q910" t="s">
        <v>5612</v>
      </c>
      <c r="R910" t="str">
        <f>_xlfn.CONCAT(Table_TRM_Fixtures[[#This Row],[Technology]], " ", Table_TRM_Fixtures[[#This Row],[Ballast Code]], " Ballast")</f>
        <v>T8 Electronic STD Ballast</v>
      </c>
      <c r="S910" t="str">
        <f>Table_TRM_Fixtures[[#This Row],[Description  (TRM Data)]]</f>
        <v>Fluorescent, (1) 36", T-8 lamp, Tandem 2-lamp IS Ballast, NLO (0.85 &lt; BF &lt; 0.95)</v>
      </c>
      <c r="T910" t="str">
        <f>Table_TRM_Fixtures[[#This Row],[Fixture code  (TRM Data)]]</f>
        <v>F31ILL/T2</v>
      </c>
      <c r="U910" t="s">
        <v>2883</v>
      </c>
      <c r="V910" t="s">
        <v>5562</v>
      </c>
      <c r="W910" t="s">
        <v>3120</v>
      </c>
      <c r="X910" t="s">
        <v>186</v>
      </c>
      <c r="AA910">
        <f>IF(Table_TRM_Fixtures[[#This Row],[Pre-EISA Baseline]]="Nominal", Table_TRM_Fixtures[[#This Row],[Fixture Watts  (TRM Data)]], Table_TRM_Fixtures[[#This Row],[Modified Baseline Fixture Watts]])</f>
        <v>23</v>
      </c>
    </row>
    <row r="911" spans="1:27" x14ac:dyDescent="0.2">
      <c r="A911" t="s">
        <v>1603</v>
      </c>
      <c r="B911" t="s">
        <v>5626</v>
      </c>
      <c r="C911" t="s">
        <v>1602</v>
      </c>
      <c r="D911" t="s">
        <v>5627</v>
      </c>
      <c r="E911" t="s">
        <v>187</v>
      </c>
      <c r="F911">
        <v>1</v>
      </c>
      <c r="G911">
        <v>25</v>
      </c>
      <c r="H911">
        <v>26</v>
      </c>
      <c r="I911">
        <v>15.5</v>
      </c>
      <c r="J911" s="110">
        <v>909</v>
      </c>
      <c r="K911" t="s">
        <v>1505</v>
      </c>
      <c r="L911">
        <f>IF(Table_TRM_Fixtures[[#This Row],[Technology]]="LED", Table_TRM_Fixtures[[#This Row],[Fixture Watts  (TRM Data)]], Table_TRM_Fixtures[[#This Row],[Lamp Watts  (TRM Data)]])</f>
        <v>25</v>
      </c>
      <c r="M911">
        <f>Table_TRM_Fixtures[[#This Row],[No. of Lamps  (TRM Data)]]</f>
        <v>1</v>
      </c>
      <c r="N911">
        <v>36</v>
      </c>
      <c r="O911" t="s">
        <v>1381</v>
      </c>
      <c r="P911" t="s">
        <v>187</v>
      </c>
      <c r="Q911" t="s">
        <v>5566</v>
      </c>
      <c r="R911" t="str">
        <f>_xlfn.CONCAT(Table_TRM_Fixtures[[#This Row],[Technology]], " ", Table_TRM_Fixtures[[#This Row],[Ballast Code]], " Ballast")</f>
        <v>T8 Electronic HLO Ballast</v>
      </c>
      <c r="S911" t="str">
        <f>Table_TRM_Fixtures[[#This Row],[Description  (TRM Data)]]</f>
        <v>Fluorescent, (1) 36", T-8 lamp, Tandem 3-lamp IS Ballast, 1 lead capped, HLO (0.95 &lt; BF &lt; 1.1)</v>
      </c>
      <c r="T911" t="str">
        <f>Table_TRM_Fixtures[[#This Row],[Fixture code  (TRM Data)]]</f>
        <v>F31ILL/T2-H</v>
      </c>
      <c r="U911" t="s">
        <v>2883</v>
      </c>
      <c r="V911" t="s">
        <v>5562</v>
      </c>
      <c r="W911" t="s">
        <v>3120</v>
      </c>
      <c r="X911" t="s">
        <v>186</v>
      </c>
      <c r="AA911">
        <f>IF(Table_TRM_Fixtures[[#This Row],[Pre-EISA Baseline]]="Nominal", Table_TRM_Fixtures[[#This Row],[Fixture Watts  (TRM Data)]], Table_TRM_Fixtures[[#This Row],[Modified Baseline Fixture Watts]])</f>
        <v>26</v>
      </c>
    </row>
    <row r="912" spans="1:27" x14ac:dyDescent="0.2">
      <c r="A912" t="s">
        <v>1605</v>
      </c>
      <c r="B912" t="s">
        <v>5626</v>
      </c>
      <c r="C912" t="s">
        <v>1604</v>
      </c>
      <c r="D912" t="s">
        <v>5629</v>
      </c>
      <c r="E912" t="s">
        <v>187</v>
      </c>
      <c r="F912">
        <v>1</v>
      </c>
      <c r="G912">
        <v>25</v>
      </c>
      <c r="H912">
        <v>21</v>
      </c>
      <c r="I912">
        <v>15.5</v>
      </c>
      <c r="J912" s="110">
        <v>910</v>
      </c>
      <c r="K912" t="s">
        <v>1505</v>
      </c>
      <c r="L912">
        <f>IF(Table_TRM_Fixtures[[#This Row],[Technology]]="LED", Table_TRM_Fixtures[[#This Row],[Fixture Watts  (TRM Data)]], Table_TRM_Fixtures[[#This Row],[Lamp Watts  (TRM Data)]])</f>
        <v>25</v>
      </c>
      <c r="M912">
        <f>Table_TRM_Fixtures[[#This Row],[No. of Lamps  (TRM Data)]]</f>
        <v>1</v>
      </c>
      <c r="N912">
        <v>36</v>
      </c>
      <c r="O912" t="s">
        <v>1381</v>
      </c>
      <c r="P912" t="s">
        <v>187</v>
      </c>
      <c r="Q912" t="s">
        <v>5614</v>
      </c>
      <c r="R912" t="str">
        <f>_xlfn.CONCAT(Table_TRM_Fixtures[[#This Row],[Technology]], " ", Table_TRM_Fixtures[[#This Row],[Ballast Code]], " Ballast")</f>
        <v>T8 Electronic RLO Ballast</v>
      </c>
      <c r="S912" t="str">
        <f>Table_TRM_Fixtures[[#This Row],[Description  (TRM Data)]]</f>
        <v>Fluorescent, (1) 36", T-8 lamp, Tandem 2-lamp IS Ballast, RLO (BF&lt; 0.85)</v>
      </c>
      <c r="T912" t="str">
        <f>Table_TRM_Fixtures[[#This Row],[Fixture code  (TRM Data)]]</f>
        <v>F31ILL/T2-R</v>
      </c>
      <c r="U912" t="s">
        <v>2883</v>
      </c>
      <c r="V912" t="s">
        <v>5562</v>
      </c>
      <c r="W912" t="s">
        <v>3120</v>
      </c>
      <c r="X912" t="s">
        <v>186</v>
      </c>
      <c r="AA912">
        <f>IF(Table_TRM_Fixtures[[#This Row],[Pre-EISA Baseline]]="Nominal", Table_TRM_Fixtures[[#This Row],[Fixture Watts  (TRM Data)]], Table_TRM_Fixtures[[#This Row],[Modified Baseline Fixture Watts]])</f>
        <v>21</v>
      </c>
    </row>
    <row r="913" spans="1:27" x14ac:dyDescent="0.2">
      <c r="A913" t="s">
        <v>1607</v>
      </c>
      <c r="B913" t="s">
        <v>5626</v>
      </c>
      <c r="C913" t="s">
        <v>1606</v>
      </c>
      <c r="D913" t="s">
        <v>5627</v>
      </c>
      <c r="E913" t="s">
        <v>187</v>
      </c>
      <c r="F913">
        <v>1</v>
      </c>
      <c r="G913">
        <v>25</v>
      </c>
      <c r="H913">
        <v>23</v>
      </c>
      <c r="I913">
        <v>15.5</v>
      </c>
      <c r="J913" s="110">
        <v>911</v>
      </c>
      <c r="K913" t="s">
        <v>1505</v>
      </c>
      <c r="L913">
        <f>IF(Table_TRM_Fixtures[[#This Row],[Technology]]="LED", Table_TRM_Fixtures[[#This Row],[Fixture Watts  (TRM Data)]], Table_TRM_Fixtures[[#This Row],[Lamp Watts  (TRM Data)]])</f>
        <v>25</v>
      </c>
      <c r="M913">
        <f>Table_TRM_Fixtures[[#This Row],[No. of Lamps  (TRM Data)]]</f>
        <v>1</v>
      </c>
      <c r="N913">
        <v>36</v>
      </c>
      <c r="O913" t="s">
        <v>1381</v>
      </c>
      <c r="P913" t="s">
        <v>187</v>
      </c>
      <c r="Q913" t="s">
        <v>5612</v>
      </c>
      <c r="R913" t="str">
        <f>_xlfn.CONCAT(Table_TRM_Fixtures[[#This Row],[Technology]], " ", Table_TRM_Fixtures[[#This Row],[Ballast Code]], " Ballast")</f>
        <v>T8 Electronic STD Ballast</v>
      </c>
      <c r="S913" t="str">
        <f>Table_TRM_Fixtures[[#This Row],[Description  (TRM Data)]]</f>
        <v>Fluorescent, (1) 36", T-8 lamp, Tandem 3-lamp IS Ballast, NLO (0.85 &lt; BF &lt; 0.95)</v>
      </c>
      <c r="T913" t="str">
        <f>Table_TRM_Fixtures[[#This Row],[Fixture code  (TRM Data)]]</f>
        <v>F31ILL/T3</v>
      </c>
      <c r="U913" t="s">
        <v>2883</v>
      </c>
      <c r="V913" t="s">
        <v>5562</v>
      </c>
      <c r="W913" t="s">
        <v>3120</v>
      </c>
      <c r="X913" t="s">
        <v>186</v>
      </c>
      <c r="AA913">
        <f>IF(Table_TRM_Fixtures[[#This Row],[Pre-EISA Baseline]]="Nominal", Table_TRM_Fixtures[[#This Row],[Fixture Watts  (TRM Data)]], Table_TRM_Fixtures[[#This Row],[Modified Baseline Fixture Watts]])</f>
        <v>23</v>
      </c>
    </row>
    <row r="914" spans="1:27" x14ac:dyDescent="0.2">
      <c r="A914" t="s">
        <v>1609</v>
      </c>
      <c r="B914" t="s">
        <v>5626</v>
      </c>
      <c r="C914" t="s">
        <v>1608</v>
      </c>
      <c r="D914" t="s">
        <v>5629</v>
      </c>
      <c r="E914" t="s">
        <v>187</v>
      </c>
      <c r="F914">
        <v>1</v>
      </c>
      <c r="G914">
        <v>25</v>
      </c>
      <c r="H914">
        <v>20</v>
      </c>
      <c r="I914">
        <v>15.5</v>
      </c>
      <c r="J914" s="110">
        <v>912</v>
      </c>
      <c r="K914" t="s">
        <v>1505</v>
      </c>
      <c r="L914">
        <f>IF(Table_TRM_Fixtures[[#This Row],[Technology]]="LED", Table_TRM_Fixtures[[#This Row],[Fixture Watts  (TRM Data)]], Table_TRM_Fixtures[[#This Row],[Lamp Watts  (TRM Data)]])</f>
        <v>25</v>
      </c>
      <c r="M914">
        <f>Table_TRM_Fixtures[[#This Row],[No. of Lamps  (TRM Data)]]</f>
        <v>1</v>
      </c>
      <c r="N914">
        <v>36</v>
      </c>
      <c r="O914" t="s">
        <v>1381</v>
      </c>
      <c r="P914" t="s">
        <v>187</v>
      </c>
      <c r="Q914" t="s">
        <v>5614</v>
      </c>
      <c r="R914" t="str">
        <f>_xlfn.CONCAT(Table_TRM_Fixtures[[#This Row],[Technology]], " ", Table_TRM_Fixtures[[#This Row],[Ballast Code]], " Ballast")</f>
        <v>T8 Electronic RLO Ballast</v>
      </c>
      <c r="S914" t="str">
        <f>Table_TRM_Fixtures[[#This Row],[Description  (TRM Data)]]</f>
        <v>Fluorescent, (1) 36", T-8 lamp, Tandem 3-lamp IS Ballast, RLO (BF&lt; 0.85)</v>
      </c>
      <c r="T914" t="str">
        <f>Table_TRM_Fixtures[[#This Row],[Fixture code  (TRM Data)]]</f>
        <v>F31ILL/T3-R</v>
      </c>
      <c r="U914" t="s">
        <v>2883</v>
      </c>
      <c r="V914" t="s">
        <v>5562</v>
      </c>
      <c r="W914" t="s">
        <v>3120</v>
      </c>
      <c r="X914" t="s">
        <v>186</v>
      </c>
      <c r="AA914">
        <f>IF(Table_TRM_Fixtures[[#This Row],[Pre-EISA Baseline]]="Nominal", Table_TRM_Fixtures[[#This Row],[Fixture Watts  (TRM Data)]], Table_TRM_Fixtures[[#This Row],[Modified Baseline Fixture Watts]])</f>
        <v>20</v>
      </c>
    </row>
    <row r="915" spans="1:27" x14ac:dyDescent="0.2">
      <c r="A915" t="s">
        <v>1611</v>
      </c>
      <c r="B915" t="s">
        <v>5626</v>
      </c>
      <c r="C915" t="s">
        <v>1610</v>
      </c>
      <c r="D915" t="s">
        <v>5627</v>
      </c>
      <c r="E915" t="s">
        <v>187</v>
      </c>
      <c r="F915">
        <v>1</v>
      </c>
      <c r="G915">
        <v>25</v>
      </c>
      <c r="H915">
        <v>22</v>
      </c>
      <c r="I915">
        <v>15.5</v>
      </c>
      <c r="J915" s="110">
        <v>913</v>
      </c>
      <c r="K915" t="s">
        <v>1505</v>
      </c>
      <c r="L915">
        <f>IF(Table_TRM_Fixtures[[#This Row],[Technology]]="LED", Table_TRM_Fixtures[[#This Row],[Fixture Watts  (TRM Data)]], Table_TRM_Fixtures[[#This Row],[Lamp Watts  (TRM Data)]])</f>
        <v>25</v>
      </c>
      <c r="M915">
        <f>Table_TRM_Fixtures[[#This Row],[No. of Lamps  (TRM Data)]]</f>
        <v>1</v>
      </c>
      <c r="N915">
        <v>36</v>
      </c>
      <c r="O915" t="s">
        <v>1381</v>
      </c>
      <c r="P915" t="s">
        <v>187</v>
      </c>
      <c r="Q915" t="s">
        <v>5612</v>
      </c>
      <c r="R915" t="str">
        <f>_xlfn.CONCAT(Table_TRM_Fixtures[[#This Row],[Technology]], " ", Table_TRM_Fixtures[[#This Row],[Ballast Code]], " Ballast")</f>
        <v>T8 Electronic STD Ballast</v>
      </c>
      <c r="S915" t="str">
        <f>Table_TRM_Fixtures[[#This Row],[Description  (TRM Data)]]</f>
        <v>Fluorescent, (1) 36", T-8 lamp, Tandem 4-lamp IS Ballast, NLO (0.85 &lt; BF &lt; 0.95)</v>
      </c>
      <c r="T915" t="str">
        <f>Table_TRM_Fixtures[[#This Row],[Fixture code  (TRM Data)]]</f>
        <v>F31ILL/T4</v>
      </c>
      <c r="U915" t="s">
        <v>2883</v>
      </c>
      <c r="V915" t="s">
        <v>5562</v>
      </c>
      <c r="W915" t="s">
        <v>3120</v>
      </c>
      <c r="X915" t="s">
        <v>186</v>
      </c>
      <c r="AA915">
        <f>IF(Table_TRM_Fixtures[[#This Row],[Pre-EISA Baseline]]="Nominal", Table_TRM_Fixtures[[#This Row],[Fixture Watts  (TRM Data)]], Table_TRM_Fixtures[[#This Row],[Modified Baseline Fixture Watts]])</f>
        <v>22</v>
      </c>
    </row>
    <row r="916" spans="1:27" x14ac:dyDescent="0.2">
      <c r="A916" t="s">
        <v>1613</v>
      </c>
      <c r="B916" t="s">
        <v>5626</v>
      </c>
      <c r="C916" t="s">
        <v>1612</v>
      </c>
      <c r="D916" t="s">
        <v>5629</v>
      </c>
      <c r="E916" t="s">
        <v>187</v>
      </c>
      <c r="F916">
        <v>1</v>
      </c>
      <c r="G916">
        <v>25</v>
      </c>
      <c r="H916">
        <v>20</v>
      </c>
      <c r="I916">
        <v>15.5</v>
      </c>
      <c r="J916" s="110">
        <v>914</v>
      </c>
      <c r="K916" t="s">
        <v>1505</v>
      </c>
      <c r="L916">
        <f>IF(Table_TRM_Fixtures[[#This Row],[Technology]]="LED", Table_TRM_Fixtures[[#This Row],[Fixture Watts  (TRM Data)]], Table_TRM_Fixtures[[#This Row],[Lamp Watts  (TRM Data)]])</f>
        <v>25</v>
      </c>
      <c r="M916">
        <f>Table_TRM_Fixtures[[#This Row],[No. of Lamps  (TRM Data)]]</f>
        <v>1</v>
      </c>
      <c r="N916">
        <v>36</v>
      </c>
      <c r="O916" t="s">
        <v>1381</v>
      </c>
      <c r="P916" t="s">
        <v>187</v>
      </c>
      <c r="Q916" t="s">
        <v>5614</v>
      </c>
      <c r="R916" t="str">
        <f>_xlfn.CONCAT(Table_TRM_Fixtures[[#This Row],[Technology]], " ", Table_TRM_Fixtures[[#This Row],[Ballast Code]], " Ballast")</f>
        <v>T8 Electronic RLO Ballast</v>
      </c>
      <c r="S916" t="str">
        <f>Table_TRM_Fixtures[[#This Row],[Description  (TRM Data)]]</f>
        <v>Fluorescent, (1) 36", T-8 lamp, Tandem 4-lamp IS Ballast, RLO (BF&lt; 0.85)</v>
      </c>
      <c r="T916" t="str">
        <f>Table_TRM_Fixtures[[#This Row],[Fixture code  (TRM Data)]]</f>
        <v>F31ILL/T4-R</v>
      </c>
      <c r="U916" t="s">
        <v>2883</v>
      </c>
      <c r="V916" t="s">
        <v>5562</v>
      </c>
      <c r="W916" t="s">
        <v>3120</v>
      </c>
      <c r="X916" t="s">
        <v>186</v>
      </c>
      <c r="AA916">
        <f>IF(Table_TRM_Fixtures[[#This Row],[Pre-EISA Baseline]]="Nominal", Table_TRM_Fixtures[[#This Row],[Fixture Watts  (TRM Data)]], Table_TRM_Fixtures[[#This Row],[Modified Baseline Fixture Watts]])</f>
        <v>20</v>
      </c>
    </row>
    <row r="917" spans="1:27" x14ac:dyDescent="0.2">
      <c r="A917" t="s">
        <v>1614</v>
      </c>
      <c r="B917" t="s">
        <v>5626</v>
      </c>
      <c r="C917" t="s">
        <v>1594</v>
      </c>
      <c r="D917" t="s">
        <v>5627</v>
      </c>
      <c r="E917" t="s">
        <v>187</v>
      </c>
      <c r="F917">
        <v>1</v>
      </c>
      <c r="G917">
        <v>25</v>
      </c>
      <c r="H917">
        <v>23</v>
      </c>
      <c r="I917">
        <v>15.5</v>
      </c>
      <c r="J917" s="110">
        <v>915</v>
      </c>
      <c r="K917" t="s">
        <v>1505</v>
      </c>
      <c r="L917">
        <f>IF(Table_TRM_Fixtures[[#This Row],[Technology]]="LED", Table_TRM_Fixtures[[#This Row],[Fixture Watts  (TRM Data)]], Table_TRM_Fixtures[[#This Row],[Lamp Watts  (TRM Data)]])</f>
        <v>25</v>
      </c>
      <c r="M917">
        <f>Table_TRM_Fixtures[[#This Row],[No. of Lamps  (TRM Data)]]</f>
        <v>1</v>
      </c>
      <c r="N917">
        <v>36</v>
      </c>
      <c r="O917" t="s">
        <v>1381</v>
      </c>
      <c r="P917" t="s">
        <v>187</v>
      </c>
      <c r="Q917" t="s">
        <v>5612</v>
      </c>
      <c r="R917" t="str">
        <f>_xlfn.CONCAT(Table_TRM_Fixtures[[#This Row],[Technology]], " ", Table_TRM_Fixtures[[#This Row],[Ballast Code]], " Ballast")</f>
        <v>T8 Electronic STD Ballast</v>
      </c>
      <c r="S917" t="str">
        <f>Table_TRM_Fixtures[[#This Row],[Description  (TRM Data)]]</f>
        <v>Fluorescent, (1) 36", T-8 lamp, Instant Start Ballast, NLO (0.85 &lt; BF &lt; 0.95)</v>
      </c>
      <c r="T917" t="str">
        <f>Table_TRM_Fixtures[[#This Row],[Fixture code  (TRM Data)]]</f>
        <v>F31ILU</v>
      </c>
      <c r="U917" t="s">
        <v>2883</v>
      </c>
      <c r="V917" t="s">
        <v>5562</v>
      </c>
      <c r="W917" t="s">
        <v>3120</v>
      </c>
      <c r="X917" t="s">
        <v>186</v>
      </c>
      <c r="AA917">
        <f>IF(Table_TRM_Fixtures[[#This Row],[Pre-EISA Baseline]]="Nominal", Table_TRM_Fixtures[[#This Row],[Fixture Watts  (TRM Data)]], Table_TRM_Fixtures[[#This Row],[Modified Baseline Fixture Watts]])</f>
        <v>23</v>
      </c>
    </row>
    <row r="918" spans="1:27" x14ac:dyDescent="0.2">
      <c r="A918" t="s">
        <v>1615</v>
      </c>
      <c r="B918" t="s">
        <v>5626</v>
      </c>
      <c r="C918" t="s">
        <v>1598</v>
      </c>
      <c r="D918" t="s">
        <v>5629</v>
      </c>
      <c r="E918" t="s">
        <v>187</v>
      </c>
      <c r="F918">
        <v>1</v>
      </c>
      <c r="G918">
        <v>25</v>
      </c>
      <c r="H918">
        <v>20</v>
      </c>
      <c r="I918">
        <v>15.5</v>
      </c>
      <c r="J918" s="110">
        <v>916</v>
      </c>
      <c r="K918" t="s">
        <v>1505</v>
      </c>
      <c r="L918">
        <f>IF(Table_TRM_Fixtures[[#This Row],[Technology]]="LED", Table_TRM_Fixtures[[#This Row],[Fixture Watts  (TRM Data)]], Table_TRM_Fixtures[[#This Row],[Lamp Watts  (TRM Data)]])</f>
        <v>25</v>
      </c>
      <c r="M918">
        <f>Table_TRM_Fixtures[[#This Row],[No. of Lamps  (TRM Data)]]</f>
        <v>1</v>
      </c>
      <c r="N918">
        <v>36</v>
      </c>
      <c r="O918" t="s">
        <v>1381</v>
      </c>
      <c r="P918" t="s">
        <v>187</v>
      </c>
      <c r="Q918" t="s">
        <v>5614</v>
      </c>
      <c r="R918" t="str">
        <f>_xlfn.CONCAT(Table_TRM_Fixtures[[#This Row],[Technology]], " ", Table_TRM_Fixtures[[#This Row],[Ballast Code]], " Ballast")</f>
        <v>T8 Electronic RLO Ballast</v>
      </c>
      <c r="S918" t="str">
        <f>Table_TRM_Fixtures[[#This Row],[Description  (TRM Data)]]</f>
        <v>Fluorescent, (1) 36", T-8 lamp, Instant Start Ballast, RLO (BF&lt; 0.85)</v>
      </c>
      <c r="T918" t="str">
        <f>Table_TRM_Fixtures[[#This Row],[Fixture code  (TRM Data)]]</f>
        <v>F31ILU-R</v>
      </c>
      <c r="U918" t="s">
        <v>2883</v>
      </c>
      <c r="V918" t="s">
        <v>5562</v>
      </c>
      <c r="W918" t="s">
        <v>3120</v>
      </c>
      <c r="X918" t="s">
        <v>186</v>
      </c>
      <c r="AA918">
        <f>IF(Table_TRM_Fixtures[[#This Row],[Pre-EISA Baseline]]="Nominal", Table_TRM_Fixtures[[#This Row],[Fixture Watts  (TRM Data)]], Table_TRM_Fixtures[[#This Row],[Modified Baseline Fixture Watts]])</f>
        <v>20</v>
      </c>
    </row>
    <row r="919" spans="1:27" x14ac:dyDescent="0.2">
      <c r="A919" t="s">
        <v>1616</v>
      </c>
      <c r="B919" t="s">
        <v>5626</v>
      </c>
      <c r="C919" t="s">
        <v>1600</v>
      </c>
      <c r="D919" t="s">
        <v>5627</v>
      </c>
      <c r="E919" t="s">
        <v>187</v>
      </c>
      <c r="F919">
        <v>1</v>
      </c>
      <c r="G919">
        <v>25</v>
      </c>
      <c r="H919">
        <v>22</v>
      </c>
      <c r="I919">
        <v>15.5</v>
      </c>
      <c r="J919" s="110">
        <v>917</v>
      </c>
      <c r="K919" t="s">
        <v>1505</v>
      </c>
      <c r="L919">
        <f>IF(Table_TRM_Fixtures[[#This Row],[Technology]]="LED", Table_TRM_Fixtures[[#This Row],[Fixture Watts  (TRM Data)]], Table_TRM_Fixtures[[#This Row],[Lamp Watts  (TRM Data)]])</f>
        <v>25</v>
      </c>
      <c r="M919">
        <f>Table_TRM_Fixtures[[#This Row],[No. of Lamps  (TRM Data)]]</f>
        <v>1</v>
      </c>
      <c r="N919">
        <v>36</v>
      </c>
      <c r="O919" t="s">
        <v>1381</v>
      </c>
      <c r="P919" t="s">
        <v>187</v>
      </c>
      <c r="Q919" t="s">
        <v>5612</v>
      </c>
      <c r="R919" t="str">
        <f>_xlfn.CONCAT(Table_TRM_Fixtures[[#This Row],[Technology]], " ", Table_TRM_Fixtures[[#This Row],[Ballast Code]], " Ballast")</f>
        <v>T8 Electronic STD Ballast</v>
      </c>
      <c r="S919" t="str">
        <f>Table_TRM_Fixtures[[#This Row],[Description  (TRM Data)]]</f>
        <v>Fluorescent, (1) 36", T-8 lamp, Tandem 2-lamp IS Ballast, NLO (0.85 &lt; BF &lt; 0.95)</v>
      </c>
      <c r="T919" t="str">
        <f>Table_TRM_Fixtures[[#This Row],[Fixture code  (TRM Data)]]</f>
        <v>F31ILU/T2</v>
      </c>
      <c r="U919" t="s">
        <v>2883</v>
      </c>
      <c r="V919" t="s">
        <v>5562</v>
      </c>
      <c r="W919" t="s">
        <v>3120</v>
      </c>
      <c r="X919" t="s">
        <v>186</v>
      </c>
      <c r="AA919">
        <f>IF(Table_TRM_Fixtures[[#This Row],[Pre-EISA Baseline]]="Nominal", Table_TRM_Fixtures[[#This Row],[Fixture Watts  (TRM Data)]], Table_TRM_Fixtures[[#This Row],[Modified Baseline Fixture Watts]])</f>
        <v>22</v>
      </c>
    </row>
    <row r="920" spans="1:27" x14ac:dyDescent="0.2">
      <c r="A920" t="s">
        <v>1617</v>
      </c>
      <c r="B920" t="s">
        <v>5626</v>
      </c>
      <c r="C920" t="s">
        <v>1604</v>
      </c>
      <c r="D920" t="s">
        <v>5629</v>
      </c>
      <c r="E920" t="s">
        <v>187</v>
      </c>
      <c r="F920">
        <v>1</v>
      </c>
      <c r="G920">
        <v>25</v>
      </c>
      <c r="H920">
        <v>20</v>
      </c>
      <c r="I920">
        <v>15.5</v>
      </c>
      <c r="J920" s="110">
        <v>918</v>
      </c>
      <c r="K920" t="s">
        <v>1505</v>
      </c>
      <c r="L920">
        <f>IF(Table_TRM_Fixtures[[#This Row],[Technology]]="LED", Table_TRM_Fixtures[[#This Row],[Fixture Watts  (TRM Data)]], Table_TRM_Fixtures[[#This Row],[Lamp Watts  (TRM Data)]])</f>
        <v>25</v>
      </c>
      <c r="M920">
        <f>Table_TRM_Fixtures[[#This Row],[No. of Lamps  (TRM Data)]]</f>
        <v>1</v>
      </c>
      <c r="N920">
        <v>36</v>
      </c>
      <c r="O920" t="s">
        <v>1381</v>
      </c>
      <c r="P920" t="s">
        <v>187</v>
      </c>
      <c r="Q920" t="s">
        <v>5614</v>
      </c>
      <c r="R920" t="str">
        <f>_xlfn.CONCAT(Table_TRM_Fixtures[[#This Row],[Technology]], " ", Table_TRM_Fixtures[[#This Row],[Ballast Code]], " Ballast")</f>
        <v>T8 Electronic RLO Ballast</v>
      </c>
      <c r="S920" t="str">
        <f>Table_TRM_Fixtures[[#This Row],[Description  (TRM Data)]]</f>
        <v>Fluorescent, (1) 36", T-8 lamp, Tandem 2-lamp IS Ballast, RLO (BF&lt; 0.85)</v>
      </c>
      <c r="T920" t="str">
        <f>Table_TRM_Fixtures[[#This Row],[Fixture code  (TRM Data)]]</f>
        <v>F31ILU/T2-R</v>
      </c>
      <c r="U920" t="s">
        <v>2883</v>
      </c>
      <c r="V920" t="s">
        <v>5562</v>
      </c>
      <c r="W920" t="s">
        <v>3120</v>
      </c>
      <c r="X920" t="s">
        <v>186</v>
      </c>
      <c r="AA920">
        <f>IF(Table_TRM_Fixtures[[#This Row],[Pre-EISA Baseline]]="Nominal", Table_TRM_Fixtures[[#This Row],[Fixture Watts  (TRM Data)]], Table_TRM_Fixtures[[#This Row],[Modified Baseline Fixture Watts]])</f>
        <v>20</v>
      </c>
    </row>
    <row r="921" spans="1:27" x14ac:dyDescent="0.2">
      <c r="A921" t="s">
        <v>1618</v>
      </c>
      <c r="B921" t="s">
        <v>5626</v>
      </c>
      <c r="C921" t="s">
        <v>1608</v>
      </c>
      <c r="D921" t="s">
        <v>5629</v>
      </c>
      <c r="E921" t="s">
        <v>187</v>
      </c>
      <c r="F921">
        <v>1</v>
      </c>
      <c r="G921">
        <v>25</v>
      </c>
      <c r="H921">
        <v>19</v>
      </c>
      <c r="I921">
        <v>15.5</v>
      </c>
      <c r="J921" s="110">
        <v>919</v>
      </c>
      <c r="K921" t="s">
        <v>1505</v>
      </c>
      <c r="L921">
        <f>IF(Table_TRM_Fixtures[[#This Row],[Technology]]="LED", Table_TRM_Fixtures[[#This Row],[Fixture Watts  (TRM Data)]], Table_TRM_Fixtures[[#This Row],[Lamp Watts  (TRM Data)]])</f>
        <v>25</v>
      </c>
      <c r="M921">
        <f>Table_TRM_Fixtures[[#This Row],[No. of Lamps  (TRM Data)]]</f>
        <v>1</v>
      </c>
      <c r="N921">
        <v>36</v>
      </c>
      <c r="O921" t="s">
        <v>1381</v>
      </c>
      <c r="P921" t="s">
        <v>187</v>
      </c>
      <c r="Q921" t="s">
        <v>5614</v>
      </c>
      <c r="R921" t="str">
        <f>_xlfn.CONCAT(Table_TRM_Fixtures[[#This Row],[Technology]], " ", Table_TRM_Fixtures[[#This Row],[Ballast Code]], " Ballast")</f>
        <v>T8 Electronic RLO Ballast</v>
      </c>
      <c r="S921" t="str">
        <f>Table_TRM_Fixtures[[#This Row],[Description  (TRM Data)]]</f>
        <v>Fluorescent, (1) 36", T-8 lamp, Tandem 3-lamp IS Ballast, RLO (BF&lt; 0.85)</v>
      </c>
      <c r="T921" t="str">
        <f>Table_TRM_Fixtures[[#This Row],[Fixture code  (TRM Data)]]</f>
        <v>F31ILU/T3-R</v>
      </c>
      <c r="U921" t="s">
        <v>2883</v>
      </c>
      <c r="V921" t="s">
        <v>5562</v>
      </c>
      <c r="W921" t="s">
        <v>3120</v>
      </c>
      <c r="X921" t="s">
        <v>186</v>
      </c>
      <c r="AA921">
        <f>IF(Table_TRM_Fixtures[[#This Row],[Pre-EISA Baseline]]="Nominal", Table_TRM_Fixtures[[#This Row],[Fixture Watts  (TRM Data)]], Table_TRM_Fixtures[[#This Row],[Modified Baseline Fixture Watts]])</f>
        <v>19</v>
      </c>
    </row>
    <row r="922" spans="1:27" x14ac:dyDescent="0.2">
      <c r="A922" t="s">
        <v>1619</v>
      </c>
      <c r="B922" t="s">
        <v>5626</v>
      </c>
      <c r="C922" t="s">
        <v>1612</v>
      </c>
      <c r="D922" t="s">
        <v>5629</v>
      </c>
      <c r="E922" t="s">
        <v>187</v>
      </c>
      <c r="F922">
        <v>1</v>
      </c>
      <c r="G922">
        <v>25</v>
      </c>
      <c r="H922">
        <v>19</v>
      </c>
      <c r="I922">
        <v>15.5</v>
      </c>
      <c r="J922" s="110">
        <v>920</v>
      </c>
      <c r="K922" t="s">
        <v>1505</v>
      </c>
      <c r="L922">
        <f>IF(Table_TRM_Fixtures[[#This Row],[Technology]]="LED", Table_TRM_Fixtures[[#This Row],[Fixture Watts  (TRM Data)]], Table_TRM_Fixtures[[#This Row],[Lamp Watts  (TRM Data)]])</f>
        <v>25</v>
      </c>
      <c r="M922">
        <f>Table_TRM_Fixtures[[#This Row],[No. of Lamps  (TRM Data)]]</f>
        <v>1</v>
      </c>
      <c r="N922">
        <v>36</v>
      </c>
      <c r="O922" t="s">
        <v>1381</v>
      </c>
      <c r="P922" t="s">
        <v>187</v>
      </c>
      <c r="Q922" t="s">
        <v>5614</v>
      </c>
      <c r="R922" t="str">
        <f>_xlfn.CONCAT(Table_TRM_Fixtures[[#This Row],[Technology]], " ", Table_TRM_Fixtures[[#This Row],[Ballast Code]], " Ballast")</f>
        <v>T8 Electronic RLO Ballast</v>
      </c>
      <c r="S922" t="str">
        <f>Table_TRM_Fixtures[[#This Row],[Description  (TRM Data)]]</f>
        <v>Fluorescent, (1) 36", T-8 lamp, Tandem 4-lamp IS Ballast, RLO (BF&lt; 0.85)</v>
      </c>
      <c r="T922" t="str">
        <f>Table_TRM_Fixtures[[#This Row],[Fixture code  (TRM Data)]]</f>
        <v>F31ILU/T4-R</v>
      </c>
      <c r="U922" t="s">
        <v>2883</v>
      </c>
      <c r="V922" t="s">
        <v>5562</v>
      </c>
      <c r="W922" t="s">
        <v>3120</v>
      </c>
      <c r="X922" t="s">
        <v>186</v>
      </c>
      <c r="AA922">
        <f>IF(Table_TRM_Fixtures[[#This Row],[Pre-EISA Baseline]]="Nominal", Table_TRM_Fixtures[[#This Row],[Fixture Watts  (TRM Data)]], Table_TRM_Fixtures[[#This Row],[Modified Baseline Fixture Watts]])</f>
        <v>19</v>
      </c>
    </row>
    <row r="923" spans="1:27" x14ac:dyDescent="0.2">
      <c r="A923" t="s">
        <v>1621</v>
      </c>
      <c r="B923" t="s">
        <v>5626</v>
      </c>
      <c r="C923" t="s">
        <v>1620</v>
      </c>
      <c r="D923" t="s">
        <v>5627</v>
      </c>
      <c r="E923" t="s">
        <v>187</v>
      </c>
      <c r="F923">
        <v>1</v>
      </c>
      <c r="G923">
        <v>25</v>
      </c>
      <c r="H923">
        <v>24</v>
      </c>
      <c r="I923">
        <v>15.5</v>
      </c>
      <c r="J923" s="110">
        <v>921</v>
      </c>
      <c r="K923" t="s">
        <v>1505</v>
      </c>
      <c r="L923">
        <f>IF(Table_TRM_Fixtures[[#This Row],[Technology]]="LED", Table_TRM_Fixtures[[#This Row],[Fixture Watts  (TRM Data)]], Table_TRM_Fixtures[[#This Row],[Lamp Watts  (TRM Data)]])</f>
        <v>25</v>
      </c>
      <c r="M923">
        <f>Table_TRM_Fixtures[[#This Row],[No. of Lamps  (TRM Data)]]</f>
        <v>1</v>
      </c>
      <c r="N923">
        <v>36</v>
      </c>
      <c r="O923" t="s">
        <v>1381</v>
      </c>
      <c r="P923" t="s">
        <v>187</v>
      </c>
      <c r="Q923" t="s">
        <v>5612</v>
      </c>
      <c r="R923" t="str">
        <f>_xlfn.CONCAT(Table_TRM_Fixtures[[#This Row],[Technology]], " ", Table_TRM_Fixtures[[#This Row],[Ballast Code]], " Ballast")</f>
        <v>T8 Electronic STD Ballast</v>
      </c>
      <c r="S923" t="str">
        <f>Table_TRM_Fixtures[[#This Row],[Description  (TRM Data)]]</f>
        <v>Fluorescent, (1) 36", T-8 lamp, Rapid Start Ballast, NLO (0.85 &lt; BF &lt; 0.95)</v>
      </c>
      <c r="T923" t="str">
        <f>Table_TRM_Fixtures[[#This Row],[Fixture code  (TRM Data)]]</f>
        <v>F31LL</v>
      </c>
      <c r="U923" t="s">
        <v>2883</v>
      </c>
      <c r="V923" t="s">
        <v>5562</v>
      </c>
      <c r="W923" t="s">
        <v>3120</v>
      </c>
      <c r="X923" t="s">
        <v>186</v>
      </c>
      <c r="AA923">
        <f>IF(Table_TRM_Fixtures[[#This Row],[Pre-EISA Baseline]]="Nominal", Table_TRM_Fixtures[[#This Row],[Fixture Watts  (TRM Data)]], Table_TRM_Fixtures[[#This Row],[Modified Baseline Fixture Watts]])</f>
        <v>24</v>
      </c>
    </row>
    <row r="924" spans="1:27" x14ac:dyDescent="0.2">
      <c r="A924" t="s">
        <v>1623</v>
      </c>
      <c r="B924" t="s">
        <v>5626</v>
      </c>
      <c r="C924" t="s">
        <v>1622</v>
      </c>
      <c r="D924" t="s">
        <v>5628</v>
      </c>
      <c r="E924" t="s">
        <v>187</v>
      </c>
      <c r="F924">
        <v>1</v>
      </c>
      <c r="G924">
        <v>25</v>
      </c>
      <c r="H924">
        <v>26</v>
      </c>
      <c r="I924">
        <v>15.5</v>
      </c>
      <c r="J924" s="110">
        <v>922</v>
      </c>
      <c r="K924" t="s">
        <v>1505</v>
      </c>
      <c r="L924">
        <f>IF(Table_TRM_Fixtures[[#This Row],[Technology]]="LED", Table_TRM_Fixtures[[#This Row],[Fixture Watts  (TRM Data)]], Table_TRM_Fixtures[[#This Row],[Lamp Watts  (TRM Data)]])</f>
        <v>25</v>
      </c>
      <c r="M924">
        <f>Table_TRM_Fixtures[[#This Row],[No. of Lamps  (TRM Data)]]</f>
        <v>1</v>
      </c>
      <c r="N924">
        <v>36</v>
      </c>
      <c r="O924" t="s">
        <v>1381</v>
      </c>
      <c r="P924" t="s">
        <v>187</v>
      </c>
      <c r="Q924" t="s">
        <v>5566</v>
      </c>
      <c r="R924" t="str">
        <f>_xlfn.CONCAT(Table_TRM_Fixtures[[#This Row],[Technology]], " ", Table_TRM_Fixtures[[#This Row],[Ballast Code]], " Ballast")</f>
        <v>T8 Electronic HLO Ballast</v>
      </c>
      <c r="S924" t="str">
        <f>Table_TRM_Fixtures[[#This Row],[Description  (TRM Data)]]</f>
        <v>Fluorescent, (1) 36", T-8 lamp, Rapid Start Ballast, HLO (0.95 &lt; BF &lt; 1.1)</v>
      </c>
      <c r="T924" t="str">
        <f>Table_TRM_Fixtures[[#This Row],[Fixture code  (TRM Data)]]</f>
        <v>F31LL-H</v>
      </c>
      <c r="U924" t="s">
        <v>2883</v>
      </c>
      <c r="V924" t="s">
        <v>5562</v>
      </c>
      <c r="W924" t="s">
        <v>3120</v>
      </c>
      <c r="X924" t="s">
        <v>186</v>
      </c>
      <c r="AA924">
        <f>IF(Table_TRM_Fixtures[[#This Row],[Pre-EISA Baseline]]="Nominal", Table_TRM_Fixtures[[#This Row],[Fixture Watts  (TRM Data)]], Table_TRM_Fixtures[[#This Row],[Modified Baseline Fixture Watts]])</f>
        <v>26</v>
      </c>
    </row>
    <row r="925" spans="1:27" x14ac:dyDescent="0.2">
      <c r="A925" t="s">
        <v>1625</v>
      </c>
      <c r="B925" t="s">
        <v>5626</v>
      </c>
      <c r="C925" t="s">
        <v>1624</v>
      </c>
      <c r="D925" t="s">
        <v>5629</v>
      </c>
      <c r="E925" t="s">
        <v>187</v>
      </c>
      <c r="F925">
        <v>1</v>
      </c>
      <c r="G925">
        <v>25</v>
      </c>
      <c r="H925">
        <v>23</v>
      </c>
      <c r="I925">
        <v>15.5</v>
      </c>
      <c r="J925" s="110">
        <v>923</v>
      </c>
      <c r="K925" t="s">
        <v>1505</v>
      </c>
      <c r="L925">
        <f>IF(Table_TRM_Fixtures[[#This Row],[Technology]]="LED", Table_TRM_Fixtures[[#This Row],[Fixture Watts  (TRM Data)]], Table_TRM_Fixtures[[#This Row],[Lamp Watts  (TRM Data)]])</f>
        <v>25</v>
      </c>
      <c r="M925">
        <f>Table_TRM_Fixtures[[#This Row],[No. of Lamps  (TRM Data)]]</f>
        <v>1</v>
      </c>
      <c r="N925">
        <v>36</v>
      </c>
      <c r="O925" t="s">
        <v>1381</v>
      </c>
      <c r="P925" t="s">
        <v>187</v>
      </c>
      <c r="Q925" t="s">
        <v>5614</v>
      </c>
      <c r="R925" t="str">
        <f>_xlfn.CONCAT(Table_TRM_Fixtures[[#This Row],[Technology]], " ", Table_TRM_Fixtures[[#This Row],[Ballast Code]], " Ballast")</f>
        <v>T8 Electronic RLO Ballast</v>
      </c>
      <c r="S925" t="str">
        <f>Table_TRM_Fixtures[[#This Row],[Description  (TRM Data)]]</f>
        <v>Fluorescent, (1) 36", T-8 lamp, Rapid Start Ballast, RLO (BF&lt; 0.85)</v>
      </c>
      <c r="T925" t="str">
        <f>Table_TRM_Fixtures[[#This Row],[Fixture code  (TRM Data)]]</f>
        <v>F31LL-R</v>
      </c>
      <c r="U925" t="s">
        <v>2883</v>
      </c>
      <c r="V925" t="s">
        <v>5562</v>
      </c>
      <c r="W925" t="s">
        <v>3120</v>
      </c>
      <c r="X925" t="s">
        <v>186</v>
      </c>
      <c r="AA925">
        <f>IF(Table_TRM_Fixtures[[#This Row],[Pre-EISA Baseline]]="Nominal", Table_TRM_Fixtures[[#This Row],[Fixture Watts  (TRM Data)]], Table_TRM_Fixtures[[#This Row],[Modified Baseline Fixture Watts]])</f>
        <v>23</v>
      </c>
    </row>
    <row r="926" spans="1:27" x14ac:dyDescent="0.2">
      <c r="A926" t="s">
        <v>1627</v>
      </c>
      <c r="B926" t="s">
        <v>5626</v>
      </c>
      <c r="C926" t="s">
        <v>1626</v>
      </c>
      <c r="D926" t="s">
        <v>5627</v>
      </c>
      <c r="E926" t="s">
        <v>187</v>
      </c>
      <c r="F926">
        <v>1</v>
      </c>
      <c r="G926">
        <v>25</v>
      </c>
      <c r="H926">
        <v>23</v>
      </c>
      <c r="I926">
        <v>15.5</v>
      </c>
      <c r="J926" s="110">
        <v>924</v>
      </c>
      <c r="K926" t="s">
        <v>1505</v>
      </c>
      <c r="L926">
        <f>IF(Table_TRM_Fixtures[[#This Row],[Technology]]="LED", Table_TRM_Fixtures[[#This Row],[Fixture Watts  (TRM Data)]], Table_TRM_Fixtures[[#This Row],[Lamp Watts  (TRM Data)]])</f>
        <v>25</v>
      </c>
      <c r="M926">
        <f>Table_TRM_Fixtures[[#This Row],[No. of Lamps  (TRM Data)]]</f>
        <v>1</v>
      </c>
      <c r="N926">
        <v>36</v>
      </c>
      <c r="O926" t="s">
        <v>1381</v>
      </c>
      <c r="P926" t="s">
        <v>187</v>
      </c>
      <c r="Q926" t="s">
        <v>5612</v>
      </c>
      <c r="R926" t="str">
        <f>_xlfn.CONCAT(Table_TRM_Fixtures[[#This Row],[Technology]], " ", Table_TRM_Fixtures[[#This Row],[Ballast Code]], " Ballast")</f>
        <v>T8 Electronic STD Ballast</v>
      </c>
      <c r="S926" t="str">
        <f>Table_TRM_Fixtures[[#This Row],[Description  (TRM Data)]]</f>
        <v>Fluorescent, (1) 36", T-8 lamp, Tandem 2-lamp RS Ballast, NLO (0.85 &lt; BF &lt; 0.95)</v>
      </c>
      <c r="T926" t="str">
        <f>Table_TRM_Fixtures[[#This Row],[Fixture code  (TRM Data)]]</f>
        <v>F31LL/T2</v>
      </c>
      <c r="U926" t="s">
        <v>2883</v>
      </c>
      <c r="V926" t="s">
        <v>5562</v>
      </c>
      <c r="W926" t="s">
        <v>3120</v>
      </c>
      <c r="X926" t="s">
        <v>186</v>
      </c>
      <c r="AA926">
        <f>IF(Table_TRM_Fixtures[[#This Row],[Pre-EISA Baseline]]="Nominal", Table_TRM_Fixtures[[#This Row],[Fixture Watts  (TRM Data)]], Table_TRM_Fixtures[[#This Row],[Modified Baseline Fixture Watts]])</f>
        <v>23</v>
      </c>
    </row>
    <row r="927" spans="1:27" x14ac:dyDescent="0.2">
      <c r="A927" t="s">
        <v>1629</v>
      </c>
      <c r="B927" t="s">
        <v>5626</v>
      </c>
      <c r="C927" t="s">
        <v>1628</v>
      </c>
      <c r="D927" t="s">
        <v>5627</v>
      </c>
      <c r="E927" t="s">
        <v>187</v>
      </c>
      <c r="F927">
        <v>1</v>
      </c>
      <c r="G927">
        <v>25</v>
      </c>
      <c r="H927">
        <v>24</v>
      </c>
      <c r="I927">
        <v>15.5</v>
      </c>
      <c r="J927" s="110">
        <v>925</v>
      </c>
      <c r="K927" t="s">
        <v>1505</v>
      </c>
      <c r="L927">
        <f>IF(Table_TRM_Fixtures[[#This Row],[Technology]]="LED", Table_TRM_Fixtures[[#This Row],[Fixture Watts  (TRM Data)]], Table_TRM_Fixtures[[#This Row],[Lamp Watts  (TRM Data)]])</f>
        <v>25</v>
      </c>
      <c r="M927">
        <f>Table_TRM_Fixtures[[#This Row],[No. of Lamps  (TRM Data)]]</f>
        <v>1</v>
      </c>
      <c r="N927">
        <v>36</v>
      </c>
      <c r="O927" t="s">
        <v>1381</v>
      </c>
      <c r="P927" t="s">
        <v>187</v>
      </c>
      <c r="Q927" t="s">
        <v>5612</v>
      </c>
      <c r="R927" t="str">
        <f>_xlfn.CONCAT(Table_TRM_Fixtures[[#This Row],[Technology]], " ", Table_TRM_Fixtures[[#This Row],[Ballast Code]], " Ballast")</f>
        <v>T8 Electronic STD Ballast</v>
      </c>
      <c r="S927" t="str">
        <f>Table_TRM_Fixtures[[#This Row],[Description  (TRM Data)]]</f>
        <v>Fluorescent, (1) 36", T-8 lamp, Tandem 3-lamp RS Ballast, NLO (0.85 &lt; BF &lt; 0.95)</v>
      </c>
      <c r="T927" t="str">
        <f>Table_TRM_Fixtures[[#This Row],[Fixture code  (TRM Data)]]</f>
        <v>F31LL/T3</v>
      </c>
      <c r="U927" t="s">
        <v>2883</v>
      </c>
      <c r="V927" t="s">
        <v>5562</v>
      </c>
      <c r="W927" t="s">
        <v>3120</v>
      </c>
      <c r="X927" t="s">
        <v>186</v>
      </c>
      <c r="AA927">
        <f>IF(Table_TRM_Fixtures[[#This Row],[Pre-EISA Baseline]]="Nominal", Table_TRM_Fixtures[[#This Row],[Fixture Watts  (TRM Data)]], Table_TRM_Fixtures[[#This Row],[Modified Baseline Fixture Watts]])</f>
        <v>24</v>
      </c>
    </row>
    <row r="928" spans="1:27" x14ac:dyDescent="0.2">
      <c r="A928" t="s">
        <v>1631</v>
      </c>
      <c r="B928" t="s">
        <v>5626</v>
      </c>
      <c r="C928" t="s">
        <v>1630</v>
      </c>
      <c r="D928" t="s">
        <v>5627</v>
      </c>
      <c r="E928" t="s">
        <v>187</v>
      </c>
      <c r="F928">
        <v>1</v>
      </c>
      <c r="G928">
        <v>25</v>
      </c>
      <c r="H928">
        <v>22</v>
      </c>
      <c r="I928">
        <v>15.5</v>
      </c>
      <c r="J928" s="110">
        <v>926</v>
      </c>
      <c r="K928" t="s">
        <v>1505</v>
      </c>
      <c r="L928">
        <f>IF(Table_TRM_Fixtures[[#This Row],[Technology]]="LED", Table_TRM_Fixtures[[#This Row],[Fixture Watts  (TRM Data)]], Table_TRM_Fixtures[[#This Row],[Lamp Watts  (TRM Data)]])</f>
        <v>25</v>
      </c>
      <c r="M928">
        <f>Table_TRM_Fixtures[[#This Row],[No. of Lamps  (TRM Data)]]</f>
        <v>1</v>
      </c>
      <c r="N928">
        <v>36</v>
      </c>
      <c r="O928" t="s">
        <v>1381</v>
      </c>
      <c r="P928" t="s">
        <v>187</v>
      </c>
      <c r="Q928" t="s">
        <v>5612</v>
      </c>
      <c r="R928" t="str">
        <f>_xlfn.CONCAT(Table_TRM_Fixtures[[#This Row],[Technology]], " ", Table_TRM_Fixtures[[#This Row],[Ballast Code]], " Ballast")</f>
        <v>T8 Electronic STD Ballast</v>
      </c>
      <c r="S928" t="str">
        <f>Table_TRM_Fixtures[[#This Row],[Description  (TRM Data)]]</f>
        <v>Fluorescent, (1) 36", T-8 lamp, Tandem 4-lamp RS Ballast, NLO (0.85 &lt; BF &lt; 0.95)</v>
      </c>
      <c r="T928" t="str">
        <f>Table_TRM_Fixtures[[#This Row],[Fixture code  (TRM Data)]]</f>
        <v>F31LL/T4</v>
      </c>
      <c r="U928" t="s">
        <v>2883</v>
      </c>
      <c r="V928" t="s">
        <v>5562</v>
      </c>
      <c r="W928" t="s">
        <v>3120</v>
      </c>
      <c r="X928" t="s">
        <v>186</v>
      </c>
      <c r="AA928">
        <f>IF(Table_TRM_Fixtures[[#This Row],[Pre-EISA Baseline]]="Nominal", Table_TRM_Fixtures[[#This Row],[Fixture Watts  (TRM Data)]], Table_TRM_Fixtures[[#This Row],[Modified Baseline Fixture Watts]])</f>
        <v>22</v>
      </c>
    </row>
    <row r="929" spans="1:27" x14ac:dyDescent="0.2">
      <c r="A929" t="s">
        <v>1633</v>
      </c>
      <c r="B929" t="s">
        <v>5626</v>
      </c>
      <c r="C929" t="s">
        <v>1632</v>
      </c>
      <c r="D929" t="s">
        <v>5630</v>
      </c>
      <c r="E929" t="s">
        <v>187</v>
      </c>
      <c r="F929">
        <v>2</v>
      </c>
      <c r="G929">
        <v>25</v>
      </c>
      <c r="H929">
        <v>46</v>
      </c>
      <c r="I929">
        <v>15.5</v>
      </c>
      <c r="J929" s="110">
        <v>927</v>
      </c>
      <c r="K929" t="s">
        <v>1505</v>
      </c>
      <c r="L929">
        <f>IF(Table_TRM_Fixtures[[#This Row],[Technology]]="LED", Table_TRM_Fixtures[[#This Row],[Fixture Watts  (TRM Data)]], Table_TRM_Fixtures[[#This Row],[Lamp Watts  (TRM Data)]])</f>
        <v>25</v>
      </c>
      <c r="M929">
        <f>Table_TRM_Fixtures[[#This Row],[No. of Lamps  (TRM Data)]]</f>
        <v>2</v>
      </c>
      <c r="N929">
        <v>36</v>
      </c>
      <c r="O929" t="s">
        <v>1381</v>
      </c>
      <c r="P929" t="s">
        <v>187</v>
      </c>
      <c r="Q929" t="s">
        <v>5612</v>
      </c>
      <c r="R929" t="str">
        <f>_xlfn.CONCAT(Table_TRM_Fixtures[[#This Row],[Technology]], " ", Table_TRM_Fixtures[[#This Row],[Ballast Code]], " Ballast")</f>
        <v>T8 Electronic STD Ballast</v>
      </c>
      <c r="S929" t="str">
        <f>Table_TRM_Fixtures[[#This Row],[Description  (TRM Data)]]</f>
        <v>Fluorescent, (2) 36", T-8 lamps, Instant Start Ballast, NLO (0.85 &lt; BF &lt; 0.95)</v>
      </c>
      <c r="T929" t="str">
        <f>Table_TRM_Fixtures[[#This Row],[Fixture code  (TRM Data)]]</f>
        <v>F32ILL</v>
      </c>
      <c r="U929" t="s">
        <v>2883</v>
      </c>
      <c r="V929" t="s">
        <v>5562</v>
      </c>
      <c r="W929" t="s">
        <v>3120</v>
      </c>
      <c r="X929" t="s">
        <v>186</v>
      </c>
      <c r="AA929">
        <f>IF(Table_TRM_Fixtures[[#This Row],[Pre-EISA Baseline]]="Nominal", Table_TRM_Fixtures[[#This Row],[Fixture Watts  (TRM Data)]], Table_TRM_Fixtures[[#This Row],[Modified Baseline Fixture Watts]])</f>
        <v>46</v>
      </c>
    </row>
    <row r="930" spans="1:27" x14ac:dyDescent="0.2">
      <c r="A930" t="s">
        <v>1635</v>
      </c>
      <c r="B930" t="s">
        <v>5626</v>
      </c>
      <c r="C930" t="s">
        <v>1634</v>
      </c>
      <c r="D930" t="s">
        <v>5631</v>
      </c>
      <c r="E930" t="s">
        <v>187</v>
      </c>
      <c r="F930">
        <v>2</v>
      </c>
      <c r="G930">
        <v>25</v>
      </c>
      <c r="H930">
        <v>52</v>
      </c>
      <c r="I930">
        <v>15.5</v>
      </c>
      <c r="J930" s="110">
        <v>928</v>
      </c>
      <c r="K930" t="s">
        <v>1505</v>
      </c>
      <c r="L930">
        <f>IF(Table_TRM_Fixtures[[#This Row],[Technology]]="LED", Table_TRM_Fixtures[[#This Row],[Fixture Watts  (TRM Data)]], Table_TRM_Fixtures[[#This Row],[Lamp Watts  (TRM Data)]])</f>
        <v>25</v>
      </c>
      <c r="M930">
        <f>Table_TRM_Fixtures[[#This Row],[No. of Lamps  (TRM Data)]]</f>
        <v>2</v>
      </c>
      <c r="N930">
        <v>36</v>
      </c>
      <c r="O930" t="s">
        <v>1381</v>
      </c>
      <c r="P930" t="s">
        <v>187</v>
      </c>
      <c r="Q930" t="s">
        <v>5566</v>
      </c>
      <c r="R930" t="str">
        <f>_xlfn.CONCAT(Table_TRM_Fixtures[[#This Row],[Technology]], " ", Table_TRM_Fixtures[[#This Row],[Ballast Code]], " Ballast")</f>
        <v>T8 Electronic HLO Ballast</v>
      </c>
      <c r="S930" t="str">
        <f>Table_TRM_Fixtures[[#This Row],[Description  (TRM Data)]]</f>
        <v>Fluorescent, (2) 36", T-8 lamps, Instant Start Ballast, HLO (0.95 &lt; BF &lt; 1.1)</v>
      </c>
      <c r="T930" t="str">
        <f>Table_TRM_Fixtures[[#This Row],[Fixture code  (TRM Data)]]</f>
        <v>F32ILL-H</v>
      </c>
      <c r="U930" t="s">
        <v>2883</v>
      </c>
      <c r="V930" t="s">
        <v>5562</v>
      </c>
      <c r="W930" t="s">
        <v>3120</v>
      </c>
      <c r="X930" t="s">
        <v>186</v>
      </c>
      <c r="AA930">
        <f>IF(Table_TRM_Fixtures[[#This Row],[Pre-EISA Baseline]]="Nominal", Table_TRM_Fixtures[[#This Row],[Fixture Watts  (TRM Data)]], Table_TRM_Fixtures[[#This Row],[Modified Baseline Fixture Watts]])</f>
        <v>52</v>
      </c>
    </row>
    <row r="931" spans="1:27" x14ac:dyDescent="0.2">
      <c r="A931" t="s">
        <v>1637</v>
      </c>
      <c r="B931" t="s">
        <v>5626</v>
      </c>
      <c r="C931" t="s">
        <v>1636</v>
      </c>
      <c r="D931" t="s">
        <v>5632</v>
      </c>
      <c r="E931" t="s">
        <v>187</v>
      </c>
      <c r="F931">
        <v>2</v>
      </c>
      <c r="G931">
        <v>25</v>
      </c>
      <c r="H931">
        <v>42</v>
      </c>
      <c r="I931">
        <v>15.5</v>
      </c>
      <c r="J931" s="110">
        <v>929</v>
      </c>
      <c r="K931" t="s">
        <v>1505</v>
      </c>
      <c r="L931">
        <f>IF(Table_TRM_Fixtures[[#This Row],[Technology]]="LED", Table_TRM_Fixtures[[#This Row],[Fixture Watts  (TRM Data)]], Table_TRM_Fixtures[[#This Row],[Lamp Watts  (TRM Data)]])</f>
        <v>25</v>
      </c>
      <c r="M931">
        <f>Table_TRM_Fixtures[[#This Row],[No. of Lamps  (TRM Data)]]</f>
        <v>2</v>
      </c>
      <c r="N931">
        <v>36</v>
      </c>
      <c r="O931" t="s">
        <v>1381</v>
      </c>
      <c r="P931" t="s">
        <v>187</v>
      </c>
      <c r="Q931" t="s">
        <v>5614</v>
      </c>
      <c r="R931" t="str">
        <f>_xlfn.CONCAT(Table_TRM_Fixtures[[#This Row],[Technology]], " ", Table_TRM_Fixtures[[#This Row],[Ballast Code]], " Ballast")</f>
        <v>T8 Electronic RLO Ballast</v>
      </c>
      <c r="S931" t="str">
        <f>Table_TRM_Fixtures[[#This Row],[Description  (TRM Data)]]</f>
        <v>Fluorescent, (2) 36", T-8 lamps, Instant Start Ballast, RLO (BF&lt; 0.85)</v>
      </c>
      <c r="T931" t="str">
        <f>Table_TRM_Fixtures[[#This Row],[Fixture code  (TRM Data)]]</f>
        <v>F32ILL-R</v>
      </c>
      <c r="U931" t="s">
        <v>2883</v>
      </c>
      <c r="V931" t="s">
        <v>5562</v>
      </c>
      <c r="W931" t="s">
        <v>3120</v>
      </c>
      <c r="X931" t="s">
        <v>186</v>
      </c>
      <c r="AA931">
        <f>IF(Table_TRM_Fixtures[[#This Row],[Pre-EISA Baseline]]="Nominal", Table_TRM_Fixtures[[#This Row],[Fixture Watts  (TRM Data)]], Table_TRM_Fixtures[[#This Row],[Modified Baseline Fixture Watts]])</f>
        <v>42</v>
      </c>
    </row>
    <row r="932" spans="1:27" x14ac:dyDescent="0.2">
      <c r="A932" t="s">
        <v>1639</v>
      </c>
      <c r="B932" t="s">
        <v>5626</v>
      </c>
      <c r="C932" t="s">
        <v>1638</v>
      </c>
      <c r="D932" t="s">
        <v>5632</v>
      </c>
      <c r="E932" t="s">
        <v>187</v>
      </c>
      <c r="F932">
        <v>2</v>
      </c>
      <c r="G932">
        <v>25</v>
      </c>
      <c r="H932">
        <v>44</v>
      </c>
      <c r="I932">
        <v>15.5</v>
      </c>
      <c r="J932" s="110">
        <v>930</v>
      </c>
      <c r="K932" t="s">
        <v>1505</v>
      </c>
      <c r="L932">
        <f>IF(Table_TRM_Fixtures[[#This Row],[Technology]]="LED", Table_TRM_Fixtures[[#This Row],[Fixture Watts  (TRM Data)]], Table_TRM_Fixtures[[#This Row],[Lamp Watts  (TRM Data)]])</f>
        <v>25</v>
      </c>
      <c r="M932">
        <f>Table_TRM_Fixtures[[#This Row],[No. of Lamps  (TRM Data)]]</f>
        <v>2</v>
      </c>
      <c r="N932">
        <v>36</v>
      </c>
      <c r="O932" t="s">
        <v>1381</v>
      </c>
      <c r="P932" t="s">
        <v>187</v>
      </c>
      <c r="Q932" t="s">
        <v>5614</v>
      </c>
      <c r="R932" t="str">
        <f>_xlfn.CONCAT(Table_TRM_Fixtures[[#This Row],[Technology]], " ", Table_TRM_Fixtures[[#This Row],[Ballast Code]], " Ballast")</f>
        <v>T8 Electronic RLO Ballast</v>
      </c>
      <c r="S932" t="str">
        <f>Table_TRM_Fixtures[[#This Row],[Description  (TRM Data)]]</f>
        <v>Fluorescent, (2) 36", T-8 lamps, (2) Instant Start Ballasts, RLO (BF&lt; 0.85)</v>
      </c>
      <c r="T932" t="str">
        <f>Table_TRM_Fixtures[[#This Row],[Fixture code  (TRM Data)]]</f>
        <v>F32ILL/2-R</v>
      </c>
      <c r="U932" t="s">
        <v>2883</v>
      </c>
      <c r="V932" t="s">
        <v>5562</v>
      </c>
      <c r="W932" t="s">
        <v>3120</v>
      </c>
      <c r="X932" t="s">
        <v>186</v>
      </c>
      <c r="AA932">
        <f>IF(Table_TRM_Fixtures[[#This Row],[Pre-EISA Baseline]]="Nominal", Table_TRM_Fixtures[[#This Row],[Fixture Watts  (TRM Data)]], Table_TRM_Fixtures[[#This Row],[Modified Baseline Fixture Watts]])</f>
        <v>44</v>
      </c>
    </row>
    <row r="933" spans="1:27" x14ac:dyDescent="0.2">
      <c r="A933" t="s">
        <v>1641</v>
      </c>
      <c r="B933" t="s">
        <v>5626</v>
      </c>
      <c r="C933" t="s">
        <v>1640</v>
      </c>
      <c r="D933" t="s">
        <v>5630</v>
      </c>
      <c r="E933" t="s">
        <v>187</v>
      </c>
      <c r="F933">
        <v>2</v>
      </c>
      <c r="G933">
        <v>25</v>
      </c>
      <c r="H933">
        <v>44</v>
      </c>
      <c r="I933">
        <v>15.5</v>
      </c>
      <c r="J933" s="110">
        <v>931</v>
      </c>
      <c r="K933" t="s">
        <v>1505</v>
      </c>
      <c r="L933">
        <f>IF(Table_TRM_Fixtures[[#This Row],[Technology]]="LED", Table_TRM_Fixtures[[#This Row],[Fixture Watts  (TRM Data)]], Table_TRM_Fixtures[[#This Row],[Lamp Watts  (TRM Data)]])</f>
        <v>25</v>
      </c>
      <c r="M933">
        <f>Table_TRM_Fixtures[[#This Row],[No. of Lamps  (TRM Data)]]</f>
        <v>2</v>
      </c>
      <c r="N933">
        <v>36</v>
      </c>
      <c r="O933" t="s">
        <v>1381</v>
      </c>
      <c r="P933" t="s">
        <v>187</v>
      </c>
      <c r="Q933" t="s">
        <v>5612</v>
      </c>
      <c r="R933" t="str">
        <f>_xlfn.CONCAT(Table_TRM_Fixtures[[#This Row],[Technology]], " ", Table_TRM_Fixtures[[#This Row],[Ballast Code]], " Ballast")</f>
        <v>T8 Electronic STD Ballast</v>
      </c>
      <c r="S933" t="str">
        <f>Table_TRM_Fixtures[[#This Row],[Description  (TRM Data)]]</f>
        <v>Fluorescent, (2) 36", T-8 lamps, Tandem 4-lamp IS Ballast, NLO (0.85 &lt; BF &lt; 0.95)</v>
      </c>
      <c r="T933" t="str">
        <f>Table_TRM_Fixtures[[#This Row],[Fixture code  (TRM Data)]]</f>
        <v>F32ILL/T4</v>
      </c>
      <c r="U933" t="s">
        <v>2883</v>
      </c>
      <c r="V933" t="s">
        <v>5562</v>
      </c>
      <c r="W933" t="s">
        <v>3120</v>
      </c>
      <c r="X933" t="s">
        <v>186</v>
      </c>
      <c r="AA933">
        <f>IF(Table_TRM_Fixtures[[#This Row],[Pre-EISA Baseline]]="Nominal", Table_TRM_Fixtures[[#This Row],[Fixture Watts  (TRM Data)]], Table_TRM_Fixtures[[#This Row],[Modified Baseline Fixture Watts]])</f>
        <v>44</v>
      </c>
    </row>
    <row r="934" spans="1:27" x14ac:dyDescent="0.2">
      <c r="A934" t="s">
        <v>1643</v>
      </c>
      <c r="B934" t="s">
        <v>5626</v>
      </c>
      <c r="C934" t="s">
        <v>1642</v>
      </c>
      <c r="D934" t="s">
        <v>5632</v>
      </c>
      <c r="E934" t="s">
        <v>187</v>
      </c>
      <c r="F934">
        <v>2</v>
      </c>
      <c r="G934">
        <v>25</v>
      </c>
      <c r="H934">
        <v>39</v>
      </c>
      <c r="I934">
        <v>15.5</v>
      </c>
      <c r="J934" s="110">
        <v>932</v>
      </c>
      <c r="K934" t="s">
        <v>1505</v>
      </c>
      <c r="L934">
        <f>IF(Table_TRM_Fixtures[[#This Row],[Technology]]="LED", Table_TRM_Fixtures[[#This Row],[Fixture Watts  (TRM Data)]], Table_TRM_Fixtures[[#This Row],[Lamp Watts  (TRM Data)]])</f>
        <v>25</v>
      </c>
      <c r="M934">
        <f>Table_TRM_Fixtures[[#This Row],[No. of Lamps  (TRM Data)]]</f>
        <v>2</v>
      </c>
      <c r="N934">
        <v>36</v>
      </c>
      <c r="O934" t="s">
        <v>1381</v>
      </c>
      <c r="P934" t="s">
        <v>187</v>
      </c>
      <c r="Q934" t="s">
        <v>5614</v>
      </c>
      <c r="R934" t="str">
        <f>_xlfn.CONCAT(Table_TRM_Fixtures[[#This Row],[Technology]], " ", Table_TRM_Fixtures[[#This Row],[Ballast Code]], " Ballast")</f>
        <v>T8 Electronic RLO Ballast</v>
      </c>
      <c r="S934" t="str">
        <f>Table_TRM_Fixtures[[#This Row],[Description  (TRM Data)]]</f>
        <v>Fluorescent, (2) 36", T-8 lamps, Tandem 4-lamp IS Ballast, RLO (BF&lt; 0.85)</v>
      </c>
      <c r="T934" t="str">
        <f>Table_TRM_Fixtures[[#This Row],[Fixture code  (TRM Data)]]</f>
        <v>F32ILL/T4-R</v>
      </c>
      <c r="U934" t="s">
        <v>2883</v>
      </c>
      <c r="V934" t="s">
        <v>5562</v>
      </c>
      <c r="W934" t="s">
        <v>3120</v>
      </c>
      <c r="X934" t="s">
        <v>186</v>
      </c>
      <c r="AA934">
        <f>IF(Table_TRM_Fixtures[[#This Row],[Pre-EISA Baseline]]="Nominal", Table_TRM_Fixtures[[#This Row],[Fixture Watts  (TRM Data)]], Table_TRM_Fixtures[[#This Row],[Modified Baseline Fixture Watts]])</f>
        <v>39</v>
      </c>
    </row>
    <row r="935" spans="1:27" x14ac:dyDescent="0.2">
      <c r="A935" t="s">
        <v>1644</v>
      </c>
      <c r="B935" t="s">
        <v>5626</v>
      </c>
      <c r="C935" t="s">
        <v>1632</v>
      </c>
      <c r="D935" t="s">
        <v>5630</v>
      </c>
      <c r="E935" t="s">
        <v>187</v>
      </c>
      <c r="F935">
        <v>2</v>
      </c>
      <c r="G935">
        <v>25</v>
      </c>
      <c r="H935">
        <v>44</v>
      </c>
      <c r="I935">
        <v>15.5</v>
      </c>
      <c r="J935" s="110">
        <v>933</v>
      </c>
      <c r="K935" t="s">
        <v>1505</v>
      </c>
      <c r="L935">
        <f>IF(Table_TRM_Fixtures[[#This Row],[Technology]]="LED", Table_TRM_Fixtures[[#This Row],[Fixture Watts  (TRM Data)]], Table_TRM_Fixtures[[#This Row],[Lamp Watts  (TRM Data)]])</f>
        <v>25</v>
      </c>
      <c r="M935">
        <f>Table_TRM_Fixtures[[#This Row],[No. of Lamps  (TRM Data)]]</f>
        <v>2</v>
      </c>
      <c r="N935">
        <v>36</v>
      </c>
      <c r="O935" t="s">
        <v>1381</v>
      </c>
      <c r="P935" t="s">
        <v>187</v>
      </c>
      <c r="Q935" t="s">
        <v>5612</v>
      </c>
      <c r="R935" t="str">
        <f>_xlfn.CONCAT(Table_TRM_Fixtures[[#This Row],[Technology]], " ", Table_TRM_Fixtures[[#This Row],[Ballast Code]], " Ballast")</f>
        <v>T8 Electronic STD Ballast</v>
      </c>
      <c r="S935" t="str">
        <f>Table_TRM_Fixtures[[#This Row],[Description  (TRM Data)]]</f>
        <v>Fluorescent, (2) 36", T-8 lamps, Instant Start Ballast, NLO (0.85 &lt; BF &lt; 0.95)</v>
      </c>
      <c r="T935" t="str">
        <f>Table_TRM_Fixtures[[#This Row],[Fixture code  (TRM Data)]]</f>
        <v>F32ILU</v>
      </c>
      <c r="U935" t="s">
        <v>2883</v>
      </c>
      <c r="V935" t="s">
        <v>5562</v>
      </c>
      <c r="W935" t="s">
        <v>3120</v>
      </c>
      <c r="X935" t="s">
        <v>186</v>
      </c>
      <c r="AA935">
        <f>IF(Table_TRM_Fixtures[[#This Row],[Pre-EISA Baseline]]="Nominal", Table_TRM_Fixtures[[#This Row],[Fixture Watts  (TRM Data)]], Table_TRM_Fixtures[[#This Row],[Modified Baseline Fixture Watts]])</f>
        <v>44</v>
      </c>
    </row>
    <row r="936" spans="1:27" x14ac:dyDescent="0.2">
      <c r="A936" t="s">
        <v>1645</v>
      </c>
      <c r="B936" t="s">
        <v>5626</v>
      </c>
      <c r="C936" t="s">
        <v>1636</v>
      </c>
      <c r="D936" t="s">
        <v>5632</v>
      </c>
      <c r="E936" t="s">
        <v>187</v>
      </c>
      <c r="F936">
        <v>2</v>
      </c>
      <c r="G936">
        <v>25</v>
      </c>
      <c r="H936">
        <v>39</v>
      </c>
      <c r="I936">
        <v>15.5</v>
      </c>
      <c r="J936" s="110">
        <v>934</v>
      </c>
      <c r="K936" t="s">
        <v>1505</v>
      </c>
      <c r="L936">
        <f>IF(Table_TRM_Fixtures[[#This Row],[Technology]]="LED", Table_TRM_Fixtures[[#This Row],[Fixture Watts  (TRM Data)]], Table_TRM_Fixtures[[#This Row],[Lamp Watts  (TRM Data)]])</f>
        <v>25</v>
      </c>
      <c r="M936">
        <f>Table_TRM_Fixtures[[#This Row],[No. of Lamps  (TRM Data)]]</f>
        <v>2</v>
      </c>
      <c r="N936">
        <v>36</v>
      </c>
      <c r="O936" t="s">
        <v>1381</v>
      </c>
      <c r="P936" t="s">
        <v>187</v>
      </c>
      <c r="Q936" t="s">
        <v>5614</v>
      </c>
      <c r="R936" t="str">
        <f>_xlfn.CONCAT(Table_TRM_Fixtures[[#This Row],[Technology]], " ", Table_TRM_Fixtures[[#This Row],[Ballast Code]], " Ballast")</f>
        <v>T8 Electronic RLO Ballast</v>
      </c>
      <c r="S936" t="str">
        <f>Table_TRM_Fixtures[[#This Row],[Description  (TRM Data)]]</f>
        <v>Fluorescent, (2) 36", T-8 lamps, Instant Start Ballast, RLO (BF&lt; 0.85)</v>
      </c>
      <c r="T936" t="str">
        <f>Table_TRM_Fixtures[[#This Row],[Fixture code  (TRM Data)]]</f>
        <v>F32ILU-R</v>
      </c>
      <c r="U936" t="s">
        <v>2883</v>
      </c>
      <c r="V936" t="s">
        <v>5562</v>
      </c>
      <c r="W936" t="s">
        <v>3120</v>
      </c>
      <c r="X936" t="s">
        <v>186</v>
      </c>
      <c r="AA936">
        <f>IF(Table_TRM_Fixtures[[#This Row],[Pre-EISA Baseline]]="Nominal", Table_TRM_Fixtures[[#This Row],[Fixture Watts  (TRM Data)]], Table_TRM_Fixtures[[#This Row],[Modified Baseline Fixture Watts]])</f>
        <v>39</v>
      </c>
    </row>
    <row r="937" spans="1:27" x14ac:dyDescent="0.2">
      <c r="A937" t="s">
        <v>1646</v>
      </c>
      <c r="B937" t="s">
        <v>5626</v>
      </c>
      <c r="C937" t="s">
        <v>1642</v>
      </c>
      <c r="D937" t="s">
        <v>5632</v>
      </c>
      <c r="E937" t="s">
        <v>187</v>
      </c>
      <c r="F937">
        <v>2</v>
      </c>
      <c r="G937">
        <v>25</v>
      </c>
      <c r="H937">
        <v>39</v>
      </c>
      <c r="I937">
        <v>15.5</v>
      </c>
      <c r="J937" s="110">
        <v>935</v>
      </c>
      <c r="K937" t="s">
        <v>1505</v>
      </c>
      <c r="L937">
        <f>IF(Table_TRM_Fixtures[[#This Row],[Technology]]="LED", Table_TRM_Fixtures[[#This Row],[Fixture Watts  (TRM Data)]], Table_TRM_Fixtures[[#This Row],[Lamp Watts  (TRM Data)]])</f>
        <v>25</v>
      </c>
      <c r="M937">
        <f>Table_TRM_Fixtures[[#This Row],[No. of Lamps  (TRM Data)]]</f>
        <v>2</v>
      </c>
      <c r="N937">
        <v>36</v>
      </c>
      <c r="O937" t="s">
        <v>1381</v>
      </c>
      <c r="P937" t="s">
        <v>187</v>
      </c>
      <c r="Q937" t="s">
        <v>5614</v>
      </c>
      <c r="R937" t="str">
        <f>_xlfn.CONCAT(Table_TRM_Fixtures[[#This Row],[Technology]], " ", Table_TRM_Fixtures[[#This Row],[Ballast Code]], " Ballast")</f>
        <v>T8 Electronic RLO Ballast</v>
      </c>
      <c r="S937" t="str">
        <f>Table_TRM_Fixtures[[#This Row],[Description  (TRM Data)]]</f>
        <v>Fluorescent, (2) 36", T-8 lamps, Tandem 4-lamp IS Ballast, RLO (BF&lt; 0.85)</v>
      </c>
      <c r="T937" t="str">
        <f>Table_TRM_Fixtures[[#This Row],[Fixture code  (TRM Data)]]</f>
        <v>F32ILU/T4-R</v>
      </c>
      <c r="U937" t="s">
        <v>2883</v>
      </c>
      <c r="V937" t="s">
        <v>5562</v>
      </c>
      <c r="W937" t="s">
        <v>3120</v>
      </c>
      <c r="X937" t="s">
        <v>186</v>
      </c>
      <c r="AA937">
        <f>IF(Table_TRM_Fixtures[[#This Row],[Pre-EISA Baseline]]="Nominal", Table_TRM_Fixtures[[#This Row],[Fixture Watts  (TRM Data)]], Table_TRM_Fixtures[[#This Row],[Modified Baseline Fixture Watts]])</f>
        <v>39</v>
      </c>
    </row>
    <row r="938" spans="1:27" x14ac:dyDescent="0.2">
      <c r="A938" t="s">
        <v>1648</v>
      </c>
      <c r="B938" t="s">
        <v>5626</v>
      </c>
      <c r="C938" t="s">
        <v>1647</v>
      </c>
      <c r="D938" t="s">
        <v>5630</v>
      </c>
      <c r="E938" t="s">
        <v>187</v>
      </c>
      <c r="F938">
        <v>2</v>
      </c>
      <c r="G938">
        <v>25</v>
      </c>
      <c r="H938">
        <v>46</v>
      </c>
      <c r="I938">
        <v>15.5</v>
      </c>
      <c r="J938" s="110">
        <v>936</v>
      </c>
      <c r="K938" t="s">
        <v>1505</v>
      </c>
      <c r="L938">
        <f>IF(Table_TRM_Fixtures[[#This Row],[Technology]]="LED", Table_TRM_Fixtures[[#This Row],[Fixture Watts  (TRM Data)]], Table_TRM_Fixtures[[#This Row],[Lamp Watts  (TRM Data)]])</f>
        <v>25</v>
      </c>
      <c r="M938">
        <f>Table_TRM_Fixtures[[#This Row],[No. of Lamps  (TRM Data)]]</f>
        <v>2</v>
      </c>
      <c r="N938">
        <v>36</v>
      </c>
      <c r="O938" t="s">
        <v>1381</v>
      </c>
      <c r="P938" t="s">
        <v>187</v>
      </c>
      <c r="Q938" t="s">
        <v>5612</v>
      </c>
      <c r="R938" t="str">
        <f>_xlfn.CONCAT(Table_TRM_Fixtures[[#This Row],[Technology]], " ", Table_TRM_Fixtures[[#This Row],[Ballast Code]], " Ballast")</f>
        <v>T8 Electronic STD Ballast</v>
      </c>
      <c r="S938" t="str">
        <f>Table_TRM_Fixtures[[#This Row],[Description  (TRM Data)]]</f>
        <v>Fluorescent, (2) 36", T-8 lamps, Rapid Start Ballast, NLO (0.85 &lt; BF &lt; 0.95)</v>
      </c>
      <c r="T938" t="str">
        <f>Table_TRM_Fixtures[[#This Row],[Fixture code  (TRM Data)]]</f>
        <v>F32LL</v>
      </c>
      <c r="U938" t="s">
        <v>2883</v>
      </c>
      <c r="V938" t="s">
        <v>5562</v>
      </c>
      <c r="W938" t="s">
        <v>3120</v>
      </c>
      <c r="X938" t="s">
        <v>186</v>
      </c>
      <c r="AA938">
        <f>IF(Table_TRM_Fixtures[[#This Row],[Pre-EISA Baseline]]="Nominal", Table_TRM_Fixtures[[#This Row],[Fixture Watts  (TRM Data)]], Table_TRM_Fixtures[[#This Row],[Modified Baseline Fixture Watts]])</f>
        <v>46</v>
      </c>
    </row>
    <row r="939" spans="1:27" x14ac:dyDescent="0.2">
      <c r="A939" t="s">
        <v>1650</v>
      </c>
      <c r="B939" t="s">
        <v>5626</v>
      </c>
      <c r="C939" t="s">
        <v>1649</v>
      </c>
      <c r="D939" t="s">
        <v>5631</v>
      </c>
      <c r="E939" t="s">
        <v>187</v>
      </c>
      <c r="F939">
        <v>2</v>
      </c>
      <c r="G939">
        <v>25</v>
      </c>
      <c r="H939">
        <v>50</v>
      </c>
      <c r="I939">
        <v>15.5</v>
      </c>
      <c r="J939" s="110">
        <v>937</v>
      </c>
      <c r="K939" t="s">
        <v>1505</v>
      </c>
      <c r="L939">
        <f>IF(Table_TRM_Fixtures[[#This Row],[Technology]]="LED", Table_TRM_Fixtures[[#This Row],[Fixture Watts  (TRM Data)]], Table_TRM_Fixtures[[#This Row],[Lamp Watts  (TRM Data)]])</f>
        <v>25</v>
      </c>
      <c r="M939">
        <f>Table_TRM_Fixtures[[#This Row],[No. of Lamps  (TRM Data)]]</f>
        <v>2</v>
      </c>
      <c r="N939">
        <v>36</v>
      </c>
      <c r="O939" t="s">
        <v>1381</v>
      </c>
      <c r="P939" t="s">
        <v>187</v>
      </c>
      <c r="Q939" t="s">
        <v>5566</v>
      </c>
      <c r="R939" t="str">
        <f>_xlfn.CONCAT(Table_TRM_Fixtures[[#This Row],[Technology]], " ", Table_TRM_Fixtures[[#This Row],[Ballast Code]], " Ballast")</f>
        <v>T8 Electronic HLO Ballast</v>
      </c>
      <c r="S939" t="str">
        <f>Table_TRM_Fixtures[[#This Row],[Description  (TRM Data)]]</f>
        <v>Fluorescent, (2) 36", T-8 lamps, Rapid Start Ballast, HLO (0.95 &lt; BF &lt; 1.1)</v>
      </c>
      <c r="T939" t="str">
        <f>Table_TRM_Fixtures[[#This Row],[Fixture code  (TRM Data)]]</f>
        <v>F32LL-H</v>
      </c>
      <c r="U939" t="s">
        <v>2883</v>
      </c>
      <c r="V939" t="s">
        <v>5562</v>
      </c>
      <c r="W939" t="s">
        <v>3120</v>
      </c>
      <c r="X939" t="s">
        <v>186</v>
      </c>
      <c r="AA939">
        <f>IF(Table_TRM_Fixtures[[#This Row],[Pre-EISA Baseline]]="Nominal", Table_TRM_Fixtures[[#This Row],[Fixture Watts  (TRM Data)]], Table_TRM_Fixtures[[#This Row],[Modified Baseline Fixture Watts]])</f>
        <v>50</v>
      </c>
    </row>
    <row r="940" spans="1:27" x14ac:dyDescent="0.2">
      <c r="A940" t="s">
        <v>1652</v>
      </c>
      <c r="B940" t="s">
        <v>5626</v>
      </c>
      <c r="C940" t="s">
        <v>1651</v>
      </c>
      <c r="D940" t="s">
        <v>5632</v>
      </c>
      <c r="E940" t="s">
        <v>187</v>
      </c>
      <c r="F940">
        <v>2</v>
      </c>
      <c r="G940">
        <v>25</v>
      </c>
      <c r="H940">
        <v>42</v>
      </c>
      <c r="I940">
        <v>15.5</v>
      </c>
      <c r="J940" s="110">
        <v>938</v>
      </c>
      <c r="K940" t="s">
        <v>1505</v>
      </c>
      <c r="L940">
        <f>IF(Table_TRM_Fixtures[[#This Row],[Technology]]="LED", Table_TRM_Fixtures[[#This Row],[Fixture Watts  (TRM Data)]], Table_TRM_Fixtures[[#This Row],[Lamp Watts  (TRM Data)]])</f>
        <v>25</v>
      </c>
      <c r="M940">
        <f>Table_TRM_Fixtures[[#This Row],[No. of Lamps  (TRM Data)]]</f>
        <v>2</v>
      </c>
      <c r="N940">
        <v>36</v>
      </c>
      <c r="O940" t="s">
        <v>1381</v>
      </c>
      <c r="P940" t="s">
        <v>187</v>
      </c>
      <c r="Q940" t="s">
        <v>5614</v>
      </c>
      <c r="R940" t="str">
        <f>_xlfn.CONCAT(Table_TRM_Fixtures[[#This Row],[Technology]], " ", Table_TRM_Fixtures[[#This Row],[Ballast Code]], " Ballast")</f>
        <v>T8 Electronic RLO Ballast</v>
      </c>
      <c r="S940" t="str">
        <f>Table_TRM_Fixtures[[#This Row],[Description  (TRM Data)]]</f>
        <v>Fluorescent, (2) 36", T-8 lamps, Rapid Start Ballast, RLO (BF&lt; 0.85)</v>
      </c>
      <c r="T940" t="str">
        <f>Table_TRM_Fixtures[[#This Row],[Fixture code  (TRM Data)]]</f>
        <v>F32LL-R</v>
      </c>
      <c r="U940" t="s">
        <v>2883</v>
      </c>
      <c r="V940" t="s">
        <v>5562</v>
      </c>
      <c r="W940" t="s">
        <v>3120</v>
      </c>
      <c r="X940" t="s">
        <v>186</v>
      </c>
      <c r="AA940">
        <f>IF(Table_TRM_Fixtures[[#This Row],[Pre-EISA Baseline]]="Nominal", Table_TRM_Fixtures[[#This Row],[Fixture Watts  (TRM Data)]], Table_TRM_Fixtures[[#This Row],[Modified Baseline Fixture Watts]])</f>
        <v>42</v>
      </c>
    </row>
    <row r="941" spans="1:27" x14ac:dyDescent="0.2">
      <c r="A941" t="s">
        <v>1654</v>
      </c>
      <c r="B941" t="s">
        <v>5626</v>
      </c>
      <c r="C941" t="s">
        <v>1653</v>
      </c>
      <c r="D941" t="s">
        <v>5633</v>
      </c>
      <c r="E941" t="s">
        <v>187</v>
      </c>
      <c r="F941">
        <v>2</v>
      </c>
      <c r="G941">
        <v>25</v>
      </c>
      <c r="H941">
        <v>70</v>
      </c>
      <c r="I941">
        <v>15.5</v>
      </c>
      <c r="J941" s="110">
        <v>939</v>
      </c>
      <c r="K941" t="s">
        <v>1505</v>
      </c>
      <c r="L941">
        <f>IF(Table_TRM_Fixtures[[#This Row],[Technology]]="LED", Table_TRM_Fixtures[[#This Row],[Fixture Watts  (TRM Data)]], Table_TRM_Fixtures[[#This Row],[Lamp Watts  (TRM Data)]])</f>
        <v>25</v>
      </c>
      <c r="M941">
        <f>Table_TRM_Fixtures[[#This Row],[No. of Lamps  (TRM Data)]]</f>
        <v>2</v>
      </c>
      <c r="N941">
        <v>36</v>
      </c>
      <c r="O941" t="s">
        <v>1381</v>
      </c>
      <c r="P941" t="s">
        <v>187</v>
      </c>
      <c r="Q941" t="s">
        <v>5616</v>
      </c>
      <c r="R941" t="str">
        <f>_xlfn.CONCAT(Table_TRM_Fixtures[[#This Row],[Technology]], " ", Table_TRM_Fixtures[[#This Row],[Ballast Code]], " Ballast")</f>
        <v>T8 Electronic VHLO Ballast</v>
      </c>
      <c r="S941" t="str">
        <f>Table_TRM_Fixtures[[#This Row],[Description  (TRM Data)]]</f>
        <v>Fluorescent, (2) 36", T-8 lamps, Rapid Start Ballast, VHLO (BF &gt; 1.1)</v>
      </c>
      <c r="T941" t="str">
        <f>Table_TRM_Fixtures[[#This Row],[Fixture code  (TRM Data)]]</f>
        <v>F32LL-V</v>
      </c>
      <c r="U941" t="s">
        <v>2883</v>
      </c>
      <c r="V941" t="s">
        <v>5562</v>
      </c>
      <c r="W941" t="s">
        <v>3120</v>
      </c>
      <c r="X941" t="s">
        <v>186</v>
      </c>
      <c r="AA941">
        <f>IF(Table_TRM_Fixtures[[#This Row],[Pre-EISA Baseline]]="Nominal", Table_TRM_Fixtures[[#This Row],[Fixture Watts  (TRM Data)]], Table_TRM_Fixtures[[#This Row],[Modified Baseline Fixture Watts]])</f>
        <v>70</v>
      </c>
    </row>
    <row r="942" spans="1:27" x14ac:dyDescent="0.2">
      <c r="A942" t="s">
        <v>1656</v>
      </c>
      <c r="B942" t="s">
        <v>5626</v>
      </c>
      <c r="C942" t="s">
        <v>1655</v>
      </c>
      <c r="D942" t="s">
        <v>5630</v>
      </c>
      <c r="E942" t="s">
        <v>187</v>
      </c>
      <c r="F942">
        <v>2</v>
      </c>
      <c r="G942">
        <v>25</v>
      </c>
      <c r="H942">
        <v>45</v>
      </c>
      <c r="I942">
        <v>15.5</v>
      </c>
      <c r="J942" s="110">
        <v>940</v>
      </c>
      <c r="K942" t="s">
        <v>1505</v>
      </c>
      <c r="L942">
        <f>IF(Table_TRM_Fixtures[[#This Row],[Technology]]="LED", Table_TRM_Fixtures[[#This Row],[Fixture Watts  (TRM Data)]], Table_TRM_Fixtures[[#This Row],[Lamp Watts  (TRM Data)]])</f>
        <v>25</v>
      </c>
      <c r="M942">
        <f>Table_TRM_Fixtures[[#This Row],[No. of Lamps  (TRM Data)]]</f>
        <v>2</v>
      </c>
      <c r="N942">
        <v>36</v>
      </c>
      <c r="O942" t="s">
        <v>1381</v>
      </c>
      <c r="P942" t="s">
        <v>187</v>
      </c>
      <c r="Q942" t="s">
        <v>5612</v>
      </c>
      <c r="R942" t="str">
        <f>_xlfn.CONCAT(Table_TRM_Fixtures[[#This Row],[Technology]], " ", Table_TRM_Fixtures[[#This Row],[Ballast Code]], " Ballast")</f>
        <v>T8 Electronic STD Ballast</v>
      </c>
      <c r="S942" t="str">
        <f>Table_TRM_Fixtures[[#This Row],[Description  (TRM Data)]]</f>
        <v>Fluorescent, (2) 36", T-8 lamps, Tandem 4-lamp RS Ballast, NLO (0.85 &lt; BF &lt; 0.95)</v>
      </c>
      <c r="T942" t="str">
        <f>Table_TRM_Fixtures[[#This Row],[Fixture code  (TRM Data)]]</f>
        <v>F32LL/T4</v>
      </c>
      <c r="U942" t="s">
        <v>2883</v>
      </c>
      <c r="V942" t="s">
        <v>5562</v>
      </c>
      <c r="W942" t="s">
        <v>3120</v>
      </c>
      <c r="X942" t="s">
        <v>186</v>
      </c>
      <c r="AA942">
        <f>IF(Table_TRM_Fixtures[[#This Row],[Pre-EISA Baseline]]="Nominal", Table_TRM_Fixtures[[#This Row],[Fixture Watts  (TRM Data)]], Table_TRM_Fixtures[[#This Row],[Modified Baseline Fixture Watts]])</f>
        <v>45</v>
      </c>
    </row>
    <row r="943" spans="1:27" x14ac:dyDescent="0.2">
      <c r="A943" t="s">
        <v>1658</v>
      </c>
      <c r="B943" t="s">
        <v>5626</v>
      </c>
      <c r="C943" t="s">
        <v>1657</v>
      </c>
      <c r="D943" t="s">
        <v>5634</v>
      </c>
      <c r="E943" t="s">
        <v>187</v>
      </c>
      <c r="F943">
        <v>3</v>
      </c>
      <c r="G943">
        <v>25</v>
      </c>
      <c r="H943">
        <v>68</v>
      </c>
      <c r="I943">
        <v>15.5</v>
      </c>
      <c r="J943" s="110">
        <v>941</v>
      </c>
      <c r="K943" t="s">
        <v>1505</v>
      </c>
      <c r="L943">
        <f>IF(Table_TRM_Fixtures[[#This Row],[Technology]]="LED", Table_TRM_Fixtures[[#This Row],[Fixture Watts  (TRM Data)]], Table_TRM_Fixtures[[#This Row],[Lamp Watts  (TRM Data)]])</f>
        <v>25</v>
      </c>
      <c r="M943">
        <f>Table_TRM_Fixtures[[#This Row],[No. of Lamps  (TRM Data)]]</f>
        <v>3</v>
      </c>
      <c r="N943">
        <v>36</v>
      </c>
      <c r="O943" t="s">
        <v>1381</v>
      </c>
      <c r="P943" t="s">
        <v>187</v>
      </c>
      <c r="Q943" t="s">
        <v>5612</v>
      </c>
      <c r="R943" t="str">
        <f>_xlfn.CONCAT(Table_TRM_Fixtures[[#This Row],[Technology]], " ", Table_TRM_Fixtures[[#This Row],[Ballast Code]], " Ballast")</f>
        <v>T8 Electronic STD Ballast</v>
      </c>
      <c r="S943" t="str">
        <f>Table_TRM_Fixtures[[#This Row],[Description  (TRM Data)]]</f>
        <v>Fluorescent, (3) 36", T-8 lamps, Instant Start Ballast, NLO (0.85 &lt; BF &lt; 0.95)</v>
      </c>
      <c r="T943" t="str">
        <f>Table_TRM_Fixtures[[#This Row],[Fixture code  (TRM Data)]]</f>
        <v>F33ILL</v>
      </c>
      <c r="U943" t="s">
        <v>2883</v>
      </c>
      <c r="V943" t="s">
        <v>5562</v>
      </c>
      <c r="W943" t="s">
        <v>3120</v>
      </c>
      <c r="X943" t="s">
        <v>186</v>
      </c>
      <c r="AA943">
        <f>IF(Table_TRM_Fixtures[[#This Row],[Pre-EISA Baseline]]="Nominal", Table_TRM_Fixtures[[#This Row],[Fixture Watts  (TRM Data)]], Table_TRM_Fixtures[[#This Row],[Modified Baseline Fixture Watts]])</f>
        <v>68</v>
      </c>
    </row>
    <row r="944" spans="1:27" x14ac:dyDescent="0.2">
      <c r="A944" t="s">
        <v>1660</v>
      </c>
      <c r="B944" t="s">
        <v>5626</v>
      </c>
      <c r="C944" t="s">
        <v>1659</v>
      </c>
      <c r="D944" t="s">
        <v>5635</v>
      </c>
      <c r="E944" t="s">
        <v>187</v>
      </c>
      <c r="F944">
        <v>3</v>
      </c>
      <c r="G944">
        <v>25</v>
      </c>
      <c r="H944">
        <v>61</v>
      </c>
      <c r="I944">
        <v>15.5</v>
      </c>
      <c r="J944" s="110">
        <v>942</v>
      </c>
      <c r="K944" t="s">
        <v>1505</v>
      </c>
      <c r="L944">
        <f>IF(Table_TRM_Fixtures[[#This Row],[Technology]]="LED", Table_TRM_Fixtures[[#This Row],[Fixture Watts  (TRM Data)]], Table_TRM_Fixtures[[#This Row],[Lamp Watts  (TRM Data)]])</f>
        <v>25</v>
      </c>
      <c r="M944">
        <f>Table_TRM_Fixtures[[#This Row],[No. of Lamps  (TRM Data)]]</f>
        <v>3</v>
      </c>
      <c r="N944">
        <v>36</v>
      </c>
      <c r="O944" t="s">
        <v>1381</v>
      </c>
      <c r="P944" t="s">
        <v>187</v>
      </c>
      <c r="Q944" t="s">
        <v>5614</v>
      </c>
      <c r="R944" t="str">
        <f>_xlfn.CONCAT(Table_TRM_Fixtures[[#This Row],[Technology]], " ", Table_TRM_Fixtures[[#This Row],[Ballast Code]], " Ballast")</f>
        <v>T8 Electronic RLO Ballast</v>
      </c>
      <c r="S944" t="str">
        <f>Table_TRM_Fixtures[[#This Row],[Description  (TRM Data)]]</f>
        <v>Fluorescent, (3) 36", T-8 lamps, Instant Start Ballast, RLO (BF&lt; 0.85)</v>
      </c>
      <c r="T944" t="str">
        <f>Table_TRM_Fixtures[[#This Row],[Fixture code  (TRM Data)]]</f>
        <v>F33ILL-R</v>
      </c>
      <c r="U944" t="s">
        <v>2883</v>
      </c>
      <c r="V944" t="s">
        <v>5562</v>
      </c>
      <c r="W944" t="s">
        <v>3120</v>
      </c>
      <c r="X944" t="s">
        <v>186</v>
      </c>
      <c r="AA944">
        <f>IF(Table_TRM_Fixtures[[#This Row],[Pre-EISA Baseline]]="Nominal", Table_TRM_Fixtures[[#This Row],[Fixture Watts  (TRM Data)]], Table_TRM_Fixtures[[#This Row],[Modified Baseline Fixture Watts]])</f>
        <v>61</v>
      </c>
    </row>
    <row r="945" spans="1:27" x14ac:dyDescent="0.2">
      <c r="A945" t="s">
        <v>1661</v>
      </c>
      <c r="B945" t="s">
        <v>5626</v>
      </c>
      <c r="C945" t="s">
        <v>1657</v>
      </c>
      <c r="D945" t="s">
        <v>5634</v>
      </c>
      <c r="E945" t="s">
        <v>187</v>
      </c>
      <c r="F945">
        <v>3</v>
      </c>
      <c r="G945">
        <v>25</v>
      </c>
      <c r="H945">
        <v>65</v>
      </c>
      <c r="I945">
        <v>15.5</v>
      </c>
      <c r="J945" s="110">
        <v>943</v>
      </c>
      <c r="K945" t="s">
        <v>1505</v>
      </c>
      <c r="L945">
        <f>IF(Table_TRM_Fixtures[[#This Row],[Technology]]="LED", Table_TRM_Fixtures[[#This Row],[Fixture Watts  (TRM Data)]], Table_TRM_Fixtures[[#This Row],[Lamp Watts  (TRM Data)]])</f>
        <v>25</v>
      </c>
      <c r="M945">
        <f>Table_TRM_Fixtures[[#This Row],[No. of Lamps  (TRM Data)]]</f>
        <v>3</v>
      </c>
      <c r="N945">
        <v>36</v>
      </c>
      <c r="O945" t="s">
        <v>1381</v>
      </c>
      <c r="P945" t="s">
        <v>187</v>
      </c>
      <c r="Q945" t="s">
        <v>5612</v>
      </c>
      <c r="R945" t="str">
        <f>_xlfn.CONCAT(Table_TRM_Fixtures[[#This Row],[Technology]], " ", Table_TRM_Fixtures[[#This Row],[Ballast Code]], " Ballast")</f>
        <v>T8 Electronic STD Ballast</v>
      </c>
      <c r="S945" t="str">
        <f>Table_TRM_Fixtures[[#This Row],[Description  (TRM Data)]]</f>
        <v>Fluorescent, (3) 36", T-8 lamps, Instant Start Ballast, NLO (0.85 &lt; BF &lt; 0.95)</v>
      </c>
      <c r="T945" t="str">
        <f>Table_TRM_Fixtures[[#This Row],[Fixture code  (TRM Data)]]</f>
        <v>F33ILU</v>
      </c>
      <c r="U945" t="s">
        <v>2883</v>
      </c>
      <c r="V945" t="s">
        <v>5562</v>
      </c>
      <c r="W945" t="s">
        <v>3120</v>
      </c>
      <c r="X945" t="s">
        <v>186</v>
      </c>
      <c r="AA945">
        <f>IF(Table_TRM_Fixtures[[#This Row],[Pre-EISA Baseline]]="Nominal", Table_TRM_Fixtures[[#This Row],[Fixture Watts  (TRM Data)]], Table_TRM_Fixtures[[#This Row],[Modified Baseline Fixture Watts]])</f>
        <v>65</v>
      </c>
    </row>
    <row r="946" spans="1:27" x14ac:dyDescent="0.2">
      <c r="A946" t="s">
        <v>1662</v>
      </c>
      <c r="B946" t="s">
        <v>5626</v>
      </c>
      <c r="C946" t="s">
        <v>1659</v>
      </c>
      <c r="D946" t="s">
        <v>5635</v>
      </c>
      <c r="E946" t="s">
        <v>187</v>
      </c>
      <c r="F946">
        <v>3</v>
      </c>
      <c r="G946">
        <v>25</v>
      </c>
      <c r="H946">
        <v>58</v>
      </c>
      <c r="I946">
        <v>15.5</v>
      </c>
      <c r="J946" s="110">
        <v>944</v>
      </c>
      <c r="K946" t="s">
        <v>1505</v>
      </c>
      <c r="L946">
        <f>IF(Table_TRM_Fixtures[[#This Row],[Technology]]="LED", Table_TRM_Fixtures[[#This Row],[Fixture Watts  (TRM Data)]], Table_TRM_Fixtures[[#This Row],[Lamp Watts  (TRM Data)]])</f>
        <v>25</v>
      </c>
      <c r="M946">
        <f>Table_TRM_Fixtures[[#This Row],[No. of Lamps  (TRM Data)]]</f>
        <v>3</v>
      </c>
      <c r="N946">
        <v>36</v>
      </c>
      <c r="O946" t="s">
        <v>1381</v>
      </c>
      <c r="P946" t="s">
        <v>187</v>
      </c>
      <c r="Q946" t="s">
        <v>5614</v>
      </c>
      <c r="R946" t="str">
        <f>_xlfn.CONCAT(Table_TRM_Fixtures[[#This Row],[Technology]], " ", Table_TRM_Fixtures[[#This Row],[Ballast Code]], " Ballast")</f>
        <v>T8 Electronic RLO Ballast</v>
      </c>
      <c r="S946" t="str">
        <f>Table_TRM_Fixtures[[#This Row],[Description  (TRM Data)]]</f>
        <v>Fluorescent, (3) 36", T-8 lamps, Instant Start Ballast, RLO (BF&lt; 0.85)</v>
      </c>
      <c r="T946" t="str">
        <f>Table_TRM_Fixtures[[#This Row],[Fixture code  (TRM Data)]]</f>
        <v>F33ILU-R</v>
      </c>
      <c r="U946" t="s">
        <v>2883</v>
      </c>
      <c r="V946" t="s">
        <v>5562</v>
      </c>
      <c r="W946" t="s">
        <v>3120</v>
      </c>
      <c r="X946" t="s">
        <v>186</v>
      </c>
      <c r="AA946">
        <f>IF(Table_TRM_Fixtures[[#This Row],[Pre-EISA Baseline]]="Nominal", Table_TRM_Fixtures[[#This Row],[Fixture Watts  (TRM Data)]], Table_TRM_Fixtures[[#This Row],[Modified Baseline Fixture Watts]])</f>
        <v>58</v>
      </c>
    </row>
    <row r="947" spans="1:27" x14ac:dyDescent="0.2">
      <c r="A947" t="s">
        <v>1664</v>
      </c>
      <c r="B947" t="s">
        <v>5626</v>
      </c>
      <c r="C947" t="s">
        <v>1663</v>
      </c>
      <c r="D947" t="s">
        <v>5634</v>
      </c>
      <c r="E947" t="s">
        <v>187</v>
      </c>
      <c r="F947">
        <v>3</v>
      </c>
      <c r="G947">
        <v>25</v>
      </c>
      <c r="H947">
        <v>72</v>
      </c>
      <c r="I947">
        <v>15.5</v>
      </c>
      <c r="J947" s="110">
        <v>945</v>
      </c>
      <c r="K947" t="s">
        <v>1505</v>
      </c>
      <c r="L947">
        <f>IF(Table_TRM_Fixtures[[#This Row],[Technology]]="LED", Table_TRM_Fixtures[[#This Row],[Fixture Watts  (TRM Data)]], Table_TRM_Fixtures[[#This Row],[Lamp Watts  (TRM Data)]])</f>
        <v>25</v>
      </c>
      <c r="M947">
        <f>Table_TRM_Fixtures[[#This Row],[No. of Lamps  (TRM Data)]]</f>
        <v>3</v>
      </c>
      <c r="N947">
        <v>36</v>
      </c>
      <c r="O947" t="s">
        <v>1381</v>
      </c>
      <c r="P947" t="s">
        <v>187</v>
      </c>
      <c r="Q947" t="s">
        <v>5612</v>
      </c>
      <c r="R947" t="str">
        <f>_xlfn.CONCAT(Table_TRM_Fixtures[[#This Row],[Technology]], " ", Table_TRM_Fixtures[[#This Row],[Ballast Code]], " Ballast")</f>
        <v>T8 Electronic STD Ballast</v>
      </c>
      <c r="S947" t="str">
        <f>Table_TRM_Fixtures[[#This Row],[Description  (TRM Data)]]</f>
        <v>Fluorescent, (3) 36", T-8 lamps, Rapid Start Ballast, NLO (0.85 &lt; BF &lt; 0.95)</v>
      </c>
      <c r="T947" t="str">
        <f>Table_TRM_Fixtures[[#This Row],[Fixture code  (TRM Data)]]</f>
        <v>F33LL</v>
      </c>
      <c r="U947" t="s">
        <v>2883</v>
      </c>
      <c r="V947" t="s">
        <v>5562</v>
      </c>
      <c r="W947" t="s">
        <v>3120</v>
      </c>
      <c r="X947" t="s">
        <v>186</v>
      </c>
      <c r="AA947">
        <f>IF(Table_TRM_Fixtures[[#This Row],[Pre-EISA Baseline]]="Nominal", Table_TRM_Fixtures[[#This Row],[Fixture Watts  (TRM Data)]], Table_TRM_Fixtures[[#This Row],[Modified Baseline Fixture Watts]])</f>
        <v>72</v>
      </c>
    </row>
    <row r="948" spans="1:27" x14ac:dyDescent="0.2">
      <c r="A948" t="s">
        <v>1666</v>
      </c>
      <c r="B948" t="s">
        <v>5626</v>
      </c>
      <c r="C948" t="s">
        <v>1665</v>
      </c>
      <c r="D948" t="s">
        <v>5635</v>
      </c>
      <c r="E948" t="s">
        <v>187</v>
      </c>
      <c r="F948">
        <v>3</v>
      </c>
      <c r="G948">
        <v>25</v>
      </c>
      <c r="H948">
        <v>62</v>
      </c>
      <c r="I948">
        <v>15.5</v>
      </c>
      <c r="J948" s="110">
        <v>946</v>
      </c>
      <c r="K948" t="s">
        <v>1505</v>
      </c>
      <c r="L948">
        <f>IF(Table_TRM_Fixtures[[#This Row],[Technology]]="LED", Table_TRM_Fixtures[[#This Row],[Fixture Watts  (TRM Data)]], Table_TRM_Fixtures[[#This Row],[Lamp Watts  (TRM Data)]])</f>
        <v>25</v>
      </c>
      <c r="M948">
        <f>Table_TRM_Fixtures[[#This Row],[No. of Lamps  (TRM Data)]]</f>
        <v>3</v>
      </c>
      <c r="N948">
        <v>36</v>
      </c>
      <c r="O948" t="s">
        <v>1381</v>
      </c>
      <c r="P948" t="s">
        <v>187</v>
      </c>
      <c r="Q948" t="s">
        <v>5614</v>
      </c>
      <c r="R948" t="str">
        <f>_xlfn.CONCAT(Table_TRM_Fixtures[[#This Row],[Technology]], " ", Table_TRM_Fixtures[[#This Row],[Ballast Code]], " Ballast")</f>
        <v>T8 Electronic RLO Ballast</v>
      </c>
      <c r="S948" t="str">
        <f>Table_TRM_Fixtures[[#This Row],[Description  (TRM Data)]]</f>
        <v>Fluorescent, (3) 36", T-8 lamps, Rapid Start Ballast, RLO (BF&lt; 0.85)</v>
      </c>
      <c r="T948" t="str">
        <f>Table_TRM_Fixtures[[#This Row],[Fixture code  (TRM Data)]]</f>
        <v>F33LL-R</v>
      </c>
      <c r="U948" t="s">
        <v>2883</v>
      </c>
      <c r="V948" t="s">
        <v>5562</v>
      </c>
      <c r="W948" t="s">
        <v>3120</v>
      </c>
      <c r="X948" t="s">
        <v>186</v>
      </c>
      <c r="AA948">
        <f>IF(Table_TRM_Fixtures[[#This Row],[Pre-EISA Baseline]]="Nominal", Table_TRM_Fixtures[[#This Row],[Fixture Watts  (TRM Data)]], Table_TRM_Fixtures[[#This Row],[Modified Baseline Fixture Watts]])</f>
        <v>62</v>
      </c>
    </row>
    <row r="949" spans="1:27" x14ac:dyDescent="0.2">
      <c r="A949" t="s">
        <v>1668</v>
      </c>
      <c r="B949" t="s">
        <v>5626</v>
      </c>
      <c r="C949" t="s">
        <v>1667</v>
      </c>
      <c r="D949" t="s">
        <v>5636</v>
      </c>
      <c r="E949" t="s">
        <v>187</v>
      </c>
      <c r="F949">
        <v>4</v>
      </c>
      <c r="G949">
        <v>25</v>
      </c>
      <c r="H949">
        <v>88</v>
      </c>
      <c r="I949">
        <v>15.5</v>
      </c>
      <c r="J949" s="110">
        <v>947</v>
      </c>
      <c r="K949" t="s">
        <v>1505</v>
      </c>
      <c r="L949">
        <f>IF(Table_TRM_Fixtures[[#This Row],[Technology]]="LED", Table_TRM_Fixtures[[#This Row],[Fixture Watts  (TRM Data)]], Table_TRM_Fixtures[[#This Row],[Lamp Watts  (TRM Data)]])</f>
        <v>25</v>
      </c>
      <c r="M949">
        <f>Table_TRM_Fixtures[[#This Row],[No. of Lamps  (TRM Data)]]</f>
        <v>4</v>
      </c>
      <c r="N949">
        <v>36</v>
      </c>
      <c r="O949" t="s">
        <v>1381</v>
      </c>
      <c r="P949" t="s">
        <v>187</v>
      </c>
      <c r="Q949" t="s">
        <v>5612</v>
      </c>
      <c r="R949" t="str">
        <f>_xlfn.CONCAT(Table_TRM_Fixtures[[#This Row],[Technology]], " ", Table_TRM_Fixtures[[#This Row],[Ballast Code]], " Ballast")</f>
        <v>T8 Electronic STD Ballast</v>
      </c>
      <c r="S949" t="str">
        <f>Table_TRM_Fixtures[[#This Row],[Description  (TRM Data)]]</f>
        <v>Fluorescent, (4) 36", T-8 lamps, Instant Start Ballast, NLO (0.85 &lt; BF &lt; 0.95)</v>
      </c>
      <c r="T949" t="str">
        <f>Table_TRM_Fixtures[[#This Row],[Fixture code  (TRM Data)]]</f>
        <v>F34ILL</v>
      </c>
      <c r="U949" t="s">
        <v>2883</v>
      </c>
      <c r="V949" t="s">
        <v>5562</v>
      </c>
      <c r="W949" t="s">
        <v>3120</v>
      </c>
      <c r="X949" t="s">
        <v>186</v>
      </c>
      <c r="AA949">
        <f>IF(Table_TRM_Fixtures[[#This Row],[Pre-EISA Baseline]]="Nominal", Table_TRM_Fixtures[[#This Row],[Fixture Watts  (TRM Data)]], Table_TRM_Fixtures[[#This Row],[Modified Baseline Fixture Watts]])</f>
        <v>88</v>
      </c>
    </row>
    <row r="950" spans="1:27" x14ac:dyDescent="0.2">
      <c r="A950" t="s">
        <v>1670</v>
      </c>
      <c r="B950" t="s">
        <v>5626</v>
      </c>
      <c r="C950" t="s">
        <v>1669</v>
      </c>
      <c r="D950" t="s">
        <v>5637</v>
      </c>
      <c r="E950" t="s">
        <v>187</v>
      </c>
      <c r="F950">
        <v>4</v>
      </c>
      <c r="G950">
        <v>25</v>
      </c>
      <c r="H950">
        <v>78</v>
      </c>
      <c r="I950">
        <v>15.5</v>
      </c>
      <c r="J950" s="110">
        <v>948</v>
      </c>
      <c r="K950" t="s">
        <v>1505</v>
      </c>
      <c r="L950">
        <f>IF(Table_TRM_Fixtures[[#This Row],[Technology]]="LED", Table_TRM_Fixtures[[#This Row],[Fixture Watts  (TRM Data)]], Table_TRM_Fixtures[[#This Row],[Lamp Watts  (TRM Data)]])</f>
        <v>25</v>
      </c>
      <c r="M950">
        <f>Table_TRM_Fixtures[[#This Row],[No. of Lamps  (TRM Data)]]</f>
        <v>4</v>
      </c>
      <c r="N950">
        <v>36</v>
      </c>
      <c r="O950" t="s">
        <v>1381</v>
      </c>
      <c r="P950" t="s">
        <v>187</v>
      </c>
      <c r="Q950" t="s">
        <v>5614</v>
      </c>
      <c r="R950" t="str">
        <f>_xlfn.CONCAT(Table_TRM_Fixtures[[#This Row],[Technology]], " ", Table_TRM_Fixtures[[#This Row],[Ballast Code]], " Ballast")</f>
        <v>T8 Electronic RLO Ballast</v>
      </c>
      <c r="S950" t="str">
        <f>Table_TRM_Fixtures[[#This Row],[Description  (TRM Data)]]</f>
        <v>Fluorescent, (4) 36", T-8 lamps, Instant Start Ballast, RLO (BF&lt; 0.85)</v>
      </c>
      <c r="T950" t="str">
        <f>Table_TRM_Fixtures[[#This Row],[Fixture code  (TRM Data)]]</f>
        <v>F34ILL-R</v>
      </c>
      <c r="U950" t="s">
        <v>2883</v>
      </c>
      <c r="V950" t="s">
        <v>5562</v>
      </c>
      <c r="W950" t="s">
        <v>3120</v>
      </c>
      <c r="X950" t="s">
        <v>186</v>
      </c>
      <c r="AA950">
        <f>IF(Table_TRM_Fixtures[[#This Row],[Pre-EISA Baseline]]="Nominal", Table_TRM_Fixtures[[#This Row],[Fixture Watts  (TRM Data)]], Table_TRM_Fixtures[[#This Row],[Modified Baseline Fixture Watts]])</f>
        <v>78</v>
      </c>
    </row>
    <row r="951" spans="1:27" x14ac:dyDescent="0.2">
      <c r="A951" t="s">
        <v>1672</v>
      </c>
      <c r="B951" t="s">
        <v>5626</v>
      </c>
      <c r="C951" t="s">
        <v>1671</v>
      </c>
      <c r="D951" t="s">
        <v>5637</v>
      </c>
      <c r="E951" t="s">
        <v>187</v>
      </c>
      <c r="F951">
        <v>4</v>
      </c>
      <c r="G951">
        <v>25</v>
      </c>
      <c r="H951">
        <v>84</v>
      </c>
      <c r="I951">
        <v>15.5</v>
      </c>
      <c r="J951" s="110">
        <v>949</v>
      </c>
      <c r="K951" t="s">
        <v>1505</v>
      </c>
      <c r="L951">
        <f>IF(Table_TRM_Fixtures[[#This Row],[Technology]]="LED", Table_TRM_Fixtures[[#This Row],[Fixture Watts  (TRM Data)]], Table_TRM_Fixtures[[#This Row],[Lamp Watts  (TRM Data)]])</f>
        <v>25</v>
      </c>
      <c r="M951">
        <f>Table_TRM_Fixtures[[#This Row],[No. of Lamps  (TRM Data)]]</f>
        <v>4</v>
      </c>
      <c r="N951">
        <v>36</v>
      </c>
      <c r="O951" t="s">
        <v>1381</v>
      </c>
      <c r="P951" t="s">
        <v>187</v>
      </c>
      <c r="Q951" t="s">
        <v>5614</v>
      </c>
      <c r="R951" t="str">
        <f>_xlfn.CONCAT(Table_TRM_Fixtures[[#This Row],[Technology]], " ", Table_TRM_Fixtures[[#This Row],[Ballast Code]], " Ballast")</f>
        <v>T8 Electronic RLO Ballast</v>
      </c>
      <c r="S951" t="str">
        <f>Table_TRM_Fixtures[[#This Row],[Description  (TRM Data)]]</f>
        <v>Fluorescent, (4) 36", T-8 lamps, (2) Instant Start Ballasts, RLO (BF&lt; 0.85)</v>
      </c>
      <c r="T951" t="str">
        <f>Table_TRM_Fixtures[[#This Row],[Fixture code  (TRM Data)]]</f>
        <v>F34ILL/2-R</v>
      </c>
      <c r="U951" t="s">
        <v>2883</v>
      </c>
      <c r="V951" t="s">
        <v>5562</v>
      </c>
      <c r="W951" t="s">
        <v>3120</v>
      </c>
      <c r="X951" t="s">
        <v>186</v>
      </c>
      <c r="AA951">
        <f>IF(Table_TRM_Fixtures[[#This Row],[Pre-EISA Baseline]]="Nominal", Table_TRM_Fixtures[[#This Row],[Fixture Watts  (TRM Data)]], Table_TRM_Fixtures[[#This Row],[Modified Baseline Fixture Watts]])</f>
        <v>84</v>
      </c>
    </row>
    <row r="952" spans="1:27" x14ac:dyDescent="0.2">
      <c r="A952" t="s">
        <v>1673</v>
      </c>
      <c r="B952" t="s">
        <v>5626</v>
      </c>
      <c r="C952" t="s">
        <v>1667</v>
      </c>
      <c r="D952" t="s">
        <v>5636</v>
      </c>
      <c r="E952" t="s">
        <v>187</v>
      </c>
      <c r="F952">
        <v>4</v>
      </c>
      <c r="G952">
        <v>25</v>
      </c>
      <c r="H952">
        <v>86</v>
      </c>
      <c r="I952">
        <v>15.5</v>
      </c>
      <c r="J952" s="110">
        <v>950</v>
      </c>
      <c r="K952" t="s">
        <v>1505</v>
      </c>
      <c r="L952">
        <f>IF(Table_TRM_Fixtures[[#This Row],[Technology]]="LED", Table_TRM_Fixtures[[#This Row],[Fixture Watts  (TRM Data)]], Table_TRM_Fixtures[[#This Row],[Lamp Watts  (TRM Data)]])</f>
        <v>25</v>
      </c>
      <c r="M952">
        <f>Table_TRM_Fixtures[[#This Row],[No. of Lamps  (TRM Data)]]</f>
        <v>4</v>
      </c>
      <c r="N952">
        <v>36</v>
      </c>
      <c r="O952" t="s">
        <v>1381</v>
      </c>
      <c r="P952" t="s">
        <v>187</v>
      </c>
      <c r="Q952" t="s">
        <v>5612</v>
      </c>
      <c r="R952" t="str">
        <f>_xlfn.CONCAT(Table_TRM_Fixtures[[#This Row],[Technology]], " ", Table_TRM_Fixtures[[#This Row],[Ballast Code]], " Ballast")</f>
        <v>T8 Electronic STD Ballast</v>
      </c>
      <c r="S952" t="str">
        <f>Table_TRM_Fixtures[[#This Row],[Description  (TRM Data)]]</f>
        <v>Fluorescent, (4) 36", T-8 lamps, Instant Start Ballast, NLO (0.85 &lt; BF &lt; 0.95)</v>
      </c>
      <c r="T952" t="str">
        <f>Table_TRM_Fixtures[[#This Row],[Fixture code  (TRM Data)]]</f>
        <v>F34ILU</v>
      </c>
      <c r="U952" t="s">
        <v>2883</v>
      </c>
      <c r="V952" t="s">
        <v>5562</v>
      </c>
      <c r="W952" t="s">
        <v>3120</v>
      </c>
      <c r="X952" t="s">
        <v>186</v>
      </c>
      <c r="AA952">
        <f>IF(Table_TRM_Fixtures[[#This Row],[Pre-EISA Baseline]]="Nominal", Table_TRM_Fixtures[[#This Row],[Fixture Watts  (TRM Data)]], Table_TRM_Fixtures[[#This Row],[Modified Baseline Fixture Watts]])</f>
        <v>86</v>
      </c>
    </row>
    <row r="953" spans="1:27" x14ac:dyDescent="0.2">
      <c r="A953" t="s">
        <v>1674</v>
      </c>
      <c r="B953" t="s">
        <v>5626</v>
      </c>
      <c r="C953" t="s">
        <v>1669</v>
      </c>
      <c r="D953" t="s">
        <v>5637</v>
      </c>
      <c r="E953" t="s">
        <v>187</v>
      </c>
      <c r="F953">
        <v>4</v>
      </c>
      <c r="G953">
        <v>25</v>
      </c>
      <c r="H953">
        <v>77</v>
      </c>
      <c r="I953">
        <v>15.5</v>
      </c>
      <c r="J953" s="110">
        <v>951</v>
      </c>
      <c r="K953" t="s">
        <v>1505</v>
      </c>
      <c r="L953">
        <f>IF(Table_TRM_Fixtures[[#This Row],[Technology]]="LED", Table_TRM_Fixtures[[#This Row],[Fixture Watts  (TRM Data)]], Table_TRM_Fixtures[[#This Row],[Lamp Watts  (TRM Data)]])</f>
        <v>25</v>
      </c>
      <c r="M953">
        <f>Table_TRM_Fixtures[[#This Row],[No. of Lamps  (TRM Data)]]</f>
        <v>4</v>
      </c>
      <c r="N953">
        <v>36</v>
      </c>
      <c r="O953" t="s">
        <v>1381</v>
      </c>
      <c r="P953" t="s">
        <v>187</v>
      </c>
      <c r="Q953" t="s">
        <v>5614</v>
      </c>
      <c r="R953" t="str">
        <f>_xlfn.CONCAT(Table_TRM_Fixtures[[#This Row],[Technology]], " ", Table_TRM_Fixtures[[#This Row],[Ballast Code]], " Ballast")</f>
        <v>T8 Electronic RLO Ballast</v>
      </c>
      <c r="S953" t="str">
        <f>Table_TRM_Fixtures[[#This Row],[Description  (TRM Data)]]</f>
        <v>Fluorescent, (4) 36", T-8 lamps, Instant Start Ballast, RLO (BF&lt; 0.85)</v>
      </c>
      <c r="T953" t="str">
        <f>Table_TRM_Fixtures[[#This Row],[Fixture code  (TRM Data)]]</f>
        <v>F34ILU-R</v>
      </c>
      <c r="U953" t="s">
        <v>2883</v>
      </c>
      <c r="V953" t="s">
        <v>5562</v>
      </c>
      <c r="W953" t="s">
        <v>3120</v>
      </c>
      <c r="X953" t="s">
        <v>186</v>
      </c>
      <c r="AA953">
        <f>IF(Table_TRM_Fixtures[[#This Row],[Pre-EISA Baseline]]="Nominal", Table_TRM_Fixtures[[#This Row],[Fixture Watts  (TRM Data)]], Table_TRM_Fixtures[[#This Row],[Modified Baseline Fixture Watts]])</f>
        <v>77</v>
      </c>
    </row>
    <row r="954" spans="1:27" x14ac:dyDescent="0.2">
      <c r="A954" t="s">
        <v>1676</v>
      </c>
      <c r="B954" t="s">
        <v>5626</v>
      </c>
      <c r="C954" t="s">
        <v>1675</v>
      </c>
      <c r="D954" t="s">
        <v>5636</v>
      </c>
      <c r="E954" t="s">
        <v>187</v>
      </c>
      <c r="F954">
        <v>4</v>
      </c>
      <c r="G954">
        <v>25</v>
      </c>
      <c r="H954">
        <v>89</v>
      </c>
      <c r="I954">
        <v>15.5</v>
      </c>
      <c r="J954" s="110">
        <v>952</v>
      </c>
      <c r="K954" t="s">
        <v>1505</v>
      </c>
      <c r="L954">
        <f>IF(Table_TRM_Fixtures[[#This Row],[Technology]]="LED", Table_TRM_Fixtures[[#This Row],[Fixture Watts  (TRM Data)]], Table_TRM_Fixtures[[#This Row],[Lamp Watts  (TRM Data)]])</f>
        <v>25</v>
      </c>
      <c r="M954">
        <f>Table_TRM_Fixtures[[#This Row],[No. of Lamps  (TRM Data)]]</f>
        <v>4</v>
      </c>
      <c r="N954">
        <v>36</v>
      </c>
      <c r="O954" t="s">
        <v>1381</v>
      </c>
      <c r="P954" t="s">
        <v>187</v>
      </c>
      <c r="Q954" t="s">
        <v>5612</v>
      </c>
      <c r="R954" t="str">
        <f>_xlfn.CONCAT(Table_TRM_Fixtures[[#This Row],[Technology]], " ", Table_TRM_Fixtures[[#This Row],[Ballast Code]], " Ballast")</f>
        <v>T8 Electronic STD Ballast</v>
      </c>
      <c r="S954" t="str">
        <f>Table_TRM_Fixtures[[#This Row],[Description  (TRM Data)]]</f>
        <v>Fluorescent, (4) 36", T-8 lamps, Rapid Start Ballast, NLO (0.85 &lt; BF &lt; 0.95)</v>
      </c>
      <c r="T954" t="str">
        <f>Table_TRM_Fixtures[[#This Row],[Fixture code  (TRM Data)]]</f>
        <v>F34LL</v>
      </c>
      <c r="U954" t="s">
        <v>2883</v>
      </c>
      <c r="V954" t="s">
        <v>5562</v>
      </c>
      <c r="W954" t="s">
        <v>3120</v>
      </c>
      <c r="X954" t="s">
        <v>186</v>
      </c>
      <c r="AA954">
        <f>IF(Table_TRM_Fixtures[[#This Row],[Pre-EISA Baseline]]="Nominal", Table_TRM_Fixtures[[#This Row],[Fixture Watts  (TRM Data)]], Table_TRM_Fixtures[[#This Row],[Modified Baseline Fixture Watts]])</f>
        <v>89</v>
      </c>
    </row>
    <row r="955" spans="1:27" x14ac:dyDescent="0.2">
      <c r="A955" t="s">
        <v>1678</v>
      </c>
      <c r="B955" t="s">
        <v>5626</v>
      </c>
      <c r="C955" t="s">
        <v>1677</v>
      </c>
      <c r="D955" t="s">
        <v>5637</v>
      </c>
      <c r="E955" t="s">
        <v>187</v>
      </c>
      <c r="F955">
        <v>4</v>
      </c>
      <c r="G955">
        <v>25</v>
      </c>
      <c r="H955">
        <v>84</v>
      </c>
      <c r="I955">
        <v>15.5</v>
      </c>
      <c r="J955" s="110">
        <v>953</v>
      </c>
      <c r="K955" t="s">
        <v>1505</v>
      </c>
      <c r="L955">
        <f>IF(Table_TRM_Fixtures[[#This Row],[Technology]]="LED", Table_TRM_Fixtures[[#This Row],[Fixture Watts  (TRM Data)]], Table_TRM_Fixtures[[#This Row],[Lamp Watts  (TRM Data)]])</f>
        <v>25</v>
      </c>
      <c r="M955">
        <f>Table_TRM_Fixtures[[#This Row],[No. of Lamps  (TRM Data)]]</f>
        <v>4</v>
      </c>
      <c r="N955">
        <v>36</v>
      </c>
      <c r="O955" t="s">
        <v>1381</v>
      </c>
      <c r="P955" t="s">
        <v>187</v>
      </c>
      <c r="Q955" t="s">
        <v>5614</v>
      </c>
      <c r="R955" t="str">
        <f>_xlfn.CONCAT(Table_TRM_Fixtures[[#This Row],[Technology]], " ", Table_TRM_Fixtures[[#This Row],[Ballast Code]], " Ballast")</f>
        <v>T8 Electronic RLO Ballast</v>
      </c>
      <c r="S955" t="str">
        <f>Table_TRM_Fixtures[[#This Row],[Description  (TRM Data)]]</f>
        <v>Fluorescent, (4) 36", T-8 lamps, Rapid Start Ballast, RLO (BF&lt; 0.85)</v>
      </c>
      <c r="T955" t="str">
        <f>Table_TRM_Fixtures[[#This Row],[Fixture code  (TRM Data)]]</f>
        <v>F34LL-R</v>
      </c>
      <c r="U955" t="s">
        <v>2883</v>
      </c>
      <c r="V955" t="s">
        <v>5562</v>
      </c>
      <c r="W955" t="s">
        <v>3120</v>
      </c>
      <c r="X955" t="s">
        <v>186</v>
      </c>
      <c r="AA955">
        <f>IF(Table_TRM_Fixtures[[#This Row],[Pre-EISA Baseline]]="Nominal", Table_TRM_Fixtures[[#This Row],[Fixture Watts  (TRM Data)]], Table_TRM_Fixtures[[#This Row],[Modified Baseline Fixture Watts]])</f>
        <v>84</v>
      </c>
    </row>
    <row r="956" spans="1:27" x14ac:dyDescent="0.2">
      <c r="A956" t="s">
        <v>1680</v>
      </c>
      <c r="B956" t="s">
        <v>5626</v>
      </c>
      <c r="C956" t="s">
        <v>1679</v>
      </c>
      <c r="D956" t="s">
        <v>5638</v>
      </c>
      <c r="E956" t="s">
        <v>187</v>
      </c>
      <c r="F956">
        <v>6</v>
      </c>
      <c r="G956">
        <v>25</v>
      </c>
      <c r="H956">
        <v>135</v>
      </c>
      <c r="I956">
        <v>15.5</v>
      </c>
      <c r="J956" s="110">
        <v>954</v>
      </c>
      <c r="K956" t="s">
        <v>1505</v>
      </c>
      <c r="L956">
        <f>IF(Table_TRM_Fixtures[[#This Row],[Technology]]="LED", Table_TRM_Fixtures[[#This Row],[Fixture Watts  (TRM Data)]], Table_TRM_Fixtures[[#This Row],[Lamp Watts  (TRM Data)]])</f>
        <v>25</v>
      </c>
      <c r="M956">
        <f>Table_TRM_Fixtures[[#This Row],[No. of Lamps  (TRM Data)]]</f>
        <v>6</v>
      </c>
      <c r="N956">
        <v>36</v>
      </c>
      <c r="O956" t="s">
        <v>1381</v>
      </c>
      <c r="P956" t="s">
        <v>187</v>
      </c>
      <c r="Q956" t="s">
        <v>5612</v>
      </c>
      <c r="R956" t="str">
        <f>_xlfn.CONCAT(Table_TRM_Fixtures[[#This Row],[Technology]], " ", Table_TRM_Fixtures[[#This Row],[Ballast Code]], " Ballast")</f>
        <v>T8 Electronic STD Ballast</v>
      </c>
      <c r="S956" t="str">
        <f>Table_TRM_Fixtures[[#This Row],[Description  (TRM Data)]]</f>
        <v>Fluorescent, (6) 36", T-8 lamps, (2) Instant Start Ballasts, NLO (0.85 &lt; BF &lt; 0.95)</v>
      </c>
      <c r="T956" t="str">
        <f>Table_TRM_Fixtures[[#This Row],[Fixture code  (TRM Data)]]</f>
        <v>F36ILL/2</v>
      </c>
      <c r="U956" t="s">
        <v>2883</v>
      </c>
      <c r="V956" t="s">
        <v>5562</v>
      </c>
      <c r="W956" t="s">
        <v>3120</v>
      </c>
      <c r="X956" t="s">
        <v>186</v>
      </c>
      <c r="AA956">
        <f>IF(Table_TRM_Fixtures[[#This Row],[Pre-EISA Baseline]]="Nominal", Table_TRM_Fixtures[[#This Row],[Fixture Watts  (TRM Data)]], Table_TRM_Fixtures[[#This Row],[Modified Baseline Fixture Watts]])</f>
        <v>135</v>
      </c>
    </row>
    <row r="957" spans="1:27" x14ac:dyDescent="0.2">
      <c r="A957" t="s">
        <v>1682</v>
      </c>
      <c r="B957" t="s">
        <v>5626</v>
      </c>
      <c r="C957" t="s">
        <v>1681</v>
      </c>
      <c r="D957" t="s">
        <v>5639</v>
      </c>
      <c r="E957" t="s">
        <v>187</v>
      </c>
      <c r="F957">
        <v>6</v>
      </c>
      <c r="G957">
        <v>25</v>
      </c>
      <c r="H957">
        <v>121</v>
      </c>
      <c r="I957">
        <v>15.5</v>
      </c>
      <c r="J957" s="110">
        <v>955</v>
      </c>
      <c r="K957" t="s">
        <v>1505</v>
      </c>
      <c r="L957">
        <f>IF(Table_TRM_Fixtures[[#This Row],[Technology]]="LED", Table_TRM_Fixtures[[#This Row],[Fixture Watts  (TRM Data)]], Table_TRM_Fixtures[[#This Row],[Lamp Watts  (TRM Data)]])</f>
        <v>25</v>
      </c>
      <c r="M957">
        <f>Table_TRM_Fixtures[[#This Row],[No. of Lamps  (TRM Data)]]</f>
        <v>6</v>
      </c>
      <c r="N957">
        <v>36</v>
      </c>
      <c r="O957" t="s">
        <v>1381</v>
      </c>
      <c r="P957" t="s">
        <v>187</v>
      </c>
      <c r="Q957" t="s">
        <v>5614</v>
      </c>
      <c r="R957" t="str">
        <f>_xlfn.CONCAT(Table_TRM_Fixtures[[#This Row],[Technology]], " ", Table_TRM_Fixtures[[#This Row],[Ballast Code]], " Ballast")</f>
        <v>T8 Electronic RLO Ballast</v>
      </c>
      <c r="S957" t="str">
        <f>Table_TRM_Fixtures[[#This Row],[Description  (TRM Data)]]</f>
        <v>Fluorescent, (6) 36", T-8 lamps, (2) Instant Start Ballasts, RLO (BF&lt; 0.85)</v>
      </c>
      <c r="T957" t="str">
        <f>Table_TRM_Fixtures[[#This Row],[Fixture code  (TRM Data)]]</f>
        <v>F36ILL/2-R</v>
      </c>
      <c r="U957" t="s">
        <v>2883</v>
      </c>
      <c r="V957" t="s">
        <v>5562</v>
      </c>
      <c r="W957" t="s">
        <v>3120</v>
      </c>
      <c r="X957" t="s">
        <v>186</v>
      </c>
      <c r="AA957">
        <f>IF(Table_TRM_Fixtures[[#This Row],[Pre-EISA Baseline]]="Nominal", Table_TRM_Fixtures[[#This Row],[Fixture Watts  (TRM Data)]], Table_TRM_Fixtures[[#This Row],[Modified Baseline Fixture Watts]])</f>
        <v>121</v>
      </c>
    </row>
    <row r="958" spans="1:27" x14ac:dyDescent="0.2">
      <c r="A958" t="s">
        <v>1684</v>
      </c>
      <c r="B958" t="s">
        <v>5640</v>
      </c>
      <c r="C958" t="s">
        <v>1683</v>
      </c>
      <c r="D958" t="s">
        <v>5641</v>
      </c>
      <c r="E958" t="s">
        <v>1386</v>
      </c>
      <c r="F958">
        <v>2</v>
      </c>
      <c r="G958">
        <v>28</v>
      </c>
      <c r="H958">
        <v>66</v>
      </c>
      <c r="I958">
        <v>15.5</v>
      </c>
      <c r="J958" s="110">
        <v>956</v>
      </c>
      <c r="K958" t="s">
        <v>1505</v>
      </c>
      <c r="L958">
        <f>IF(Table_TRM_Fixtures[[#This Row],[Technology]]="LED", Table_TRM_Fixtures[[#This Row],[Fixture Watts  (TRM Data)]], Table_TRM_Fixtures[[#This Row],[Lamp Watts  (TRM Data)]])</f>
        <v>28</v>
      </c>
      <c r="M958">
        <f>Table_TRM_Fixtures[[#This Row],[No. of Lamps  (TRM Data)]]</f>
        <v>2</v>
      </c>
      <c r="N958">
        <v>48</v>
      </c>
      <c r="O958" t="s">
        <v>1381</v>
      </c>
      <c r="P958" t="s">
        <v>187</v>
      </c>
      <c r="Q958" t="s">
        <v>5616</v>
      </c>
      <c r="R958" t="str">
        <f>_xlfn.CONCAT(Table_TRM_Fixtures[[#This Row],[Technology]], ", ", Table_TRM_Fixtures[[#This Row],[Ballast Code]], " Ballast")</f>
        <v>T8, Electronic VHLO Ballast</v>
      </c>
      <c r="S958" t="str">
        <f>Table_TRM_Fixtures[[#This Row],[Description  (TRM Data)]]</f>
        <v>Fluorescent, (2) 48", T-8 lamps, Prog. Start or PRS Ballast, VHLO (BF &gt; 1.1)</v>
      </c>
      <c r="T958" t="str">
        <f>Table_TRM_Fixtures[[#This Row],[Fixture code  (TRM Data)]]</f>
        <v>F42GRLL-V</v>
      </c>
      <c r="U958" t="s">
        <v>2882</v>
      </c>
      <c r="V958" t="s">
        <v>186</v>
      </c>
      <c r="W958" t="s">
        <v>3120</v>
      </c>
      <c r="X958" t="s">
        <v>186</v>
      </c>
      <c r="Y958" t="s">
        <v>4815</v>
      </c>
      <c r="Z958" t="s">
        <v>4815</v>
      </c>
      <c r="AA958">
        <f>IF(Table_TRM_Fixtures[[#This Row],[Pre-EISA Baseline]]="Nominal", Table_TRM_Fixtures[[#This Row],[Fixture Watts  (TRM Data)]], Table_TRM_Fixtures[[#This Row],[Modified Baseline Fixture Watts]])</f>
        <v>66</v>
      </c>
    </row>
    <row r="959" spans="1:27" x14ac:dyDescent="0.2">
      <c r="A959" t="s">
        <v>1686</v>
      </c>
      <c r="B959" t="s">
        <v>5640</v>
      </c>
      <c r="C959" t="s">
        <v>1685</v>
      </c>
      <c r="D959" t="s">
        <v>5642</v>
      </c>
      <c r="E959" t="s">
        <v>1386</v>
      </c>
      <c r="F959">
        <v>3</v>
      </c>
      <c r="G959">
        <v>28</v>
      </c>
      <c r="H959">
        <v>92</v>
      </c>
      <c r="I959">
        <v>15.5</v>
      </c>
      <c r="J959" s="110">
        <v>957</v>
      </c>
      <c r="K959" t="s">
        <v>1505</v>
      </c>
      <c r="L959">
        <f>IF(Table_TRM_Fixtures[[#This Row],[Technology]]="LED", Table_TRM_Fixtures[[#This Row],[Fixture Watts  (TRM Data)]], Table_TRM_Fixtures[[#This Row],[Lamp Watts  (TRM Data)]])</f>
        <v>28</v>
      </c>
      <c r="M959">
        <f>Table_TRM_Fixtures[[#This Row],[No. of Lamps  (TRM Data)]]</f>
        <v>3</v>
      </c>
      <c r="N959">
        <v>48</v>
      </c>
      <c r="O959" t="s">
        <v>1381</v>
      </c>
      <c r="P959" t="s">
        <v>187</v>
      </c>
      <c r="Q959" t="s">
        <v>5616</v>
      </c>
      <c r="R959" t="str">
        <f>_xlfn.CONCAT(Table_TRM_Fixtures[[#This Row],[Technology]], ", ", Table_TRM_Fixtures[[#This Row],[Ballast Code]], " Ballast")</f>
        <v>T8, Electronic VHLO Ballast</v>
      </c>
      <c r="S959" t="str">
        <f>Table_TRM_Fixtures[[#This Row],[Description  (TRM Data)]]</f>
        <v>Fluorescent, (3) 48", T-8 lamps, Prog. Start or PRS Ballast, VHLO (BF &gt; 1.1)</v>
      </c>
      <c r="T959" t="str">
        <f>Table_TRM_Fixtures[[#This Row],[Fixture code  (TRM Data)]]</f>
        <v>F43GRLL-V</v>
      </c>
      <c r="U959" t="s">
        <v>2882</v>
      </c>
      <c r="V959" t="s">
        <v>186</v>
      </c>
      <c r="W959" t="s">
        <v>3120</v>
      </c>
      <c r="X959" t="s">
        <v>186</v>
      </c>
      <c r="Y959" t="s">
        <v>4815</v>
      </c>
      <c r="Z959" t="s">
        <v>4815</v>
      </c>
      <c r="AA959">
        <f>IF(Table_TRM_Fixtures[[#This Row],[Pre-EISA Baseline]]="Nominal", Table_TRM_Fixtures[[#This Row],[Fixture Watts  (TRM Data)]], Table_TRM_Fixtures[[#This Row],[Modified Baseline Fixture Watts]])</f>
        <v>92</v>
      </c>
    </row>
    <row r="960" spans="1:27" x14ac:dyDescent="0.2">
      <c r="A960" t="s">
        <v>1688</v>
      </c>
      <c r="B960" t="s">
        <v>5643</v>
      </c>
      <c r="C960" t="s">
        <v>1687</v>
      </c>
      <c r="D960" t="s">
        <v>5644</v>
      </c>
      <c r="E960" t="s">
        <v>1386</v>
      </c>
      <c r="F960">
        <v>1</v>
      </c>
      <c r="G960">
        <v>32</v>
      </c>
      <c r="H960">
        <v>30</v>
      </c>
      <c r="I960">
        <v>15.5</v>
      </c>
      <c r="J960" s="110">
        <v>958</v>
      </c>
      <c r="K960" t="s">
        <v>1505</v>
      </c>
      <c r="L960">
        <f>IF(Table_TRM_Fixtures[[#This Row],[Technology]]="LED", Table_TRM_Fixtures[[#This Row],[Fixture Watts  (TRM Data)]], Table_TRM_Fixtures[[#This Row],[Lamp Watts  (TRM Data)]])</f>
        <v>32</v>
      </c>
      <c r="M960">
        <f>Table_TRM_Fixtures[[#This Row],[No. of Lamps  (TRM Data)]]</f>
        <v>1</v>
      </c>
      <c r="N960">
        <v>48</v>
      </c>
      <c r="O960" t="s">
        <v>1381</v>
      </c>
      <c r="P960" t="s">
        <v>187</v>
      </c>
      <c r="Q960" t="s">
        <v>5612</v>
      </c>
      <c r="R960" t="str">
        <f>_xlfn.CONCAT(Table_TRM_Fixtures[[#This Row],[Technology]], ", ", Table_TRM_Fixtures[[#This Row],[Ballast Code]], " Ballast")</f>
        <v>T8, Electronic STD Ballast</v>
      </c>
      <c r="S960" t="str">
        <f>Table_TRM_Fixtures[[#This Row],[Description  (TRM Data)]]</f>
        <v>Fluorescent (1) 48" T-8 lamp, Prog. Start or PRS Ballast, NLO (0.85 &lt; BF &lt; 0.95)</v>
      </c>
      <c r="T960" t="str">
        <f>Table_TRM_Fixtures[[#This Row],[Fixture code  (TRM Data)]]</f>
        <v>F41GLL</v>
      </c>
      <c r="U960" t="s">
        <v>2882</v>
      </c>
      <c r="V960" t="s">
        <v>186</v>
      </c>
      <c r="W960" t="s">
        <v>3120</v>
      </c>
      <c r="X960" t="s">
        <v>186</v>
      </c>
      <c r="Y960" t="s">
        <v>4815</v>
      </c>
      <c r="Z960" t="s">
        <v>4815</v>
      </c>
      <c r="AA960">
        <f>IF(Table_TRM_Fixtures[[#This Row],[Pre-EISA Baseline]]="Nominal", Table_TRM_Fixtures[[#This Row],[Fixture Watts  (TRM Data)]], Table_TRM_Fixtures[[#This Row],[Modified Baseline Fixture Watts]])</f>
        <v>30</v>
      </c>
    </row>
    <row r="961" spans="1:27" x14ac:dyDescent="0.2">
      <c r="A961" t="s">
        <v>1690</v>
      </c>
      <c r="B961" t="s">
        <v>5643</v>
      </c>
      <c r="C961" t="s">
        <v>1689</v>
      </c>
      <c r="D961" t="s">
        <v>5645</v>
      </c>
      <c r="E961" t="s">
        <v>1386</v>
      </c>
      <c r="F961">
        <v>1</v>
      </c>
      <c r="G961">
        <v>32</v>
      </c>
      <c r="H961">
        <v>25</v>
      </c>
      <c r="I961">
        <v>15.5</v>
      </c>
      <c r="J961" s="110">
        <v>959</v>
      </c>
      <c r="K961" t="s">
        <v>1505</v>
      </c>
      <c r="L961">
        <f>IF(Table_TRM_Fixtures[[#This Row],[Technology]]="LED", Table_TRM_Fixtures[[#This Row],[Fixture Watts  (TRM Data)]], Table_TRM_Fixtures[[#This Row],[Lamp Watts  (TRM Data)]])</f>
        <v>32</v>
      </c>
      <c r="M961">
        <f>Table_TRM_Fixtures[[#This Row],[No. of Lamps  (TRM Data)]]</f>
        <v>1</v>
      </c>
      <c r="N961">
        <v>48</v>
      </c>
      <c r="O961" t="s">
        <v>1381</v>
      </c>
      <c r="P961" t="s">
        <v>187</v>
      </c>
      <c r="Q961" t="s">
        <v>5614</v>
      </c>
      <c r="R961" t="str">
        <f>_xlfn.CONCAT(Table_TRM_Fixtures[[#This Row],[Technology]], ", ", Table_TRM_Fixtures[[#This Row],[Ballast Code]], " Ballast")</f>
        <v>T8, Electronic RLO Ballast</v>
      </c>
      <c r="S961" t="str">
        <f>Table_TRM_Fixtures[[#This Row],[Description  (TRM Data)]]</f>
        <v>Fluorescent (1) 48" T-8 lamp, Prog. Start or PRS Ballast, RLO (BF&lt; 0.85)</v>
      </c>
      <c r="T961" t="str">
        <f>Table_TRM_Fixtures[[#This Row],[Fixture code  (TRM Data)]]</f>
        <v>F41GLL-R</v>
      </c>
      <c r="U961" t="s">
        <v>2882</v>
      </c>
      <c r="V961" t="s">
        <v>186</v>
      </c>
      <c r="W961" t="s">
        <v>3120</v>
      </c>
      <c r="X961" t="s">
        <v>186</v>
      </c>
      <c r="Y961" t="s">
        <v>4815</v>
      </c>
      <c r="Z961" t="s">
        <v>4815</v>
      </c>
      <c r="AA961">
        <f>IF(Table_TRM_Fixtures[[#This Row],[Pre-EISA Baseline]]="Nominal", Table_TRM_Fixtures[[#This Row],[Fixture Watts  (TRM Data)]], Table_TRM_Fixtures[[#This Row],[Modified Baseline Fixture Watts]])</f>
        <v>25</v>
      </c>
    </row>
    <row r="962" spans="1:27" x14ac:dyDescent="0.2">
      <c r="A962" t="s">
        <v>1692</v>
      </c>
      <c r="B962" t="s">
        <v>5643</v>
      </c>
      <c r="C962" t="s">
        <v>1691</v>
      </c>
      <c r="D962" t="s">
        <v>5644</v>
      </c>
      <c r="E962" t="s">
        <v>187</v>
      </c>
      <c r="F962">
        <v>1</v>
      </c>
      <c r="G962">
        <v>32</v>
      </c>
      <c r="H962">
        <v>31</v>
      </c>
      <c r="I962">
        <v>15.5</v>
      </c>
      <c r="J962" s="110">
        <v>960</v>
      </c>
      <c r="K962" t="s">
        <v>1505</v>
      </c>
      <c r="L962">
        <f>IF(Table_TRM_Fixtures[[#This Row],[Technology]]="LED", Table_TRM_Fixtures[[#This Row],[Fixture Watts  (TRM Data)]], Table_TRM_Fixtures[[#This Row],[Lamp Watts  (TRM Data)]])</f>
        <v>32</v>
      </c>
      <c r="M962">
        <f>Table_TRM_Fixtures[[#This Row],[No. of Lamps  (TRM Data)]]</f>
        <v>1</v>
      </c>
      <c r="N962">
        <v>48</v>
      </c>
      <c r="O962" t="s">
        <v>1381</v>
      </c>
      <c r="P962" t="s">
        <v>187</v>
      </c>
      <c r="Q962" t="s">
        <v>5612</v>
      </c>
      <c r="R962" t="str">
        <f>_xlfn.CONCAT(Table_TRM_Fixtures[[#This Row],[Technology]], ", ", Table_TRM_Fixtures[[#This Row],[Ballast Code]], " Ballast")</f>
        <v>T8, Electronic STD Ballast</v>
      </c>
      <c r="S962" t="str">
        <f>Table_TRM_Fixtures[[#This Row],[Description  (TRM Data)]]</f>
        <v>Fluorescent, (1) 48", T-8 lamp, Instant Start Ballast, NLO (0.85 &lt; BF &lt; 0.95)</v>
      </c>
      <c r="T962" t="str">
        <f>Table_TRM_Fixtures[[#This Row],[Fixture code  (TRM Data)]]</f>
        <v>F41ILL</v>
      </c>
      <c r="U962" t="s">
        <v>2882</v>
      </c>
      <c r="V962" t="s">
        <v>186</v>
      </c>
      <c r="W962" t="s">
        <v>3120</v>
      </c>
      <c r="X962" t="s">
        <v>186</v>
      </c>
      <c r="Y962" t="str">
        <f>_xlfn.CONCAT(Table_TRM_Fixtures[[#This Row],[Combined Lighting/Ballast Types]],":",Table_TRM_Fixtures[[#This Row],[No. of Lamps]], ":", Table_TRM_Fixtures[[#This Row],[Lamp Watts  (TRM Data)]])</f>
        <v>T8, Electronic STD Ballast:1:32</v>
      </c>
      <c r="Z962"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T8:1:32</v>
      </c>
      <c r="AA962">
        <f>IF(Table_TRM_Fixtures[[#This Row],[Pre-EISA Baseline]]="Nominal", Table_TRM_Fixtures[[#This Row],[Fixture Watts  (TRM Data)]], Table_TRM_Fixtures[[#This Row],[Modified Baseline Fixture Watts]])</f>
        <v>31</v>
      </c>
    </row>
    <row r="963" spans="1:27" x14ac:dyDescent="0.2">
      <c r="A963" t="s">
        <v>1694</v>
      </c>
      <c r="B963" t="s">
        <v>5643</v>
      </c>
      <c r="C963" t="s">
        <v>1693</v>
      </c>
      <c r="D963" t="s">
        <v>5646</v>
      </c>
      <c r="E963" t="s">
        <v>187</v>
      </c>
      <c r="F963">
        <v>1</v>
      </c>
      <c r="G963">
        <v>32</v>
      </c>
      <c r="H963">
        <v>36</v>
      </c>
      <c r="I963">
        <v>15.5</v>
      </c>
      <c r="J963" s="110">
        <v>961</v>
      </c>
      <c r="K963" t="s">
        <v>1505</v>
      </c>
      <c r="L963">
        <f>IF(Table_TRM_Fixtures[[#This Row],[Technology]]="LED", Table_TRM_Fixtures[[#This Row],[Fixture Watts  (TRM Data)]], Table_TRM_Fixtures[[#This Row],[Lamp Watts  (TRM Data)]])</f>
        <v>32</v>
      </c>
      <c r="M963">
        <f>Table_TRM_Fixtures[[#This Row],[No. of Lamps  (TRM Data)]]</f>
        <v>1</v>
      </c>
      <c r="N963">
        <v>48</v>
      </c>
      <c r="O963" t="s">
        <v>1381</v>
      </c>
      <c r="P963" t="s">
        <v>187</v>
      </c>
      <c r="Q963" t="s">
        <v>5566</v>
      </c>
      <c r="R963" t="str">
        <f>_xlfn.CONCAT(Table_TRM_Fixtures[[#This Row],[Technology]], ", ", Table_TRM_Fixtures[[#This Row],[Ballast Code]], " Ballast")</f>
        <v>T8, Electronic HLO Ballast</v>
      </c>
      <c r="S963" t="str">
        <f>Table_TRM_Fixtures[[#This Row],[Description  (TRM Data)]]</f>
        <v>Fluorescent, (1) 48", T-8 lamp, Instant Start Ballast, HLO (0.95 &lt; BF &lt; 1.1)</v>
      </c>
      <c r="T963" t="str">
        <f>Table_TRM_Fixtures[[#This Row],[Fixture code  (TRM Data)]]</f>
        <v>F41ILL-H</v>
      </c>
      <c r="U963" t="s">
        <v>2882</v>
      </c>
      <c r="V963" t="s">
        <v>186</v>
      </c>
      <c r="W963" t="s">
        <v>3120</v>
      </c>
      <c r="X963" t="s">
        <v>186</v>
      </c>
      <c r="Y963" t="str">
        <f>_xlfn.CONCAT(Table_TRM_Fixtures[[#This Row],[Combined Lighting/Ballast Types]],":",Table_TRM_Fixtures[[#This Row],[No. of Lamps]], ":", Table_TRM_Fixtures[[#This Row],[Lamp Watts  (TRM Data)]])</f>
        <v>T8, Electronic HLO Ballast:1:32</v>
      </c>
      <c r="Z963" t="s">
        <v>4815</v>
      </c>
      <c r="AA963">
        <f>IF(Table_TRM_Fixtures[[#This Row],[Pre-EISA Baseline]]="Nominal", Table_TRM_Fixtures[[#This Row],[Fixture Watts  (TRM Data)]], Table_TRM_Fixtures[[#This Row],[Modified Baseline Fixture Watts]])</f>
        <v>36</v>
      </c>
    </row>
    <row r="964" spans="1:27" x14ac:dyDescent="0.2">
      <c r="A964" t="s">
        <v>1696</v>
      </c>
      <c r="B964" t="s">
        <v>5643</v>
      </c>
      <c r="C964" t="s">
        <v>1695</v>
      </c>
      <c r="D964" t="s">
        <v>5645</v>
      </c>
      <c r="E964" t="s">
        <v>187</v>
      </c>
      <c r="F964">
        <v>1</v>
      </c>
      <c r="G964">
        <v>32</v>
      </c>
      <c r="H964">
        <v>27</v>
      </c>
      <c r="I964">
        <v>15.5</v>
      </c>
      <c r="J964" s="110">
        <v>962</v>
      </c>
      <c r="K964" t="s">
        <v>1505</v>
      </c>
      <c r="L964">
        <f>IF(Table_TRM_Fixtures[[#This Row],[Technology]]="LED", Table_TRM_Fixtures[[#This Row],[Fixture Watts  (TRM Data)]], Table_TRM_Fixtures[[#This Row],[Lamp Watts  (TRM Data)]])</f>
        <v>32</v>
      </c>
      <c r="M964">
        <f>Table_TRM_Fixtures[[#This Row],[No. of Lamps  (TRM Data)]]</f>
        <v>1</v>
      </c>
      <c r="N964">
        <v>48</v>
      </c>
      <c r="O964" t="s">
        <v>1381</v>
      </c>
      <c r="P964" t="s">
        <v>187</v>
      </c>
      <c r="Q964" t="s">
        <v>5614</v>
      </c>
      <c r="R964" t="str">
        <f>_xlfn.CONCAT(Table_TRM_Fixtures[[#This Row],[Technology]], ", ", Table_TRM_Fixtures[[#This Row],[Ballast Code]], " Ballast")</f>
        <v>T8, Electronic RLO Ballast</v>
      </c>
      <c r="S964" t="str">
        <f>Table_TRM_Fixtures[[#This Row],[Description  (TRM Data)]]</f>
        <v>Fluorescent, (1) 48", T-8 lamp, Instant Start Ballast, RLO (BF&lt; 0.85)</v>
      </c>
      <c r="T964" t="str">
        <f>Table_TRM_Fixtures[[#This Row],[Fixture code  (TRM Data)]]</f>
        <v>F41ILL-R</v>
      </c>
      <c r="U964" t="s">
        <v>2882</v>
      </c>
      <c r="V964" t="s">
        <v>186</v>
      </c>
      <c r="W964" t="s">
        <v>3120</v>
      </c>
      <c r="X964" t="s">
        <v>186</v>
      </c>
      <c r="Y964" t="str">
        <f>_xlfn.CONCAT(Table_TRM_Fixtures[[#This Row],[Combined Lighting/Ballast Types]],":",Table_TRM_Fixtures[[#This Row],[No. of Lamps]], ":", Table_TRM_Fixtures[[#This Row],[Lamp Watts  (TRM Data)]])</f>
        <v>T8, Electronic RLO Ballast:1:32</v>
      </c>
      <c r="Z964" t="s">
        <v>4815</v>
      </c>
      <c r="AA964">
        <f>IF(Table_TRM_Fixtures[[#This Row],[Pre-EISA Baseline]]="Nominal", Table_TRM_Fixtures[[#This Row],[Fixture Watts  (TRM Data)]], Table_TRM_Fixtures[[#This Row],[Modified Baseline Fixture Watts]])</f>
        <v>27</v>
      </c>
    </row>
    <row r="965" spans="1:27" x14ac:dyDescent="0.2">
      <c r="A965" t="s">
        <v>1698</v>
      </c>
      <c r="B965" t="s">
        <v>5643</v>
      </c>
      <c r="C965" t="s">
        <v>1697</v>
      </c>
      <c r="D965" t="s">
        <v>5644</v>
      </c>
      <c r="E965" t="s">
        <v>187</v>
      </c>
      <c r="F965">
        <v>1</v>
      </c>
      <c r="G965">
        <v>32</v>
      </c>
      <c r="H965">
        <v>29</v>
      </c>
      <c r="I965">
        <v>15.5</v>
      </c>
      <c r="J965" s="110">
        <v>963</v>
      </c>
      <c r="K965" t="s">
        <v>1505</v>
      </c>
      <c r="L965">
        <f>IF(Table_TRM_Fixtures[[#This Row],[Technology]]="LED", Table_TRM_Fixtures[[#This Row],[Fixture Watts  (TRM Data)]], Table_TRM_Fixtures[[#This Row],[Lamp Watts  (TRM Data)]])</f>
        <v>32</v>
      </c>
      <c r="M965">
        <f>Table_TRM_Fixtures[[#This Row],[No. of Lamps  (TRM Data)]]</f>
        <v>1</v>
      </c>
      <c r="N965">
        <v>48</v>
      </c>
      <c r="O965" t="s">
        <v>1381</v>
      </c>
      <c r="P965" t="s">
        <v>187</v>
      </c>
      <c r="Q965" t="s">
        <v>5612</v>
      </c>
      <c r="R965" t="str">
        <f>_xlfn.CONCAT(Table_TRM_Fixtures[[#This Row],[Technology]], ", ", Table_TRM_Fixtures[[#This Row],[Ballast Code]], " Ballast")</f>
        <v>T8, Electronic STD Ballast</v>
      </c>
      <c r="S965" t="str">
        <f>Table_TRM_Fixtures[[#This Row],[Description  (TRM Data)]]</f>
        <v>Fluorescent, (1) 48", T-8 lamp, Tandem 2-lamp IS Ballast, NLO (0.85 &lt; BF &lt; 0.95)</v>
      </c>
      <c r="T965" t="str">
        <f>Table_TRM_Fixtures[[#This Row],[Fixture code  (TRM Data)]]</f>
        <v>F41ILL/T2</v>
      </c>
      <c r="U965" t="s">
        <v>2882</v>
      </c>
      <c r="V965" t="s">
        <v>186</v>
      </c>
      <c r="W965" t="s">
        <v>3120</v>
      </c>
      <c r="X965" t="s">
        <v>186</v>
      </c>
      <c r="Y965" t="s">
        <v>4815</v>
      </c>
      <c r="Z965" t="s">
        <v>4815</v>
      </c>
      <c r="AA965">
        <f>IF(Table_TRM_Fixtures[[#This Row],[Pre-EISA Baseline]]="Nominal", Table_TRM_Fixtures[[#This Row],[Fixture Watts  (TRM Data)]], Table_TRM_Fixtures[[#This Row],[Modified Baseline Fixture Watts]])</f>
        <v>29</v>
      </c>
    </row>
    <row r="966" spans="1:27" x14ac:dyDescent="0.2">
      <c r="A966" t="s">
        <v>1700</v>
      </c>
      <c r="B966" t="s">
        <v>5643</v>
      </c>
      <c r="C966" t="s">
        <v>1699</v>
      </c>
      <c r="D966" t="s">
        <v>5646</v>
      </c>
      <c r="E966" t="s">
        <v>187</v>
      </c>
      <c r="F966">
        <v>1</v>
      </c>
      <c r="G966">
        <v>32</v>
      </c>
      <c r="H966">
        <v>33</v>
      </c>
      <c r="I966">
        <v>15.5</v>
      </c>
      <c r="J966" s="110">
        <v>964</v>
      </c>
      <c r="K966" t="s">
        <v>1505</v>
      </c>
      <c r="L966">
        <f>IF(Table_TRM_Fixtures[[#This Row],[Technology]]="LED", Table_TRM_Fixtures[[#This Row],[Fixture Watts  (TRM Data)]], Table_TRM_Fixtures[[#This Row],[Lamp Watts  (TRM Data)]])</f>
        <v>32</v>
      </c>
      <c r="M966">
        <f>Table_TRM_Fixtures[[#This Row],[No. of Lamps  (TRM Data)]]</f>
        <v>1</v>
      </c>
      <c r="N966">
        <v>48</v>
      </c>
      <c r="O966" t="s">
        <v>1381</v>
      </c>
      <c r="P966" t="s">
        <v>187</v>
      </c>
      <c r="Q966" t="s">
        <v>5566</v>
      </c>
      <c r="R966" t="str">
        <f>_xlfn.CONCAT(Table_TRM_Fixtures[[#This Row],[Technology]], ", ", Table_TRM_Fixtures[[#This Row],[Ballast Code]], " Ballast")</f>
        <v>T8, Electronic HLO Ballast</v>
      </c>
      <c r="S966" t="str">
        <f>Table_TRM_Fixtures[[#This Row],[Description  (TRM Data)]]</f>
        <v>Fluorescent, (1) 48", T-8 lamp, Tandem 3-lamp IS Ballast, 1 lead capped, HLO (0.95 &lt; BF &lt; 1.1)</v>
      </c>
      <c r="T966" t="str">
        <f>Table_TRM_Fixtures[[#This Row],[Fixture code  (TRM Data)]]</f>
        <v>F41ILL/T2-H</v>
      </c>
      <c r="U966" t="s">
        <v>2882</v>
      </c>
      <c r="V966" t="s">
        <v>186</v>
      </c>
      <c r="W966" t="s">
        <v>3120</v>
      </c>
      <c r="X966" t="s">
        <v>186</v>
      </c>
      <c r="Y966" t="s">
        <v>4815</v>
      </c>
      <c r="Z966" t="s">
        <v>4815</v>
      </c>
      <c r="AA966">
        <f>IF(Table_TRM_Fixtures[[#This Row],[Pre-EISA Baseline]]="Nominal", Table_TRM_Fixtures[[#This Row],[Fixture Watts  (TRM Data)]], Table_TRM_Fixtures[[#This Row],[Modified Baseline Fixture Watts]])</f>
        <v>33</v>
      </c>
    </row>
    <row r="967" spans="1:27" x14ac:dyDescent="0.2">
      <c r="A967" t="s">
        <v>1702</v>
      </c>
      <c r="B967" t="s">
        <v>5643</v>
      </c>
      <c r="C967" t="s">
        <v>1701</v>
      </c>
      <c r="D967" t="s">
        <v>5645</v>
      </c>
      <c r="E967" t="s">
        <v>187</v>
      </c>
      <c r="F967">
        <v>1</v>
      </c>
      <c r="G967">
        <v>32</v>
      </c>
      <c r="H967">
        <v>26</v>
      </c>
      <c r="I967">
        <v>15.5</v>
      </c>
      <c r="J967" s="110">
        <v>965</v>
      </c>
      <c r="K967" t="s">
        <v>1505</v>
      </c>
      <c r="L967">
        <f>IF(Table_TRM_Fixtures[[#This Row],[Technology]]="LED", Table_TRM_Fixtures[[#This Row],[Fixture Watts  (TRM Data)]], Table_TRM_Fixtures[[#This Row],[Lamp Watts  (TRM Data)]])</f>
        <v>32</v>
      </c>
      <c r="M967">
        <f>Table_TRM_Fixtures[[#This Row],[No. of Lamps  (TRM Data)]]</f>
        <v>1</v>
      </c>
      <c r="N967">
        <v>48</v>
      </c>
      <c r="O967" t="s">
        <v>1381</v>
      </c>
      <c r="P967" t="s">
        <v>187</v>
      </c>
      <c r="Q967" t="s">
        <v>5614</v>
      </c>
      <c r="R967" t="str">
        <f>_xlfn.CONCAT(Table_TRM_Fixtures[[#This Row],[Technology]], ", ", Table_TRM_Fixtures[[#This Row],[Ballast Code]], " Ballast")</f>
        <v>T8, Electronic RLO Ballast</v>
      </c>
      <c r="S967" t="str">
        <f>Table_TRM_Fixtures[[#This Row],[Description  (TRM Data)]]</f>
        <v>Fluorescent, (1) 48", T-8 lamp, Tandem 2-lamp IS Ballast, RLO (BF&lt; 0.85)</v>
      </c>
      <c r="T967" t="str">
        <f>Table_TRM_Fixtures[[#This Row],[Fixture code  (TRM Data)]]</f>
        <v>F41ILL/T2-R</v>
      </c>
      <c r="U967" t="s">
        <v>2882</v>
      </c>
      <c r="V967" t="s">
        <v>186</v>
      </c>
      <c r="W967" t="s">
        <v>3120</v>
      </c>
      <c r="X967" t="s">
        <v>186</v>
      </c>
      <c r="Y967" t="s">
        <v>4815</v>
      </c>
      <c r="Z967" t="s">
        <v>4815</v>
      </c>
      <c r="AA967">
        <f>IF(Table_TRM_Fixtures[[#This Row],[Pre-EISA Baseline]]="Nominal", Table_TRM_Fixtures[[#This Row],[Fixture Watts  (TRM Data)]], Table_TRM_Fixtures[[#This Row],[Modified Baseline Fixture Watts]])</f>
        <v>26</v>
      </c>
    </row>
    <row r="968" spans="1:27" x14ac:dyDescent="0.2">
      <c r="A968" t="s">
        <v>1704</v>
      </c>
      <c r="B968" t="s">
        <v>5643</v>
      </c>
      <c r="C968" t="s">
        <v>1703</v>
      </c>
      <c r="D968" t="s">
        <v>5644</v>
      </c>
      <c r="E968" t="s">
        <v>187</v>
      </c>
      <c r="F968">
        <v>1</v>
      </c>
      <c r="G968">
        <v>32</v>
      </c>
      <c r="H968">
        <v>28</v>
      </c>
      <c r="I968">
        <v>15.5</v>
      </c>
      <c r="J968" s="110">
        <v>966</v>
      </c>
      <c r="K968" t="s">
        <v>1505</v>
      </c>
      <c r="L968">
        <f>IF(Table_TRM_Fixtures[[#This Row],[Technology]]="LED", Table_TRM_Fixtures[[#This Row],[Fixture Watts  (TRM Data)]], Table_TRM_Fixtures[[#This Row],[Lamp Watts  (TRM Data)]])</f>
        <v>32</v>
      </c>
      <c r="M968">
        <f>Table_TRM_Fixtures[[#This Row],[No. of Lamps  (TRM Data)]]</f>
        <v>1</v>
      </c>
      <c r="N968">
        <v>48</v>
      </c>
      <c r="O968" t="s">
        <v>1381</v>
      </c>
      <c r="P968" t="s">
        <v>187</v>
      </c>
      <c r="Q968" t="s">
        <v>5612</v>
      </c>
      <c r="R968" t="str">
        <f>_xlfn.CONCAT(Table_TRM_Fixtures[[#This Row],[Technology]], ", ", Table_TRM_Fixtures[[#This Row],[Ballast Code]], " Ballast")</f>
        <v>T8, Electronic STD Ballast</v>
      </c>
      <c r="S968" t="str">
        <f>Table_TRM_Fixtures[[#This Row],[Description  (TRM Data)]]</f>
        <v>Fluorescent, (1) 48", T-8 lamp, Tandem 3-lamp IS Ballast, NLO (0.85 &lt; BF &lt; 0.95)</v>
      </c>
      <c r="T968" t="str">
        <f>Table_TRM_Fixtures[[#This Row],[Fixture code  (TRM Data)]]</f>
        <v>F41ILL/T3</v>
      </c>
      <c r="U968" t="s">
        <v>2882</v>
      </c>
      <c r="V968" t="s">
        <v>186</v>
      </c>
      <c r="W968" t="s">
        <v>3120</v>
      </c>
      <c r="X968" t="s">
        <v>186</v>
      </c>
      <c r="Y968" t="s">
        <v>4815</v>
      </c>
      <c r="Z968" t="s">
        <v>4815</v>
      </c>
      <c r="AA968">
        <f>IF(Table_TRM_Fixtures[[#This Row],[Pre-EISA Baseline]]="Nominal", Table_TRM_Fixtures[[#This Row],[Fixture Watts  (TRM Data)]], Table_TRM_Fixtures[[#This Row],[Modified Baseline Fixture Watts]])</f>
        <v>28</v>
      </c>
    </row>
    <row r="969" spans="1:27" x14ac:dyDescent="0.2">
      <c r="A969" t="s">
        <v>1706</v>
      </c>
      <c r="B969" t="s">
        <v>5643</v>
      </c>
      <c r="C969" t="s">
        <v>1705</v>
      </c>
      <c r="D969" t="s">
        <v>5646</v>
      </c>
      <c r="E969" t="s">
        <v>187</v>
      </c>
      <c r="F969">
        <v>1</v>
      </c>
      <c r="G969">
        <v>32</v>
      </c>
      <c r="H969">
        <v>31</v>
      </c>
      <c r="I969">
        <v>15.5</v>
      </c>
      <c r="J969" s="110">
        <v>967</v>
      </c>
      <c r="K969" t="s">
        <v>1505</v>
      </c>
      <c r="L969">
        <f>IF(Table_TRM_Fixtures[[#This Row],[Technology]]="LED", Table_TRM_Fixtures[[#This Row],[Fixture Watts  (TRM Data)]], Table_TRM_Fixtures[[#This Row],[Lamp Watts  (TRM Data)]])</f>
        <v>32</v>
      </c>
      <c r="M969">
        <f>Table_TRM_Fixtures[[#This Row],[No. of Lamps  (TRM Data)]]</f>
        <v>1</v>
      </c>
      <c r="N969">
        <v>48</v>
      </c>
      <c r="O969" t="s">
        <v>1381</v>
      </c>
      <c r="P969" t="s">
        <v>187</v>
      </c>
      <c r="Q969" t="s">
        <v>5566</v>
      </c>
      <c r="R969" t="str">
        <f>_xlfn.CONCAT(Table_TRM_Fixtures[[#This Row],[Technology]], ", ", Table_TRM_Fixtures[[#This Row],[Ballast Code]], " Ballast")</f>
        <v>T8, Electronic HLO Ballast</v>
      </c>
      <c r="S969" t="str">
        <f>Table_TRM_Fixtures[[#This Row],[Description  (TRM Data)]]</f>
        <v>Fluorescent, (1) 48", T-8 lamp, Tandem 4-lamp IS Ballast, 1 lead capped, HLO (0.95 &lt; BF &lt; 1.1)</v>
      </c>
      <c r="T969" t="str">
        <f>Table_TRM_Fixtures[[#This Row],[Fixture code  (TRM Data)]]</f>
        <v>F41ILL/T3-H</v>
      </c>
      <c r="U969" t="s">
        <v>2882</v>
      </c>
      <c r="V969" t="s">
        <v>186</v>
      </c>
      <c r="W969" t="s">
        <v>3120</v>
      </c>
      <c r="X969" t="s">
        <v>186</v>
      </c>
      <c r="Y969" t="s">
        <v>4815</v>
      </c>
      <c r="Z969" t="s">
        <v>4815</v>
      </c>
      <c r="AA969">
        <f>IF(Table_TRM_Fixtures[[#This Row],[Pre-EISA Baseline]]="Nominal", Table_TRM_Fixtures[[#This Row],[Fixture Watts  (TRM Data)]], Table_TRM_Fixtures[[#This Row],[Modified Baseline Fixture Watts]])</f>
        <v>31</v>
      </c>
    </row>
    <row r="970" spans="1:27" x14ac:dyDescent="0.2">
      <c r="A970" t="s">
        <v>1708</v>
      </c>
      <c r="B970" t="s">
        <v>5643</v>
      </c>
      <c r="C970" t="s">
        <v>1707</v>
      </c>
      <c r="D970" t="s">
        <v>5645</v>
      </c>
      <c r="E970" t="s">
        <v>187</v>
      </c>
      <c r="F970">
        <v>1</v>
      </c>
      <c r="G970">
        <v>32</v>
      </c>
      <c r="H970">
        <v>25</v>
      </c>
      <c r="I970">
        <v>15.5</v>
      </c>
      <c r="J970" s="110">
        <v>968</v>
      </c>
      <c r="K970" t="s">
        <v>1505</v>
      </c>
      <c r="L970">
        <f>IF(Table_TRM_Fixtures[[#This Row],[Technology]]="LED", Table_TRM_Fixtures[[#This Row],[Fixture Watts  (TRM Data)]], Table_TRM_Fixtures[[#This Row],[Lamp Watts  (TRM Data)]])</f>
        <v>32</v>
      </c>
      <c r="M970">
        <f>Table_TRM_Fixtures[[#This Row],[No. of Lamps  (TRM Data)]]</f>
        <v>1</v>
      </c>
      <c r="N970">
        <v>48</v>
      </c>
      <c r="O970" t="s">
        <v>1381</v>
      </c>
      <c r="P970" t="s">
        <v>187</v>
      </c>
      <c r="Q970" t="s">
        <v>5614</v>
      </c>
      <c r="R970" t="str">
        <f>_xlfn.CONCAT(Table_TRM_Fixtures[[#This Row],[Technology]], ", ", Table_TRM_Fixtures[[#This Row],[Ballast Code]], " Ballast")</f>
        <v>T8, Electronic RLO Ballast</v>
      </c>
      <c r="S970" t="str">
        <f>Table_TRM_Fixtures[[#This Row],[Description  (TRM Data)]]</f>
        <v>Fluorescent, (1) 48", T-8 lamp, Tandem 3-lamp IS Ballast, RLO (BF&lt; 0.85)</v>
      </c>
      <c r="T970" t="str">
        <f>Table_TRM_Fixtures[[#This Row],[Fixture code  (TRM Data)]]</f>
        <v>F41ILL/T3-R</v>
      </c>
      <c r="U970" t="s">
        <v>2882</v>
      </c>
      <c r="V970" t="s">
        <v>186</v>
      </c>
      <c r="W970" t="s">
        <v>3120</v>
      </c>
      <c r="X970" t="s">
        <v>186</v>
      </c>
      <c r="Y970" t="s">
        <v>4815</v>
      </c>
      <c r="Z970" t="s">
        <v>4815</v>
      </c>
      <c r="AA970">
        <f>IF(Table_TRM_Fixtures[[#This Row],[Pre-EISA Baseline]]="Nominal", Table_TRM_Fixtures[[#This Row],[Fixture Watts  (TRM Data)]], Table_TRM_Fixtures[[#This Row],[Modified Baseline Fixture Watts]])</f>
        <v>25</v>
      </c>
    </row>
    <row r="971" spans="1:27" x14ac:dyDescent="0.2">
      <c r="A971" t="s">
        <v>1710</v>
      </c>
      <c r="B971" t="s">
        <v>5643</v>
      </c>
      <c r="C971" t="s">
        <v>1709</v>
      </c>
      <c r="D971" t="s">
        <v>5644</v>
      </c>
      <c r="E971" t="s">
        <v>187</v>
      </c>
      <c r="F971">
        <v>1</v>
      </c>
      <c r="G971">
        <v>32</v>
      </c>
      <c r="H971">
        <v>28</v>
      </c>
      <c r="I971">
        <v>15.5</v>
      </c>
      <c r="J971" s="110">
        <v>969</v>
      </c>
      <c r="K971" t="s">
        <v>1505</v>
      </c>
      <c r="L971">
        <f>IF(Table_TRM_Fixtures[[#This Row],[Technology]]="LED", Table_TRM_Fixtures[[#This Row],[Fixture Watts  (TRM Data)]], Table_TRM_Fixtures[[#This Row],[Lamp Watts  (TRM Data)]])</f>
        <v>32</v>
      </c>
      <c r="M971">
        <f>Table_TRM_Fixtures[[#This Row],[No. of Lamps  (TRM Data)]]</f>
        <v>1</v>
      </c>
      <c r="N971">
        <v>48</v>
      </c>
      <c r="O971" t="s">
        <v>1381</v>
      </c>
      <c r="P971" t="s">
        <v>187</v>
      </c>
      <c r="Q971" t="s">
        <v>5612</v>
      </c>
      <c r="R971" t="str">
        <f>_xlfn.CONCAT(Table_TRM_Fixtures[[#This Row],[Technology]], ", ", Table_TRM_Fixtures[[#This Row],[Ballast Code]], " Ballast")</f>
        <v>T8, Electronic STD Ballast</v>
      </c>
      <c r="S971" t="str">
        <f>Table_TRM_Fixtures[[#This Row],[Description  (TRM Data)]]</f>
        <v>Fluorescent, (1) 48", T-8 lamp, Tandem 4-lamp IS Ballast, NLO (0.85 &lt; BF &lt; 0.95)</v>
      </c>
      <c r="T971" t="str">
        <f>Table_TRM_Fixtures[[#This Row],[Fixture code  (TRM Data)]]</f>
        <v>F41ILL/T4</v>
      </c>
      <c r="U971" t="s">
        <v>2882</v>
      </c>
      <c r="V971" t="s">
        <v>186</v>
      </c>
      <c r="W971" t="s">
        <v>3120</v>
      </c>
      <c r="X971" t="s">
        <v>186</v>
      </c>
      <c r="Y971" t="s">
        <v>4815</v>
      </c>
      <c r="Z971" t="s">
        <v>4815</v>
      </c>
      <c r="AA971">
        <f>IF(Table_TRM_Fixtures[[#This Row],[Pre-EISA Baseline]]="Nominal", Table_TRM_Fixtures[[#This Row],[Fixture Watts  (TRM Data)]], Table_TRM_Fixtures[[#This Row],[Modified Baseline Fixture Watts]])</f>
        <v>28</v>
      </c>
    </row>
    <row r="972" spans="1:27" x14ac:dyDescent="0.2">
      <c r="A972" t="s">
        <v>1712</v>
      </c>
      <c r="B972" t="s">
        <v>5643</v>
      </c>
      <c r="C972" t="s">
        <v>1711</v>
      </c>
      <c r="D972" t="s">
        <v>5645</v>
      </c>
      <c r="E972" t="s">
        <v>187</v>
      </c>
      <c r="F972">
        <v>1</v>
      </c>
      <c r="G972">
        <v>32</v>
      </c>
      <c r="H972">
        <v>25</v>
      </c>
      <c r="I972">
        <v>15.5</v>
      </c>
      <c r="J972" s="110">
        <v>970</v>
      </c>
      <c r="K972" t="s">
        <v>1505</v>
      </c>
      <c r="L972">
        <f>IF(Table_TRM_Fixtures[[#This Row],[Technology]]="LED", Table_TRM_Fixtures[[#This Row],[Fixture Watts  (TRM Data)]], Table_TRM_Fixtures[[#This Row],[Lamp Watts  (TRM Data)]])</f>
        <v>32</v>
      </c>
      <c r="M972">
        <f>Table_TRM_Fixtures[[#This Row],[No. of Lamps  (TRM Data)]]</f>
        <v>1</v>
      </c>
      <c r="N972">
        <v>48</v>
      </c>
      <c r="O972" t="s">
        <v>1381</v>
      </c>
      <c r="P972" t="s">
        <v>187</v>
      </c>
      <c r="Q972" t="s">
        <v>5614</v>
      </c>
      <c r="R972" t="str">
        <f>_xlfn.CONCAT(Table_TRM_Fixtures[[#This Row],[Technology]], ", ", Table_TRM_Fixtures[[#This Row],[Ballast Code]], " Ballast")</f>
        <v>T8, Electronic RLO Ballast</v>
      </c>
      <c r="S972" t="str">
        <f>Table_TRM_Fixtures[[#This Row],[Description  (TRM Data)]]</f>
        <v>Fluorescent, (1) 48", T-8 lamp, Tandem 4-lamp IS Ballast, RLO (BF&lt; 0.85)</v>
      </c>
      <c r="T972" t="str">
        <f>Table_TRM_Fixtures[[#This Row],[Fixture code  (TRM Data)]]</f>
        <v>F41ILL/T4-R</v>
      </c>
      <c r="U972" t="s">
        <v>2882</v>
      </c>
      <c r="V972" t="s">
        <v>186</v>
      </c>
      <c r="W972" t="s">
        <v>3120</v>
      </c>
      <c r="X972" t="s">
        <v>186</v>
      </c>
      <c r="Y972" t="s">
        <v>4815</v>
      </c>
      <c r="Z972" t="s">
        <v>4815</v>
      </c>
      <c r="AA972">
        <f>IF(Table_TRM_Fixtures[[#This Row],[Pre-EISA Baseline]]="Nominal", Table_TRM_Fixtures[[#This Row],[Fixture Watts  (TRM Data)]], Table_TRM_Fixtures[[#This Row],[Modified Baseline Fixture Watts]])</f>
        <v>25</v>
      </c>
    </row>
    <row r="973" spans="1:27" x14ac:dyDescent="0.2">
      <c r="A973" t="s">
        <v>1713</v>
      </c>
      <c r="B973" t="s">
        <v>5643</v>
      </c>
      <c r="C973" t="s">
        <v>1691</v>
      </c>
      <c r="D973" t="s">
        <v>5644</v>
      </c>
      <c r="E973" t="s">
        <v>187</v>
      </c>
      <c r="F973">
        <v>1</v>
      </c>
      <c r="G973">
        <v>32</v>
      </c>
      <c r="H973">
        <v>28</v>
      </c>
      <c r="I973">
        <v>15.5</v>
      </c>
      <c r="J973" s="110">
        <v>971</v>
      </c>
      <c r="K973" t="s">
        <v>1505</v>
      </c>
      <c r="L973">
        <f>IF(Table_TRM_Fixtures[[#This Row],[Technology]]="LED", Table_TRM_Fixtures[[#This Row],[Fixture Watts  (TRM Data)]], Table_TRM_Fixtures[[#This Row],[Lamp Watts  (TRM Data)]])</f>
        <v>32</v>
      </c>
      <c r="M973">
        <f>Table_TRM_Fixtures[[#This Row],[No. of Lamps  (TRM Data)]]</f>
        <v>1</v>
      </c>
      <c r="N973">
        <v>48</v>
      </c>
      <c r="O973" t="s">
        <v>1381</v>
      </c>
      <c r="P973" t="s">
        <v>187</v>
      </c>
      <c r="Q973" t="s">
        <v>5612</v>
      </c>
      <c r="R973" t="str">
        <f>_xlfn.CONCAT(Table_TRM_Fixtures[[#This Row],[Technology]], ", ", Table_TRM_Fixtures[[#This Row],[Ballast Code]], " Ballast")</f>
        <v>T8, Electronic STD Ballast</v>
      </c>
      <c r="S973" t="str">
        <f>Table_TRM_Fixtures[[#This Row],[Description  (TRM Data)]]</f>
        <v>Fluorescent, (1) 48", T-8 lamp, Instant Start Ballast, NLO (0.85 &lt; BF &lt; 0.95)</v>
      </c>
      <c r="T973" t="str">
        <f>Table_TRM_Fixtures[[#This Row],[Fixture code  (TRM Data)]]</f>
        <v>F41ILU</v>
      </c>
      <c r="U973" t="s">
        <v>2882</v>
      </c>
      <c r="V973" t="s">
        <v>186</v>
      </c>
      <c r="W973" t="s">
        <v>3120</v>
      </c>
      <c r="X973" t="s">
        <v>186</v>
      </c>
      <c r="Y973" t="s">
        <v>4815</v>
      </c>
      <c r="Z973" t="s">
        <v>4815</v>
      </c>
      <c r="AA973">
        <f>IF(Table_TRM_Fixtures[[#This Row],[Pre-EISA Baseline]]="Nominal", Table_TRM_Fixtures[[#This Row],[Fixture Watts  (TRM Data)]], Table_TRM_Fixtures[[#This Row],[Modified Baseline Fixture Watts]])</f>
        <v>28</v>
      </c>
    </row>
    <row r="974" spans="1:27" x14ac:dyDescent="0.2">
      <c r="A974" t="s">
        <v>1714</v>
      </c>
      <c r="B974" t="s">
        <v>5643</v>
      </c>
      <c r="C974" t="s">
        <v>1693</v>
      </c>
      <c r="D974" t="s">
        <v>5646</v>
      </c>
      <c r="E974" t="s">
        <v>187</v>
      </c>
      <c r="F974">
        <v>1</v>
      </c>
      <c r="G974">
        <v>32</v>
      </c>
      <c r="H974">
        <v>35</v>
      </c>
      <c r="I974">
        <v>15.5</v>
      </c>
      <c r="J974" s="110">
        <v>972</v>
      </c>
      <c r="K974" t="s">
        <v>1505</v>
      </c>
      <c r="L974">
        <f>IF(Table_TRM_Fixtures[[#This Row],[Technology]]="LED", Table_TRM_Fixtures[[#This Row],[Fixture Watts  (TRM Data)]], Table_TRM_Fixtures[[#This Row],[Lamp Watts  (TRM Data)]])</f>
        <v>32</v>
      </c>
      <c r="M974">
        <f>Table_TRM_Fixtures[[#This Row],[No. of Lamps  (TRM Data)]]</f>
        <v>1</v>
      </c>
      <c r="N974">
        <v>48</v>
      </c>
      <c r="O974" t="s">
        <v>1381</v>
      </c>
      <c r="P974" t="s">
        <v>187</v>
      </c>
      <c r="Q974" t="s">
        <v>5566</v>
      </c>
      <c r="R974" t="str">
        <f>_xlfn.CONCAT(Table_TRM_Fixtures[[#This Row],[Technology]], ", ", Table_TRM_Fixtures[[#This Row],[Ballast Code]], " Ballast")</f>
        <v>T8, Electronic HLO Ballast</v>
      </c>
      <c r="S974" t="str">
        <f>Table_TRM_Fixtures[[#This Row],[Description  (TRM Data)]]</f>
        <v>Fluorescent, (1) 48", T-8 lamp, Instant Start Ballast, HLO (0.95 &lt; BF &lt; 1.1)</v>
      </c>
      <c r="T974" t="str">
        <f>Table_TRM_Fixtures[[#This Row],[Fixture code  (TRM Data)]]</f>
        <v>F41ILU-H</v>
      </c>
      <c r="U974" t="s">
        <v>2882</v>
      </c>
      <c r="V974" t="s">
        <v>186</v>
      </c>
      <c r="W974" t="s">
        <v>3120</v>
      </c>
      <c r="X974" t="s">
        <v>186</v>
      </c>
      <c r="Y974" t="s">
        <v>4815</v>
      </c>
      <c r="Z974" t="s">
        <v>4815</v>
      </c>
      <c r="AA974">
        <f>IF(Table_TRM_Fixtures[[#This Row],[Pre-EISA Baseline]]="Nominal", Table_TRM_Fixtures[[#This Row],[Fixture Watts  (TRM Data)]], Table_TRM_Fixtures[[#This Row],[Modified Baseline Fixture Watts]])</f>
        <v>35</v>
      </c>
    </row>
    <row r="975" spans="1:27" x14ac:dyDescent="0.2">
      <c r="A975" t="s">
        <v>1715</v>
      </c>
      <c r="B975" t="s">
        <v>5643</v>
      </c>
      <c r="C975" t="s">
        <v>1695</v>
      </c>
      <c r="D975" t="s">
        <v>5645</v>
      </c>
      <c r="E975" t="s">
        <v>187</v>
      </c>
      <c r="F975">
        <v>1</v>
      </c>
      <c r="G975">
        <v>32</v>
      </c>
      <c r="H975">
        <v>25</v>
      </c>
      <c r="I975">
        <v>15.5</v>
      </c>
      <c r="J975" s="110">
        <v>973</v>
      </c>
      <c r="K975" t="s">
        <v>1505</v>
      </c>
      <c r="L975">
        <f>IF(Table_TRM_Fixtures[[#This Row],[Technology]]="LED", Table_TRM_Fixtures[[#This Row],[Fixture Watts  (TRM Data)]], Table_TRM_Fixtures[[#This Row],[Lamp Watts  (TRM Data)]])</f>
        <v>32</v>
      </c>
      <c r="M975">
        <f>Table_TRM_Fixtures[[#This Row],[No. of Lamps  (TRM Data)]]</f>
        <v>1</v>
      </c>
      <c r="N975">
        <v>48</v>
      </c>
      <c r="O975" t="s">
        <v>1381</v>
      </c>
      <c r="P975" t="s">
        <v>187</v>
      </c>
      <c r="Q975" t="s">
        <v>5614</v>
      </c>
      <c r="R975" t="str">
        <f>_xlfn.CONCAT(Table_TRM_Fixtures[[#This Row],[Technology]], ", ", Table_TRM_Fixtures[[#This Row],[Ballast Code]], " Ballast")</f>
        <v>T8, Electronic RLO Ballast</v>
      </c>
      <c r="S975" t="str">
        <f>Table_TRM_Fixtures[[#This Row],[Description  (TRM Data)]]</f>
        <v>Fluorescent, (1) 48", T-8 lamp, Instant Start Ballast, RLO (BF&lt; 0.85)</v>
      </c>
      <c r="T975" t="str">
        <f>Table_TRM_Fixtures[[#This Row],[Fixture code  (TRM Data)]]</f>
        <v>F41ILU-R</v>
      </c>
      <c r="U975" t="s">
        <v>2882</v>
      </c>
      <c r="V975" t="s">
        <v>186</v>
      </c>
      <c r="W975" t="s">
        <v>3120</v>
      </c>
      <c r="X975" t="s">
        <v>186</v>
      </c>
      <c r="Y975" t="s">
        <v>4815</v>
      </c>
      <c r="Z975" t="s">
        <v>4815</v>
      </c>
      <c r="AA975">
        <f>IF(Table_TRM_Fixtures[[#This Row],[Pre-EISA Baseline]]="Nominal", Table_TRM_Fixtures[[#This Row],[Fixture Watts  (TRM Data)]], Table_TRM_Fixtures[[#This Row],[Modified Baseline Fixture Watts]])</f>
        <v>25</v>
      </c>
    </row>
    <row r="976" spans="1:27" x14ac:dyDescent="0.2">
      <c r="A976" t="s">
        <v>1716</v>
      </c>
      <c r="B976" t="s">
        <v>5643</v>
      </c>
      <c r="C976" t="s">
        <v>1697</v>
      </c>
      <c r="D976" t="s">
        <v>5644</v>
      </c>
      <c r="E976" t="s">
        <v>187</v>
      </c>
      <c r="F976">
        <v>1</v>
      </c>
      <c r="G976">
        <v>32</v>
      </c>
      <c r="H976">
        <v>27</v>
      </c>
      <c r="I976">
        <v>15.5</v>
      </c>
      <c r="J976" s="110">
        <v>974</v>
      </c>
      <c r="K976" t="s">
        <v>1505</v>
      </c>
      <c r="L976">
        <f>IF(Table_TRM_Fixtures[[#This Row],[Technology]]="LED", Table_TRM_Fixtures[[#This Row],[Fixture Watts  (TRM Data)]], Table_TRM_Fixtures[[#This Row],[Lamp Watts  (TRM Data)]])</f>
        <v>32</v>
      </c>
      <c r="M976">
        <f>Table_TRM_Fixtures[[#This Row],[No. of Lamps  (TRM Data)]]</f>
        <v>1</v>
      </c>
      <c r="N976">
        <v>48</v>
      </c>
      <c r="O976" t="s">
        <v>1381</v>
      </c>
      <c r="P976" t="s">
        <v>187</v>
      </c>
      <c r="Q976" t="s">
        <v>5612</v>
      </c>
      <c r="R976" t="str">
        <f>_xlfn.CONCAT(Table_TRM_Fixtures[[#This Row],[Technology]], ", ", Table_TRM_Fixtures[[#This Row],[Ballast Code]], " Ballast")</f>
        <v>T8, Electronic STD Ballast</v>
      </c>
      <c r="S976" t="str">
        <f>Table_TRM_Fixtures[[#This Row],[Description  (TRM Data)]]</f>
        <v>Fluorescent, (1) 48", T-8 lamp, Tandem 2-lamp IS Ballast, NLO (0.85 &lt; BF &lt; 0.95)</v>
      </c>
      <c r="T976" t="str">
        <f>Table_TRM_Fixtures[[#This Row],[Fixture code  (TRM Data)]]</f>
        <v>F41ILU/T2</v>
      </c>
      <c r="U976" t="s">
        <v>2882</v>
      </c>
      <c r="V976" t="s">
        <v>186</v>
      </c>
      <c r="W976" t="s">
        <v>3120</v>
      </c>
      <c r="X976" t="s">
        <v>186</v>
      </c>
      <c r="Y976" t="s">
        <v>4815</v>
      </c>
      <c r="Z976" t="s">
        <v>4815</v>
      </c>
      <c r="AA976">
        <f>IF(Table_TRM_Fixtures[[#This Row],[Pre-EISA Baseline]]="Nominal", Table_TRM_Fixtures[[#This Row],[Fixture Watts  (TRM Data)]], Table_TRM_Fixtures[[#This Row],[Modified Baseline Fixture Watts]])</f>
        <v>27</v>
      </c>
    </row>
    <row r="977" spans="1:27" x14ac:dyDescent="0.2">
      <c r="A977" t="s">
        <v>1717</v>
      </c>
      <c r="B977" t="s">
        <v>5643</v>
      </c>
      <c r="C977" t="s">
        <v>1701</v>
      </c>
      <c r="D977" t="s">
        <v>5645</v>
      </c>
      <c r="E977" t="s">
        <v>187</v>
      </c>
      <c r="F977">
        <v>1</v>
      </c>
      <c r="G977">
        <v>32</v>
      </c>
      <c r="H977">
        <v>24</v>
      </c>
      <c r="I977">
        <v>15.5</v>
      </c>
      <c r="J977" s="110">
        <v>975</v>
      </c>
      <c r="K977" t="s">
        <v>1505</v>
      </c>
      <c r="L977">
        <f>IF(Table_TRM_Fixtures[[#This Row],[Technology]]="LED", Table_TRM_Fixtures[[#This Row],[Fixture Watts  (TRM Data)]], Table_TRM_Fixtures[[#This Row],[Lamp Watts  (TRM Data)]])</f>
        <v>32</v>
      </c>
      <c r="M977">
        <f>Table_TRM_Fixtures[[#This Row],[No. of Lamps  (TRM Data)]]</f>
        <v>1</v>
      </c>
      <c r="N977">
        <v>48</v>
      </c>
      <c r="O977" t="s">
        <v>1381</v>
      </c>
      <c r="P977" t="s">
        <v>187</v>
      </c>
      <c r="Q977" t="s">
        <v>5614</v>
      </c>
      <c r="R977" t="str">
        <f>_xlfn.CONCAT(Table_TRM_Fixtures[[#This Row],[Technology]], ", ", Table_TRM_Fixtures[[#This Row],[Ballast Code]], " Ballast")</f>
        <v>T8, Electronic RLO Ballast</v>
      </c>
      <c r="S977" t="str">
        <f>Table_TRM_Fixtures[[#This Row],[Description  (TRM Data)]]</f>
        <v>Fluorescent, (1) 48", T-8 lamp, Tandem 2-lamp IS Ballast, RLO (BF&lt; 0.85)</v>
      </c>
      <c r="T977" t="str">
        <f>Table_TRM_Fixtures[[#This Row],[Fixture code  (TRM Data)]]</f>
        <v>F41ILU/T2-R</v>
      </c>
      <c r="U977" t="s">
        <v>2882</v>
      </c>
      <c r="V977" t="s">
        <v>186</v>
      </c>
      <c r="W977" t="s">
        <v>3120</v>
      </c>
      <c r="X977" t="s">
        <v>186</v>
      </c>
      <c r="Y977" t="s">
        <v>4815</v>
      </c>
      <c r="Z977" t="s">
        <v>4815</v>
      </c>
      <c r="AA977">
        <f>IF(Table_TRM_Fixtures[[#This Row],[Pre-EISA Baseline]]="Nominal", Table_TRM_Fixtures[[#This Row],[Fixture Watts  (TRM Data)]], Table_TRM_Fixtures[[#This Row],[Modified Baseline Fixture Watts]])</f>
        <v>24</v>
      </c>
    </row>
    <row r="978" spans="1:27" x14ac:dyDescent="0.2">
      <c r="A978" t="s">
        <v>1718</v>
      </c>
      <c r="B978" t="s">
        <v>5643</v>
      </c>
      <c r="C978" t="s">
        <v>1703</v>
      </c>
      <c r="D978" t="s">
        <v>5644</v>
      </c>
      <c r="E978" t="s">
        <v>187</v>
      </c>
      <c r="F978">
        <v>1</v>
      </c>
      <c r="G978">
        <v>32</v>
      </c>
      <c r="H978">
        <v>27</v>
      </c>
      <c r="I978">
        <v>15.5</v>
      </c>
      <c r="J978" s="110">
        <v>976</v>
      </c>
      <c r="K978" t="s">
        <v>1505</v>
      </c>
      <c r="L978">
        <f>IF(Table_TRM_Fixtures[[#This Row],[Technology]]="LED", Table_TRM_Fixtures[[#This Row],[Fixture Watts  (TRM Data)]], Table_TRM_Fixtures[[#This Row],[Lamp Watts  (TRM Data)]])</f>
        <v>32</v>
      </c>
      <c r="M978">
        <f>Table_TRM_Fixtures[[#This Row],[No. of Lamps  (TRM Data)]]</f>
        <v>1</v>
      </c>
      <c r="N978">
        <v>48</v>
      </c>
      <c r="O978" t="s">
        <v>1381</v>
      </c>
      <c r="P978" t="s">
        <v>187</v>
      </c>
      <c r="Q978" t="s">
        <v>5612</v>
      </c>
      <c r="R978" t="str">
        <f>_xlfn.CONCAT(Table_TRM_Fixtures[[#This Row],[Technology]], ", ", Table_TRM_Fixtures[[#This Row],[Ballast Code]], " Ballast")</f>
        <v>T8, Electronic STD Ballast</v>
      </c>
      <c r="S978" t="str">
        <f>Table_TRM_Fixtures[[#This Row],[Description  (TRM Data)]]</f>
        <v>Fluorescent, (1) 48", T-8 lamp, Tandem 3-lamp IS Ballast, NLO (0.85 &lt; BF &lt; 0.95)</v>
      </c>
      <c r="T978" t="str">
        <f>Table_TRM_Fixtures[[#This Row],[Fixture code  (TRM Data)]]</f>
        <v>F41ILU/T3</v>
      </c>
      <c r="U978" t="s">
        <v>2882</v>
      </c>
      <c r="V978" t="s">
        <v>186</v>
      </c>
      <c r="W978" t="s">
        <v>3120</v>
      </c>
      <c r="X978" t="s">
        <v>186</v>
      </c>
      <c r="Y978" t="s">
        <v>4815</v>
      </c>
      <c r="Z978" t="s">
        <v>4815</v>
      </c>
      <c r="AA978">
        <f>IF(Table_TRM_Fixtures[[#This Row],[Pre-EISA Baseline]]="Nominal", Table_TRM_Fixtures[[#This Row],[Fixture Watts  (TRM Data)]], Table_TRM_Fixtures[[#This Row],[Modified Baseline Fixture Watts]])</f>
        <v>27</v>
      </c>
    </row>
    <row r="979" spans="1:27" x14ac:dyDescent="0.2">
      <c r="A979" t="s">
        <v>1719</v>
      </c>
      <c r="B979" t="s">
        <v>5643</v>
      </c>
      <c r="C979" t="s">
        <v>1707</v>
      </c>
      <c r="D979" t="s">
        <v>5645</v>
      </c>
      <c r="E979" t="s">
        <v>187</v>
      </c>
      <c r="F979">
        <v>1</v>
      </c>
      <c r="G979">
        <v>32</v>
      </c>
      <c r="H979">
        <v>24</v>
      </c>
      <c r="I979">
        <v>15.5</v>
      </c>
      <c r="J979" s="110">
        <v>977</v>
      </c>
      <c r="K979" t="s">
        <v>1505</v>
      </c>
      <c r="L979">
        <f>IF(Table_TRM_Fixtures[[#This Row],[Technology]]="LED", Table_TRM_Fixtures[[#This Row],[Fixture Watts  (TRM Data)]], Table_TRM_Fixtures[[#This Row],[Lamp Watts  (TRM Data)]])</f>
        <v>32</v>
      </c>
      <c r="M979">
        <f>Table_TRM_Fixtures[[#This Row],[No. of Lamps  (TRM Data)]]</f>
        <v>1</v>
      </c>
      <c r="N979">
        <v>48</v>
      </c>
      <c r="O979" t="s">
        <v>1381</v>
      </c>
      <c r="P979" t="s">
        <v>187</v>
      </c>
      <c r="Q979" t="s">
        <v>5614</v>
      </c>
      <c r="R979" t="str">
        <f>_xlfn.CONCAT(Table_TRM_Fixtures[[#This Row],[Technology]], ", ", Table_TRM_Fixtures[[#This Row],[Ballast Code]], " Ballast")</f>
        <v>T8, Electronic RLO Ballast</v>
      </c>
      <c r="S979" t="str">
        <f>Table_TRM_Fixtures[[#This Row],[Description  (TRM Data)]]</f>
        <v>Fluorescent, (1) 48", T-8 lamp, Tandem 3-lamp IS Ballast, RLO (BF&lt; 0.85)</v>
      </c>
      <c r="T979" t="str">
        <f>Table_TRM_Fixtures[[#This Row],[Fixture code  (TRM Data)]]</f>
        <v>F41ILU/T3-R</v>
      </c>
      <c r="U979" t="s">
        <v>2882</v>
      </c>
      <c r="V979" t="s">
        <v>186</v>
      </c>
      <c r="W979" t="s">
        <v>3120</v>
      </c>
      <c r="X979" t="s">
        <v>186</v>
      </c>
      <c r="Y979" t="s">
        <v>4815</v>
      </c>
      <c r="Z979" t="s">
        <v>4815</v>
      </c>
      <c r="AA979">
        <f>IF(Table_TRM_Fixtures[[#This Row],[Pre-EISA Baseline]]="Nominal", Table_TRM_Fixtures[[#This Row],[Fixture Watts  (TRM Data)]], Table_TRM_Fixtures[[#This Row],[Modified Baseline Fixture Watts]])</f>
        <v>24</v>
      </c>
    </row>
    <row r="980" spans="1:27" x14ac:dyDescent="0.2">
      <c r="A980" t="s">
        <v>1720</v>
      </c>
      <c r="B980" t="s">
        <v>5643</v>
      </c>
      <c r="C980" t="s">
        <v>1709</v>
      </c>
      <c r="D980" t="s">
        <v>5644</v>
      </c>
      <c r="E980" t="s">
        <v>187</v>
      </c>
      <c r="F980">
        <v>1</v>
      </c>
      <c r="G980">
        <v>32</v>
      </c>
      <c r="H980">
        <v>27</v>
      </c>
      <c r="I980">
        <v>15.5</v>
      </c>
      <c r="J980" s="110">
        <v>978</v>
      </c>
      <c r="K980" t="s">
        <v>1505</v>
      </c>
      <c r="L980">
        <f>IF(Table_TRM_Fixtures[[#This Row],[Technology]]="LED", Table_TRM_Fixtures[[#This Row],[Fixture Watts  (TRM Data)]], Table_TRM_Fixtures[[#This Row],[Lamp Watts  (TRM Data)]])</f>
        <v>32</v>
      </c>
      <c r="M980">
        <f>Table_TRM_Fixtures[[#This Row],[No. of Lamps  (TRM Data)]]</f>
        <v>1</v>
      </c>
      <c r="N980">
        <v>48</v>
      </c>
      <c r="O980" t="s">
        <v>1381</v>
      </c>
      <c r="P980" t="s">
        <v>187</v>
      </c>
      <c r="Q980" t="s">
        <v>5612</v>
      </c>
      <c r="R980" t="str">
        <f>_xlfn.CONCAT(Table_TRM_Fixtures[[#This Row],[Technology]], ", ", Table_TRM_Fixtures[[#This Row],[Ballast Code]], " Ballast")</f>
        <v>T8, Electronic STD Ballast</v>
      </c>
      <c r="S980" t="str">
        <f>Table_TRM_Fixtures[[#This Row],[Description  (TRM Data)]]</f>
        <v>Fluorescent, (1) 48", T-8 lamp, Tandem 4-lamp IS Ballast, NLO (0.85 &lt; BF &lt; 0.95)</v>
      </c>
      <c r="T980" t="str">
        <f>Table_TRM_Fixtures[[#This Row],[Fixture code  (TRM Data)]]</f>
        <v>F41ILU/T4</v>
      </c>
      <c r="U980" t="s">
        <v>2882</v>
      </c>
      <c r="V980" t="s">
        <v>186</v>
      </c>
      <c r="W980" t="s">
        <v>3120</v>
      </c>
      <c r="X980" t="s">
        <v>186</v>
      </c>
      <c r="Y980" t="s">
        <v>4815</v>
      </c>
      <c r="Z980" t="s">
        <v>4815</v>
      </c>
      <c r="AA980">
        <f>IF(Table_TRM_Fixtures[[#This Row],[Pre-EISA Baseline]]="Nominal", Table_TRM_Fixtures[[#This Row],[Fixture Watts  (TRM Data)]], Table_TRM_Fixtures[[#This Row],[Modified Baseline Fixture Watts]])</f>
        <v>27</v>
      </c>
    </row>
    <row r="981" spans="1:27" x14ac:dyDescent="0.2">
      <c r="A981" t="s">
        <v>1721</v>
      </c>
      <c r="B981" t="s">
        <v>5643</v>
      </c>
      <c r="C981" t="s">
        <v>1711</v>
      </c>
      <c r="D981" t="s">
        <v>5645</v>
      </c>
      <c r="E981" t="s">
        <v>187</v>
      </c>
      <c r="F981">
        <v>1</v>
      </c>
      <c r="G981">
        <v>32</v>
      </c>
      <c r="H981">
        <v>24</v>
      </c>
      <c r="I981">
        <v>15.5</v>
      </c>
      <c r="J981" s="110">
        <v>979</v>
      </c>
      <c r="K981" t="s">
        <v>1505</v>
      </c>
      <c r="L981">
        <f>IF(Table_TRM_Fixtures[[#This Row],[Technology]]="LED", Table_TRM_Fixtures[[#This Row],[Fixture Watts  (TRM Data)]], Table_TRM_Fixtures[[#This Row],[Lamp Watts  (TRM Data)]])</f>
        <v>32</v>
      </c>
      <c r="M981">
        <f>Table_TRM_Fixtures[[#This Row],[No. of Lamps  (TRM Data)]]</f>
        <v>1</v>
      </c>
      <c r="N981">
        <v>48</v>
      </c>
      <c r="O981" t="s">
        <v>1381</v>
      </c>
      <c r="P981" t="s">
        <v>187</v>
      </c>
      <c r="Q981" t="s">
        <v>5614</v>
      </c>
      <c r="R981" t="str">
        <f>_xlfn.CONCAT(Table_TRM_Fixtures[[#This Row],[Technology]], ", ", Table_TRM_Fixtures[[#This Row],[Ballast Code]], " Ballast")</f>
        <v>T8, Electronic RLO Ballast</v>
      </c>
      <c r="S981" t="str">
        <f>Table_TRM_Fixtures[[#This Row],[Description  (TRM Data)]]</f>
        <v>Fluorescent, (1) 48", T-8 lamp, Tandem 4-lamp IS Ballast, RLO (BF&lt; 0.85)</v>
      </c>
      <c r="T981" t="str">
        <f>Table_TRM_Fixtures[[#This Row],[Fixture code  (TRM Data)]]</f>
        <v>F41ILU/T4-R</v>
      </c>
      <c r="U981" t="s">
        <v>2882</v>
      </c>
      <c r="V981" t="s">
        <v>186</v>
      </c>
      <c r="W981" t="s">
        <v>3120</v>
      </c>
      <c r="X981" t="s">
        <v>186</v>
      </c>
      <c r="Y981" t="s">
        <v>4815</v>
      </c>
      <c r="Z981" t="s">
        <v>4815</v>
      </c>
      <c r="AA981">
        <f>IF(Table_TRM_Fixtures[[#This Row],[Pre-EISA Baseline]]="Nominal", Table_TRM_Fixtures[[#This Row],[Fixture Watts  (TRM Data)]], Table_TRM_Fixtures[[#This Row],[Modified Baseline Fixture Watts]])</f>
        <v>24</v>
      </c>
    </row>
    <row r="982" spans="1:27" x14ac:dyDescent="0.2">
      <c r="A982" t="s">
        <v>1724</v>
      </c>
      <c r="B982" t="s">
        <v>5643</v>
      </c>
      <c r="C982" t="s">
        <v>1723</v>
      </c>
      <c r="D982" t="s">
        <v>5644</v>
      </c>
      <c r="E982" t="s">
        <v>1722</v>
      </c>
      <c r="F982">
        <v>1</v>
      </c>
      <c r="G982">
        <v>32</v>
      </c>
      <c r="H982">
        <v>35</v>
      </c>
      <c r="I982">
        <v>15.5</v>
      </c>
      <c r="J982" s="110">
        <v>980</v>
      </c>
      <c r="K982" t="s">
        <v>1505</v>
      </c>
      <c r="L982">
        <f>IF(Table_TRM_Fixtures[[#This Row],[Technology]]="LED", Table_TRM_Fixtures[[#This Row],[Fixture Watts  (TRM Data)]], Table_TRM_Fixtures[[#This Row],[Lamp Watts  (TRM Data)]])</f>
        <v>32</v>
      </c>
      <c r="M982">
        <f>Table_TRM_Fixtures[[#This Row],[No. of Lamps  (TRM Data)]]</f>
        <v>1</v>
      </c>
      <c r="N982">
        <v>48</v>
      </c>
      <c r="O982" t="s">
        <v>1381</v>
      </c>
      <c r="P982" t="s">
        <v>2640</v>
      </c>
      <c r="Q982" t="s">
        <v>5608</v>
      </c>
      <c r="R982" t="str">
        <f>_xlfn.CONCAT(Table_TRM_Fixtures[[#This Row],[Technology]], ", ", Table_TRM_Fixtures[[#This Row],[Ballast Code]], " Ballast")</f>
        <v>T8, Magnetic STD Ballast</v>
      </c>
      <c r="S982" t="str">
        <f>Table_TRM_Fixtures[[#This Row],[Description  (TRM Data)]]</f>
        <v>Fluorescent, (1) 48", T-8 lamp</v>
      </c>
      <c r="T982" t="str">
        <f>Table_TRM_Fixtures[[#This Row],[Fixture code  (TRM Data)]]</f>
        <v>F41LE</v>
      </c>
      <c r="U982" t="s">
        <v>2882</v>
      </c>
      <c r="V982" t="s">
        <v>186</v>
      </c>
      <c r="W982" t="s">
        <v>3120</v>
      </c>
      <c r="X982" t="s">
        <v>186</v>
      </c>
      <c r="Y982" t="str">
        <f>_xlfn.CONCAT(Table_TRM_Fixtures[[#This Row],[Combined Lighting/Ballast Types]],":",Table_TRM_Fixtures[[#This Row],[No. of Lamps]], ":", Table_TRM_Fixtures[[#This Row],[Lamp Watts  (TRM Data)]])</f>
        <v>T8, Magnetic STD Ballast:1:32</v>
      </c>
      <c r="Z982" t="s">
        <v>4815</v>
      </c>
      <c r="AA982">
        <f>IF(Table_TRM_Fixtures[[#This Row],[Pre-EISA Baseline]]="Nominal", Table_TRM_Fixtures[[#This Row],[Fixture Watts  (TRM Data)]], Table_TRM_Fixtures[[#This Row],[Modified Baseline Fixture Watts]])</f>
        <v>35</v>
      </c>
    </row>
    <row r="983" spans="1:27" x14ac:dyDescent="0.2">
      <c r="A983" t="s">
        <v>1726</v>
      </c>
      <c r="B983" t="s">
        <v>5643</v>
      </c>
      <c r="C983" t="s">
        <v>1725</v>
      </c>
      <c r="D983" t="s">
        <v>5644</v>
      </c>
      <c r="E983" t="s">
        <v>187</v>
      </c>
      <c r="F983">
        <v>1</v>
      </c>
      <c r="G983">
        <v>32</v>
      </c>
      <c r="H983">
        <v>32</v>
      </c>
      <c r="I983">
        <v>15.5</v>
      </c>
      <c r="J983" s="110">
        <v>981</v>
      </c>
      <c r="K983" t="s">
        <v>1505</v>
      </c>
      <c r="L983">
        <f>IF(Table_TRM_Fixtures[[#This Row],[Technology]]="LED", Table_TRM_Fixtures[[#This Row],[Fixture Watts  (TRM Data)]], Table_TRM_Fixtures[[#This Row],[Lamp Watts  (TRM Data)]])</f>
        <v>32</v>
      </c>
      <c r="M983">
        <f>Table_TRM_Fixtures[[#This Row],[No. of Lamps  (TRM Data)]]</f>
        <v>1</v>
      </c>
      <c r="N983">
        <v>48</v>
      </c>
      <c r="O983" t="s">
        <v>1381</v>
      </c>
      <c r="P983" t="s">
        <v>187</v>
      </c>
      <c r="Q983" t="s">
        <v>5612</v>
      </c>
      <c r="R983" t="str">
        <f>_xlfn.CONCAT(Table_TRM_Fixtures[[#This Row],[Technology]], ", ", Table_TRM_Fixtures[[#This Row],[Ballast Code]], " Ballast")</f>
        <v>T8, Electronic STD Ballast</v>
      </c>
      <c r="S983" t="str">
        <f>Table_TRM_Fixtures[[#This Row],[Description  (TRM Data)]]</f>
        <v>Fluorescent, (1) 48", T-8 lamp, Rapid Start Ballast, NLO (0.85 &lt; BF &lt; 0.95)</v>
      </c>
      <c r="T983" t="str">
        <f>Table_TRM_Fixtures[[#This Row],[Fixture code  (TRM Data)]]</f>
        <v>F41LL</v>
      </c>
      <c r="U983" t="s">
        <v>2882</v>
      </c>
      <c r="V983" t="s">
        <v>186</v>
      </c>
      <c r="W983" t="s">
        <v>3120</v>
      </c>
      <c r="X983" t="s">
        <v>186</v>
      </c>
      <c r="Y983" t="s">
        <v>4815</v>
      </c>
      <c r="Z983" t="s">
        <v>4815</v>
      </c>
      <c r="AA983">
        <f>IF(Table_TRM_Fixtures[[#This Row],[Pre-EISA Baseline]]="Nominal", Table_TRM_Fixtures[[#This Row],[Fixture Watts  (TRM Data)]], Table_TRM_Fixtures[[#This Row],[Modified Baseline Fixture Watts]])</f>
        <v>32</v>
      </c>
    </row>
    <row r="984" spans="1:27" x14ac:dyDescent="0.2">
      <c r="A984" t="s">
        <v>1728</v>
      </c>
      <c r="B984" t="s">
        <v>5643</v>
      </c>
      <c r="C984" t="s">
        <v>1727</v>
      </c>
      <c r="D984" t="s">
        <v>5646</v>
      </c>
      <c r="E984" t="s">
        <v>187</v>
      </c>
      <c r="F984">
        <v>1</v>
      </c>
      <c r="G984">
        <v>32</v>
      </c>
      <c r="H984">
        <v>39</v>
      </c>
      <c r="I984">
        <v>15.5</v>
      </c>
      <c r="J984" s="110">
        <v>982</v>
      </c>
      <c r="K984" t="s">
        <v>1505</v>
      </c>
      <c r="L984">
        <f>IF(Table_TRM_Fixtures[[#This Row],[Technology]]="LED", Table_TRM_Fixtures[[#This Row],[Fixture Watts  (TRM Data)]], Table_TRM_Fixtures[[#This Row],[Lamp Watts  (TRM Data)]])</f>
        <v>32</v>
      </c>
      <c r="M984">
        <f>Table_TRM_Fixtures[[#This Row],[No. of Lamps  (TRM Data)]]</f>
        <v>1</v>
      </c>
      <c r="N984">
        <v>48</v>
      </c>
      <c r="O984" t="s">
        <v>1381</v>
      </c>
      <c r="P984" t="s">
        <v>187</v>
      </c>
      <c r="Q984" t="s">
        <v>5566</v>
      </c>
      <c r="R984" t="str">
        <f>_xlfn.CONCAT(Table_TRM_Fixtures[[#This Row],[Technology]], ", ", Table_TRM_Fixtures[[#This Row],[Ballast Code]], " Ballast")</f>
        <v>T8, Electronic HLO Ballast</v>
      </c>
      <c r="S984" t="str">
        <f>Table_TRM_Fixtures[[#This Row],[Description  (TRM Data)]]</f>
        <v>Fluorescent, (1) 48", T-8 lamp, Rapid Start Ballast, HLO (0.95 &lt; BF &lt; 1.1)</v>
      </c>
      <c r="T984" t="str">
        <f>Table_TRM_Fixtures[[#This Row],[Fixture code  (TRM Data)]]</f>
        <v>F41LL-H</v>
      </c>
      <c r="U984" t="s">
        <v>2882</v>
      </c>
      <c r="V984" t="s">
        <v>186</v>
      </c>
      <c r="W984" t="s">
        <v>3120</v>
      </c>
      <c r="X984" t="s">
        <v>186</v>
      </c>
      <c r="Y984" t="s">
        <v>4815</v>
      </c>
      <c r="Z984" t="s">
        <v>4815</v>
      </c>
      <c r="AA984">
        <f>IF(Table_TRM_Fixtures[[#This Row],[Pre-EISA Baseline]]="Nominal", Table_TRM_Fixtures[[#This Row],[Fixture Watts  (TRM Data)]], Table_TRM_Fixtures[[#This Row],[Modified Baseline Fixture Watts]])</f>
        <v>39</v>
      </c>
    </row>
    <row r="985" spans="1:27" x14ac:dyDescent="0.2">
      <c r="A985" t="s">
        <v>1730</v>
      </c>
      <c r="B985" t="s">
        <v>5643</v>
      </c>
      <c r="C985" t="s">
        <v>1729</v>
      </c>
      <c r="D985" t="s">
        <v>5645</v>
      </c>
      <c r="E985" t="s">
        <v>187</v>
      </c>
      <c r="F985">
        <v>1</v>
      </c>
      <c r="G985">
        <v>32</v>
      </c>
      <c r="H985">
        <v>27</v>
      </c>
      <c r="I985">
        <v>15.5</v>
      </c>
      <c r="J985" s="110">
        <v>983</v>
      </c>
      <c r="K985" t="s">
        <v>1505</v>
      </c>
      <c r="L985">
        <f>IF(Table_TRM_Fixtures[[#This Row],[Technology]]="LED", Table_TRM_Fixtures[[#This Row],[Fixture Watts  (TRM Data)]], Table_TRM_Fixtures[[#This Row],[Lamp Watts  (TRM Data)]])</f>
        <v>32</v>
      </c>
      <c r="M985">
        <f>Table_TRM_Fixtures[[#This Row],[No. of Lamps  (TRM Data)]]</f>
        <v>1</v>
      </c>
      <c r="N985">
        <v>48</v>
      </c>
      <c r="O985" t="s">
        <v>1381</v>
      </c>
      <c r="P985" t="s">
        <v>187</v>
      </c>
      <c r="Q985" t="s">
        <v>5614</v>
      </c>
      <c r="R985" t="str">
        <f>_xlfn.CONCAT(Table_TRM_Fixtures[[#This Row],[Technology]], ", ", Table_TRM_Fixtures[[#This Row],[Ballast Code]], " Ballast")</f>
        <v>T8, Electronic RLO Ballast</v>
      </c>
      <c r="S985" t="str">
        <f>Table_TRM_Fixtures[[#This Row],[Description  (TRM Data)]]</f>
        <v>Fluorescent, (1) 48", T-8 lamp, Rapid Start Ballast, RLO (BF&lt; 0.85)</v>
      </c>
      <c r="T985" t="str">
        <f>Table_TRM_Fixtures[[#This Row],[Fixture code  (TRM Data)]]</f>
        <v>F41LL-R</v>
      </c>
      <c r="U985" t="s">
        <v>2882</v>
      </c>
      <c r="V985" t="s">
        <v>186</v>
      </c>
      <c r="W985" t="s">
        <v>3120</v>
      </c>
      <c r="X985" t="s">
        <v>186</v>
      </c>
      <c r="Y985" t="s">
        <v>4815</v>
      </c>
      <c r="Z985" t="s">
        <v>4815</v>
      </c>
      <c r="AA985">
        <f>IF(Table_TRM_Fixtures[[#This Row],[Pre-EISA Baseline]]="Nominal", Table_TRM_Fixtures[[#This Row],[Fixture Watts  (TRM Data)]], Table_TRM_Fixtures[[#This Row],[Modified Baseline Fixture Watts]])</f>
        <v>27</v>
      </c>
    </row>
    <row r="986" spans="1:27" x14ac:dyDescent="0.2">
      <c r="A986" t="s">
        <v>1732</v>
      </c>
      <c r="B986" t="s">
        <v>5643</v>
      </c>
      <c r="C986" t="s">
        <v>1731</v>
      </c>
      <c r="D986" t="s">
        <v>5644</v>
      </c>
      <c r="E986" t="s">
        <v>187</v>
      </c>
      <c r="F986">
        <v>1</v>
      </c>
      <c r="G986">
        <v>32</v>
      </c>
      <c r="H986">
        <v>30</v>
      </c>
      <c r="I986">
        <v>15.5</v>
      </c>
      <c r="J986" s="110">
        <v>984</v>
      </c>
      <c r="K986" t="s">
        <v>1505</v>
      </c>
      <c r="L986">
        <f>IF(Table_TRM_Fixtures[[#This Row],[Technology]]="LED", Table_TRM_Fixtures[[#This Row],[Fixture Watts  (TRM Data)]], Table_TRM_Fixtures[[#This Row],[Lamp Watts  (TRM Data)]])</f>
        <v>32</v>
      </c>
      <c r="M986">
        <f>Table_TRM_Fixtures[[#This Row],[No. of Lamps  (TRM Data)]]</f>
        <v>1</v>
      </c>
      <c r="N986">
        <v>48</v>
      </c>
      <c r="O986" t="s">
        <v>1381</v>
      </c>
      <c r="P986" t="s">
        <v>187</v>
      </c>
      <c r="Q986" t="s">
        <v>5612</v>
      </c>
      <c r="R986" t="str">
        <f>_xlfn.CONCAT(Table_TRM_Fixtures[[#This Row],[Technology]], ", ", Table_TRM_Fixtures[[#This Row],[Ballast Code]], " Ballast")</f>
        <v>T8, Electronic STD Ballast</v>
      </c>
      <c r="S986" t="str">
        <f>Table_TRM_Fixtures[[#This Row],[Description  (TRM Data)]]</f>
        <v>Fluorescent, (1) 48", T-8 lamp, Tandem 2-lamp RS Ballast, NLO (0.85 &lt; BF &lt; 0.95)</v>
      </c>
      <c r="T986" t="str">
        <f>Table_TRM_Fixtures[[#This Row],[Fixture code  (TRM Data)]]</f>
        <v>F41LL/T2</v>
      </c>
      <c r="U986" t="s">
        <v>2882</v>
      </c>
      <c r="V986" t="s">
        <v>186</v>
      </c>
      <c r="W986" t="s">
        <v>3120</v>
      </c>
      <c r="X986" t="s">
        <v>186</v>
      </c>
      <c r="Y986" t="s">
        <v>4815</v>
      </c>
      <c r="Z986" t="s">
        <v>4815</v>
      </c>
      <c r="AA986">
        <f>IF(Table_TRM_Fixtures[[#This Row],[Pre-EISA Baseline]]="Nominal", Table_TRM_Fixtures[[#This Row],[Fixture Watts  (TRM Data)]], Table_TRM_Fixtures[[#This Row],[Modified Baseline Fixture Watts]])</f>
        <v>30</v>
      </c>
    </row>
    <row r="987" spans="1:27" x14ac:dyDescent="0.2">
      <c r="A987" t="s">
        <v>1734</v>
      </c>
      <c r="B987" t="s">
        <v>5643</v>
      </c>
      <c r="C987" t="s">
        <v>1733</v>
      </c>
      <c r="D987" t="s">
        <v>5646</v>
      </c>
      <c r="E987" t="s">
        <v>187</v>
      </c>
      <c r="F987">
        <v>1</v>
      </c>
      <c r="G987">
        <v>32</v>
      </c>
      <c r="H987">
        <v>35</v>
      </c>
      <c r="I987">
        <v>15.5</v>
      </c>
      <c r="J987" s="110">
        <v>985</v>
      </c>
      <c r="K987" t="s">
        <v>1505</v>
      </c>
      <c r="L987">
        <f>IF(Table_TRM_Fixtures[[#This Row],[Technology]]="LED", Table_TRM_Fixtures[[#This Row],[Fixture Watts  (TRM Data)]], Table_TRM_Fixtures[[#This Row],[Lamp Watts  (TRM Data)]])</f>
        <v>32</v>
      </c>
      <c r="M987">
        <f>Table_TRM_Fixtures[[#This Row],[No. of Lamps  (TRM Data)]]</f>
        <v>1</v>
      </c>
      <c r="N987">
        <v>48</v>
      </c>
      <c r="O987" t="s">
        <v>1381</v>
      </c>
      <c r="P987" t="s">
        <v>187</v>
      </c>
      <c r="Q987" t="s">
        <v>5566</v>
      </c>
      <c r="R987" t="str">
        <f>_xlfn.CONCAT(Table_TRM_Fixtures[[#This Row],[Technology]], ", ", Table_TRM_Fixtures[[#This Row],[Ballast Code]], " Ballast")</f>
        <v>T8, Electronic HLO Ballast</v>
      </c>
      <c r="S987" t="str">
        <f>Table_TRM_Fixtures[[#This Row],[Description  (TRM Data)]]</f>
        <v>Fluorescent, (1) 48", T-8 lamp, Tandem 3-lamp RS Ballast, 1 lead capped, HLO (0.95 &lt; BF &lt; 1.1)</v>
      </c>
      <c r="T987" t="str">
        <f>Table_TRM_Fixtures[[#This Row],[Fixture code  (TRM Data)]]</f>
        <v>F41LL/T2-H</v>
      </c>
      <c r="U987" t="s">
        <v>2882</v>
      </c>
      <c r="V987" t="s">
        <v>186</v>
      </c>
      <c r="W987" t="s">
        <v>3120</v>
      </c>
      <c r="X987" t="s">
        <v>186</v>
      </c>
      <c r="Y987" t="s">
        <v>4815</v>
      </c>
      <c r="Z987" t="s">
        <v>4815</v>
      </c>
      <c r="AA987">
        <f>IF(Table_TRM_Fixtures[[#This Row],[Pre-EISA Baseline]]="Nominal", Table_TRM_Fixtures[[#This Row],[Fixture Watts  (TRM Data)]], Table_TRM_Fixtures[[#This Row],[Modified Baseline Fixture Watts]])</f>
        <v>35</v>
      </c>
    </row>
    <row r="988" spans="1:27" x14ac:dyDescent="0.2">
      <c r="A988" t="s">
        <v>1736</v>
      </c>
      <c r="B988" t="s">
        <v>5643</v>
      </c>
      <c r="C988" t="s">
        <v>1735</v>
      </c>
      <c r="D988" t="s">
        <v>5645</v>
      </c>
      <c r="E988" t="s">
        <v>187</v>
      </c>
      <c r="F988">
        <v>1</v>
      </c>
      <c r="G988">
        <v>32</v>
      </c>
      <c r="H988">
        <v>27</v>
      </c>
      <c r="I988">
        <v>15.5</v>
      </c>
      <c r="J988" s="110">
        <v>986</v>
      </c>
      <c r="K988" t="s">
        <v>1505</v>
      </c>
      <c r="L988">
        <f>IF(Table_TRM_Fixtures[[#This Row],[Technology]]="LED", Table_TRM_Fixtures[[#This Row],[Fixture Watts  (TRM Data)]], Table_TRM_Fixtures[[#This Row],[Lamp Watts  (TRM Data)]])</f>
        <v>32</v>
      </c>
      <c r="M988">
        <f>Table_TRM_Fixtures[[#This Row],[No. of Lamps  (TRM Data)]]</f>
        <v>1</v>
      </c>
      <c r="N988">
        <v>48</v>
      </c>
      <c r="O988" t="s">
        <v>1381</v>
      </c>
      <c r="P988" t="s">
        <v>187</v>
      </c>
      <c r="Q988" t="s">
        <v>5614</v>
      </c>
      <c r="R988" t="str">
        <f>_xlfn.CONCAT(Table_TRM_Fixtures[[#This Row],[Technology]], ", ", Table_TRM_Fixtures[[#This Row],[Ballast Code]], " Ballast")</f>
        <v>T8, Electronic RLO Ballast</v>
      </c>
      <c r="S988" t="str">
        <f>Table_TRM_Fixtures[[#This Row],[Description  (TRM Data)]]</f>
        <v>Fluorescent, (1) 48", T-8 lamp, Tandem 2-lamp RS Ballast, RLO (BF&lt; 0.85)</v>
      </c>
      <c r="T988" t="str">
        <f>Table_TRM_Fixtures[[#This Row],[Fixture code  (TRM Data)]]</f>
        <v>F41LL/T2-R</v>
      </c>
      <c r="U988" t="s">
        <v>2882</v>
      </c>
      <c r="V988" t="s">
        <v>186</v>
      </c>
      <c r="W988" t="s">
        <v>3120</v>
      </c>
      <c r="X988" t="s">
        <v>186</v>
      </c>
      <c r="Y988" t="s">
        <v>4815</v>
      </c>
      <c r="Z988" t="s">
        <v>4815</v>
      </c>
      <c r="AA988">
        <f>IF(Table_TRM_Fixtures[[#This Row],[Pre-EISA Baseline]]="Nominal", Table_TRM_Fixtures[[#This Row],[Fixture Watts  (TRM Data)]], Table_TRM_Fixtures[[#This Row],[Modified Baseline Fixture Watts]])</f>
        <v>27</v>
      </c>
    </row>
    <row r="989" spans="1:27" x14ac:dyDescent="0.2">
      <c r="A989" t="s">
        <v>1738</v>
      </c>
      <c r="B989" t="s">
        <v>5643</v>
      </c>
      <c r="C989" t="s">
        <v>1737</v>
      </c>
      <c r="D989" t="s">
        <v>5644</v>
      </c>
      <c r="E989" t="s">
        <v>187</v>
      </c>
      <c r="F989">
        <v>1</v>
      </c>
      <c r="G989">
        <v>32</v>
      </c>
      <c r="H989">
        <v>31</v>
      </c>
      <c r="I989">
        <v>15.5</v>
      </c>
      <c r="J989" s="110">
        <v>987</v>
      </c>
      <c r="K989" t="s">
        <v>1505</v>
      </c>
      <c r="L989">
        <f>IF(Table_TRM_Fixtures[[#This Row],[Technology]]="LED", Table_TRM_Fixtures[[#This Row],[Fixture Watts  (TRM Data)]], Table_TRM_Fixtures[[#This Row],[Lamp Watts  (TRM Data)]])</f>
        <v>32</v>
      </c>
      <c r="M989">
        <f>Table_TRM_Fixtures[[#This Row],[No. of Lamps  (TRM Data)]]</f>
        <v>1</v>
      </c>
      <c r="N989">
        <v>48</v>
      </c>
      <c r="O989" t="s">
        <v>1381</v>
      </c>
      <c r="P989" t="s">
        <v>187</v>
      </c>
      <c r="Q989" t="s">
        <v>5612</v>
      </c>
      <c r="R989" t="str">
        <f>_xlfn.CONCAT(Table_TRM_Fixtures[[#This Row],[Technology]], ", ", Table_TRM_Fixtures[[#This Row],[Ballast Code]], " Ballast")</f>
        <v>T8, Electronic STD Ballast</v>
      </c>
      <c r="S989" t="str">
        <f>Table_TRM_Fixtures[[#This Row],[Description  (TRM Data)]]</f>
        <v>Fluorescent, (1) 48", T-8 lamp, Tandem 3-lamp RS Ballast, NLO (0.85 &lt; BF &lt; 0.95)</v>
      </c>
      <c r="T989" t="str">
        <f>Table_TRM_Fixtures[[#This Row],[Fixture code  (TRM Data)]]</f>
        <v>F41LL/T3</v>
      </c>
      <c r="U989" t="s">
        <v>2882</v>
      </c>
      <c r="V989" t="s">
        <v>186</v>
      </c>
      <c r="W989" t="s">
        <v>3120</v>
      </c>
      <c r="X989" t="s">
        <v>186</v>
      </c>
      <c r="Y989" t="s">
        <v>4815</v>
      </c>
      <c r="Z989" t="s">
        <v>4815</v>
      </c>
      <c r="AA989">
        <f>IF(Table_TRM_Fixtures[[#This Row],[Pre-EISA Baseline]]="Nominal", Table_TRM_Fixtures[[#This Row],[Fixture Watts  (TRM Data)]], Table_TRM_Fixtures[[#This Row],[Modified Baseline Fixture Watts]])</f>
        <v>31</v>
      </c>
    </row>
    <row r="990" spans="1:27" x14ac:dyDescent="0.2">
      <c r="A990" t="s">
        <v>1740</v>
      </c>
      <c r="B990" t="s">
        <v>5643</v>
      </c>
      <c r="C990" t="s">
        <v>1739</v>
      </c>
      <c r="D990" t="s">
        <v>5646</v>
      </c>
      <c r="E990" t="s">
        <v>187</v>
      </c>
      <c r="F990">
        <v>1</v>
      </c>
      <c r="G990">
        <v>32</v>
      </c>
      <c r="H990">
        <v>33</v>
      </c>
      <c r="I990">
        <v>15.5</v>
      </c>
      <c r="J990" s="110">
        <v>988</v>
      </c>
      <c r="K990" t="s">
        <v>1505</v>
      </c>
      <c r="L990">
        <f>IF(Table_TRM_Fixtures[[#This Row],[Technology]]="LED", Table_TRM_Fixtures[[#This Row],[Fixture Watts  (TRM Data)]], Table_TRM_Fixtures[[#This Row],[Lamp Watts  (TRM Data)]])</f>
        <v>32</v>
      </c>
      <c r="M990">
        <f>Table_TRM_Fixtures[[#This Row],[No. of Lamps  (TRM Data)]]</f>
        <v>1</v>
      </c>
      <c r="N990">
        <v>48</v>
      </c>
      <c r="O990" t="s">
        <v>1381</v>
      </c>
      <c r="P990" t="s">
        <v>187</v>
      </c>
      <c r="Q990" t="s">
        <v>5566</v>
      </c>
      <c r="R990" t="str">
        <f>_xlfn.CONCAT(Table_TRM_Fixtures[[#This Row],[Technology]], ", ", Table_TRM_Fixtures[[#This Row],[Ballast Code]], " Ballast")</f>
        <v>T8, Electronic HLO Ballast</v>
      </c>
      <c r="S990" t="str">
        <f>Table_TRM_Fixtures[[#This Row],[Description  (TRM Data)]]</f>
        <v>Fluorescent, (1) 48", T-8 lamp, Tandem 4-lamp RS Ballast, 1 lead capped, HLO (0.95 &lt; BF &lt; 1.1)</v>
      </c>
      <c r="T990" t="str">
        <f>Table_TRM_Fixtures[[#This Row],[Fixture code  (TRM Data)]]</f>
        <v>F41LL/T3-H</v>
      </c>
      <c r="U990" t="s">
        <v>2882</v>
      </c>
      <c r="V990" t="s">
        <v>186</v>
      </c>
      <c r="W990" t="s">
        <v>3120</v>
      </c>
      <c r="X990" t="s">
        <v>186</v>
      </c>
      <c r="Y990" t="s">
        <v>4815</v>
      </c>
      <c r="Z990" t="s">
        <v>4815</v>
      </c>
      <c r="AA990">
        <f>IF(Table_TRM_Fixtures[[#This Row],[Pre-EISA Baseline]]="Nominal", Table_TRM_Fixtures[[#This Row],[Fixture Watts  (TRM Data)]], Table_TRM_Fixtures[[#This Row],[Modified Baseline Fixture Watts]])</f>
        <v>33</v>
      </c>
    </row>
    <row r="991" spans="1:27" x14ac:dyDescent="0.2">
      <c r="A991" t="s">
        <v>1742</v>
      </c>
      <c r="B991" t="s">
        <v>5643</v>
      </c>
      <c r="C991" t="s">
        <v>1741</v>
      </c>
      <c r="D991" t="s">
        <v>5645</v>
      </c>
      <c r="E991" t="s">
        <v>187</v>
      </c>
      <c r="F991">
        <v>1</v>
      </c>
      <c r="G991">
        <v>32</v>
      </c>
      <c r="H991">
        <v>25</v>
      </c>
      <c r="I991">
        <v>15.5</v>
      </c>
      <c r="J991" s="110">
        <v>989</v>
      </c>
      <c r="K991" t="s">
        <v>1505</v>
      </c>
      <c r="L991">
        <f>IF(Table_TRM_Fixtures[[#This Row],[Technology]]="LED", Table_TRM_Fixtures[[#This Row],[Fixture Watts  (TRM Data)]], Table_TRM_Fixtures[[#This Row],[Lamp Watts  (TRM Data)]])</f>
        <v>32</v>
      </c>
      <c r="M991">
        <f>Table_TRM_Fixtures[[#This Row],[No. of Lamps  (TRM Data)]]</f>
        <v>1</v>
      </c>
      <c r="N991">
        <v>48</v>
      </c>
      <c r="O991" t="s">
        <v>1381</v>
      </c>
      <c r="P991" t="s">
        <v>187</v>
      </c>
      <c r="Q991" t="s">
        <v>5614</v>
      </c>
      <c r="R991" t="str">
        <f>_xlfn.CONCAT(Table_TRM_Fixtures[[#This Row],[Technology]], ", ", Table_TRM_Fixtures[[#This Row],[Ballast Code]], " Ballast")</f>
        <v>T8, Electronic RLO Ballast</v>
      </c>
      <c r="S991" t="str">
        <f>Table_TRM_Fixtures[[#This Row],[Description  (TRM Data)]]</f>
        <v>Fluorescent, (1) 48", T-8 lamp, Tandem 3-lamp RS Ballast, RLO (BF&lt; 0.85)</v>
      </c>
      <c r="T991" t="str">
        <f>Table_TRM_Fixtures[[#This Row],[Fixture code  (TRM Data)]]</f>
        <v>F41LL/T3-R</v>
      </c>
      <c r="U991" t="s">
        <v>2882</v>
      </c>
      <c r="V991" t="s">
        <v>186</v>
      </c>
      <c r="W991" t="s">
        <v>3120</v>
      </c>
      <c r="X991" t="s">
        <v>186</v>
      </c>
      <c r="Y991" t="s">
        <v>4815</v>
      </c>
      <c r="Z991" t="s">
        <v>4815</v>
      </c>
      <c r="AA991">
        <f>IF(Table_TRM_Fixtures[[#This Row],[Pre-EISA Baseline]]="Nominal", Table_TRM_Fixtures[[#This Row],[Fixture Watts  (TRM Data)]], Table_TRM_Fixtures[[#This Row],[Modified Baseline Fixture Watts]])</f>
        <v>25</v>
      </c>
    </row>
    <row r="992" spans="1:27" x14ac:dyDescent="0.2">
      <c r="A992" t="s">
        <v>1744</v>
      </c>
      <c r="B992" t="s">
        <v>5643</v>
      </c>
      <c r="C992" t="s">
        <v>1743</v>
      </c>
      <c r="D992" t="s">
        <v>5644</v>
      </c>
      <c r="E992" t="s">
        <v>187</v>
      </c>
      <c r="F992">
        <v>1</v>
      </c>
      <c r="G992">
        <v>32</v>
      </c>
      <c r="H992">
        <v>30</v>
      </c>
      <c r="I992">
        <v>15.5</v>
      </c>
      <c r="J992" s="110">
        <v>990</v>
      </c>
      <c r="K992" t="s">
        <v>1505</v>
      </c>
      <c r="L992">
        <f>IF(Table_TRM_Fixtures[[#This Row],[Technology]]="LED", Table_TRM_Fixtures[[#This Row],[Fixture Watts  (TRM Data)]], Table_TRM_Fixtures[[#This Row],[Lamp Watts  (TRM Data)]])</f>
        <v>32</v>
      </c>
      <c r="M992">
        <f>Table_TRM_Fixtures[[#This Row],[No. of Lamps  (TRM Data)]]</f>
        <v>1</v>
      </c>
      <c r="N992">
        <v>48</v>
      </c>
      <c r="O992" t="s">
        <v>1381</v>
      </c>
      <c r="P992" t="s">
        <v>187</v>
      </c>
      <c r="Q992" t="s">
        <v>5612</v>
      </c>
      <c r="R992" t="str">
        <f>_xlfn.CONCAT(Table_TRM_Fixtures[[#This Row],[Technology]], ", ", Table_TRM_Fixtures[[#This Row],[Ballast Code]], " Ballast")</f>
        <v>T8, Electronic STD Ballast</v>
      </c>
      <c r="S992" t="str">
        <f>Table_TRM_Fixtures[[#This Row],[Description  (TRM Data)]]</f>
        <v>Fluorescent, (1) 48", T-8 lamp, Tandem 4-lamp RS Ballast, NLO (0.85 &lt; BF &lt; 0.95)</v>
      </c>
      <c r="T992" t="str">
        <f>Table_TRM_Fixtures[[#This Row],[Fixture code  (TRM Data)]]</f>
        <v>F41LL/T4</v>
      </c>
      <c r="U992" t="s">
        <v>2882</v>
      </c>
      <c r="V992" t="s">
        <v>186</v>
      </c>
      <c r="W992" t="s">
        <v>3120</v>
      </c>
      <c r="X992" t="s">
        <v>186</v>
      </c>
      <c r="Y992" t="s">
        <v>4815</v>
      </c>
      <c r="Z992" t="s">
        <v>4815</v>
      </c>
      <c r="AA992">
        <f>IF(Table_TRM_Fixtures[[#This Row],[Pre-EISA Baseline]]="Nominal", Table_TRM_Fixtures[[#This Row],[Fixture Watts  (TRM Data)]], Table_TRM_Fixtures[[#This Row],[Modified Baseline Fixture Watts]])</f>
        <v>30</v>
      </c>
    </row>
    <row r="993" spans="1:27" x14ac:dyDescent="0.2">
      <c r="A993" t="s">
        <v>1746</v>
      </c>
      <c r="B993" t="s">
        <v>5643</v>
      </c>
      <c r="C993" t="s">
        <v>1745</v>
      </c>
      <c r="D993" t="s">
        <v>5645</v>
      </c>
      <c r="E993" t="s">
        <v>187</v>
      </c>
      <c r="F993">
        <v>1</v>
      </c>
      <c r="G993">
        <v>32</v>
      </c>
      <c r="H993">
        <v>26</v>
      </c>
      <c r="I993">
        <v>15.5</v>
      </c>
      <c r="J993" s="110">
        <v>991</v>
      </c>
      <c r="K993" t="s">
        <v>1505</v>
      </c>
      <c r="L993">
        <f>IF(Table_TRM_Fixtures[[#This Row],[Technology]]="LED", Table_TRM_Fixtures[[#This Row],[Fixture Watts  (TRM Data)]], Table_TRM_Fixtures[[#This Row],[Lamp Watts  (TRM Data)]])</f>
        <v>32</v>
      </c>
      <c r="M993">
        <f>Table_TRM_Fixtures[[#This Row],[No. of Lamps  (TRM Data)]]</f>
        <v>1</v>
      </c>
      <c r="N993">
        <v>48</v>
      </c>
      <c r="O993" t="s">
        <v>1381</v>
      </c>
      <c r="P993" t="s">
        <v>187</v>
      </c>
      <c r="Q993" t="s">
        <v>5614</v>
      </c>
      <c r="R993" t="str">
        <f>_xlfn.CONCAT(Table_TRM_Fixtures[[#This Row],[Technology]], ", ", Table_TRM_Fixtures[[#This Row],[Ballast Code]], " Ballast")</f>
        <v>T8, Electronic RLO Ballast</v>
      </c>
      <c r="S993" t="str">
        <f>Table_TRM_Fixtures[[#This Row],[Description  (TRM Data)]]</f>
        <v>Fluorescent, (1) 48", T-8 lamp, Tandem 4-lamp RS Ballast, RLO (BF&lt; 0.85)</v>
      </c>
      <c r="T993" t="str">
        <f>Table_TRM_Fixtures[[#This Row],[Fixture code  (TRM Data)]]</f>
        <v>F41LL/T4-R</v>
      </c>
      <c r="U993" t="s">
        <v>2882</v>
      </c>
      <c r="V993" t="s">
        <v>186</v>
      </c>
      <c r="W993" t="s">
        <v>3120</v>
      </c>
      <c r="X993" t="s">
        <v>186</v>
      </c>
      <c r="Y993" t="s">
        <v>4815</v>
      </c>
      <c r="Z993" t="s">
        <v>4815</v>
      </c>
      <c r="AA993">
        <f>IF(Table_TRM_Fixtures[[#This Row],[Pre-EISA Baseline]]="Nominal", Table_TRM_Fixtures[[#This Row],[Fixture Watts  (TRM Data)]], Table_TRM_Fixtures[[#This Row],[Modified Baseline Fixture Watts]])</f>
        <v>26</v>
      </c>
    </row>
    <row r="994" spans="1:27" x14ac:dyDescent="0.2">
      <c r="A994" t="s">
        <v>1748</v>
      </c>
      <c r="B994" t="s">
        <v>5643</v>
      </c>
      <c r="C994" t="s">
        <v>1747</v>
      </c>
      <c r="D994" t="s">
        <v>5647</v>
      </c>
      <c r="E994" t="s">
        <v>1386</v>
      </c>
      <c r="F994">
        <v>2</v>
      </c>
      <c r="G994">
        <v>32</v>
      </c>
      <c r="H994">
        <v>59</v>
      </c>
      <c r="I994">
        <v>15.5</v>
      </c>
      <c r="J994" s="110">
        <v>992</v>
      </c>
      <c r="K994" t="s">
        <v>1505</v>
      </c>
      <c r="L994">
        <f>IF(Table_TRM_Fixtures[[#This Row],[Technology]]="LED", Table_TRM_Fixtures[[#This Row],[Fixture Watts  (TRM Data)]], Table_TRM_Fixtures[[#This Row],[Lamp Watts  (TRM Data)]])</f>
        <v>32</v>
      </c>
      <c r="M994">
        <f>Table_TRM_Fixtures[[#This Row],[No. of Lamps  (TRM Data)]]</f>
        <v>2</v>
      </c>
      <c r="N994">
        <v>48</v>
      </c>
      <c r="O994" t="s">
        <v>1381</v>
      </c>
      <c r="P994" t="s">
        <v>187</v>
      </c>
      <c r="Q994" t="s">
        <v>5612</v>
      </c>
      <c r="R994" t="str">
        <f>_xlfn.CONCAT(Table_TRM_Fixtures[[#This Row],[Technology]], ", ", Table_TRM_Fixtures[[#This Row],[Ballast Code]], " Ballast")</f>
        <v>T8, Electronic STD Ballast</v>
      </c>
      <c r="S994" t="str">
        <f>Table_TRM_Fixtures[[#This Row],[Description  (TRM Data)]]</f>
        <v>Fluorescent (2) 48" T-8 lamps, Prog. Start or PRS Ballast, NLO (0.85 &lt; BF &lt; 0.95)</v>
      </c>
      <c r="T994" t="str">
        <f>Table_TRM_Fixtures[[#This Row],[Fixture code  (TRM Data)]]</f>
        <v>F42GLL</v>
      </c>
      <c r="U994" t="s">
        <v>2882</v>
      </c>
      <c r="V994" t="s">
        <v>186</v>
      </c>
      <c r="W994" t="s">
        <v>3120</v>
      </c>
      <c r="X994" t="s">
        <v>186</v>
      </c>
      <c r="Y994" t="s">
        <v>4815</v>
      </c>
      <c r="Z994" t="s">
        <v>4815</v>
      </c>
      <c r="AA994">
        <f>IF(Table_TRM_Fixtures[[#This Row],[Pre-EISA Baseline]]="Nominal", Table_TRM_Fixtures[[#This Row],[Fixture Watts  (TRM Data)]], Table_TRM_Fixtures[[#This Row],[Modified Baseline Fixture Watts]])</f>
        <v>59</v>
      </c>
    </row>
    <row r="995" spans="1:27" x14ac:dyDescent="0.2">
      <c r="A995" t="s">
        <v>1750</v>
      </c>
      <c r="B995" t="s">
        <v>5643</v>
      </c>
      <c r="C995" t="s">
        <v>1749</v>
      </c>
      <c r="D995" t="s">
        <v>5648</v>
      </c>
      <c r="E995" t="s">
        <v>1386</v>
      </c>
      <c r="F995">
        <v>2</v>
      </c>
      <c r="G995">
        <v>32</v>
      </c>
      <c r="H995">
        <v>47</v>
      </c>
      <c r="I995">
        <v>15.5</v>
      </c>
      <c r="J995" s="110">
        <v>993</v>
      </c>
      <c r="K995" t="s">
        <v>1505</v>
      </c>
      <c r="L995">
        <f>IF(Table_TRM_Fixtures[[#This Row],[Technology]]="LED", Table_TRM_Fixtures[[#This Row],[Fixture Watts  (TRM Data)]], Table_TRM_Fixtures[[#This Row],[Lamp Watts  (TRM Data)]])</f>
        <v>32</v>
      </c>
      <c r="M995">
        <f>Table_TRM_Fixtures[[#This Row],[No. of Lamps  (TRM Data)]]</f>
        <v>2</v>
      </c>
      <c r="N995">
        <v>48</v>
      </c>
      <c r="O995" t="s">
        <v>1381</v>
      </c>
      <c r="P995" t="s">
        <v>187</v>
      </c>
      <c r="Q995" t="s">
        <v>5614</v>
      </c>
      <c r="R995" t="str">
        <f>_xlfn.CONCAT(Table_TRM_Fixtures[[#This Row],[Technology]], ", ", Table_TRM_Fixtures[[#This Row],[Ballast Code]], " Ballast")</f>
        <v>T8, Electronic RLO Ballast</v>
      </c>
      <c r="S995" t="str">
        <f>Table_TRM_Fixtures[[#This Row],[Description  (TRM Data)]]</f>
        <v>Fluorescent (2) 48" T-8 lamps, Prog. Start or PRS Ballast, RLO (BF &lt; 0.85)</v>
      </c>
      <c r="T995" t="str">
        <f>Table_TRM_Fixtures[[#This Row],[Fixture code  (TRM Data)]]</f>
        <v>F42GLL-R</v>
      </c>
      <c r="U995" t="s">
        <v>2882</v>
      </c>
      <c r="V995" t="s">
        <v>186</v>
      </c>
      <c r="W995" t="s">
        <v>3120</v>
      </c>
      <c r="X995" t="s">
        <v>186</v>
      </c>
      <c r="Y995" t="s">
        <v>4815</v>
      </c>
      <c r="Z995" t="s">
        <v>4815</v>
      </c>
      <c r="AA995">
        <f>IF(Table_TRM_Fixtures[[#This Row],[Pre-EISA Baseline]]="Nominal", Table_TRM_Fixtures[[#This Row],[Fixture Watts  (TRM Data)]], Table_TRM_Fixtures[[#This Row],[Modified Baseline Fixture Watts]])</f>
        <v>47</v>
      </c>
    </row>
    <row r="996" spans="1:27" x14ac:dyDescent="0.2">
      <c r="A996" t="s">
        <v>1752</v>
      </c>
      <c r="B996" t="s">
        <v>5643</v>
      </c>
      <c r="C996" t="s">
        <v>1751</v>
      </c>
      <c r="D996" t="s">
        <v>5649</v>
      </c>
      <c r="E996" t="s">
        <v>1386</v>
      </c>
      <c r="F996">
        <v>2</v>
      </c>
      <c r="G996">
        <v>32</v>
      </c>
      <c r="H996">
        <v>74</v>
      </c>
      <c r="I996">
        <v>15.5</v>
      </c>
      <c r="J996" s="110">
        <v>994</v>
      </c>
      <c r="K996" t="s">
        <v>1505</v>
      </c>
      <c r="L996">
        <f>IF(Table_TRM_Fixtures[[#This Row],[Technology]]="LED", Table_TRM_Fixtures[[#This Row],[Fixture Watts  (TRM Data)]], Table_TRM_Fixtures[[#This Row],[Lamp Watts  (TRM Data)]])</f>
        <v>32</v>
      </c>
      <c r="M996">
        <f>Table_TRM_Fixtures[[#This Row],[No. of Lamps  (TRM Data)]]</f>
        <v>2</v>
      </c>
      <c r="N996">
        <v>48</v>
      </c>
      <c r="O996" t="s">
        <v>1381</v>
      </c>
      <c r="P996" t="s">
        <v>187</v>
      </c>
      <c r="Q996" t="s">
        <v>5616</v>
      </c>
      <c r="R996" t="str">
        <f>_xlfn.CONCAT(Table_TRM_Fixtures[[#This Row],[Technology]], ", ", Table_TRM_Fixtures[[#This Row],[Ballast Code]], " Ballast")</f>
        <v>T8, Electronic VHLO Ballast</v>
      </c>
      <c r="S996" t="str">
        <f>Table_TRM_Fixtures[[#This Row],[Description  (TRM Data)]]</f>
        <v>Fluorescent, (2) 48" T-8 lamps, Prog. Start or PRS Ballast, VHLO (BF &gt; 1.1)</v>
      </c>
      <c r="T996" t="str">
        <f>Table_TRM_Fixtures[[#This Row],[Fixture code  (TRM Data)]]</f>
        <v>F42GLL-V</v>
      </c>
      <c r="U996" t="s">
        <v>2882</v>
      </c>
      <c r="V996" t="s">
        <v>186</v>
      </c>
      <c r="W996" t="s">
        <v>3120</v>
      </c>
      <c r="X996" t="s">
        <v>186</v>
      </c>
      <c r="Y996" t="s">
        <v>4815</v>
      </c>
      <c r="Z996" t="s">
        <v>4815</v>
      </c>
      <c r="AA996">
        <f>IF(Table_TRM_Fixtures[[#This Row],[Pre-EISA Baseline]]="Nominal", Table_TRM_Fixtures[[#This Row],[Fixture Watts  (TRM Data)]], Table_TRM_Fixtures[[#This Row],[Modified Baseline Fixture Watts]])</f>
        <v>74</v>
      </c>
    </row>
    <row r="997" spans="1:27" x14ac:dyDescent="0.2">
      <c r="A997" t="s">
        <v>1754</v>
      </c>
      <c r="B997" t="s">
        <v>5643</v>
      </c>
      <c r="C997" t="s">
        <v>1753</v>
      </c>
      <c r="D997" t="s">
        <v>5647</v>
      </c>
      <c r="E997" t="s">
        <v>187</v>
      </c>
      <c r="F997">
        <v>2</v>
      </c>
      <c r="G997">
        <v>32</v>
      </c>
      <c r="H997">
        <v>58</v>
      </c>
      <c r="I997">
        <v>15.5</v>
      </c>
      <c r="J997" s="110">
        <v>995</v>
      </c>
      <c r="K997" t="s">
        <v>1505</v>
      </c>
      <c r="L997">
        <f>IF(Table_TRM_Fixtures[[#This Row],[Technology]]="LED", Table_TRM_Fixtures[[#This Row],[Fixture Watts  (TRM Data)]], Table_TRM_Fixtures[[#This Row],[Lamp Watts  (TRM Data)]])</f>
        <v>32</v>
      </c>
      <c r="M997">
        <f>Table_TRM_Fixtures[[#This Row],[No. of Lamps  (TRM Data)]]</f>
        <v>2</v>
      </c>
      <c r="N997">
        <v>48</v>
      </c>
      <c r="O997" t="s">
        <v>1381</v>
      </c>
      <c r="P997" t="s">
        <v>187</v>
      </c>
      <c r="Q997" t="s">
        <v>5612</v>
      </c>
      <c r="R997" t="str">
        <f>_xlfn.CONCAT(Table_TRM_Fixtures[[#This Row],[Technology]], ", ", Table_TRM_Fixtures[[#This Row],[Ballast Code]], " Ballast")</f>
        <v>T8, Electronic STD Ballast</v>
      </c>
      <c r="S997" t="str">
        <f>Table_TRM_Fixtures[[#This Row],[Description  (TRM Data)]]</f>
        <v>Fluorescent, (2) 48", T-8 lamps, Instant Start Ballast, NLO (0.85 &lt; BF &lt; 0.95)</v>
      </c>
      <c r="T997" t="str">
        <f>Table_TRM_Fixtures[[#This Row],[Fixture code  (TRM Data)]]</f>
        <v>F42ILL</v>
      </c>
      <c r="U997" t="s">
        <v>2882</v>
      </c>
      <c r="V997" t="s">
        <v>186</v>
      </c>
      <c r="W997" t="s">
        <v>3120</v>
      </c>
      <c r="X997" t="s">
        <v>186</v>
      </c>
      <c r="Y997" t="str">
        <f>_xlfn.CONCAT(Table_TRM_Fixtures[[#This Row],[Combined Lighting/Ballast Types]],":",Table_TRM_Fixtures[[#This Row],[No. of Lamps]], ":", Table_TRM_Fixtures[[#This Row],[Lamp Watts  (TRM Data)]])</f>
        <v>T8, Electronic STD Ballast:2:32</v>
      </c>
      <c r="Z997"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T8:2:32</v>
      </c>
      <c r="AA997">
        <f>IF(Table_TRM_Fixtures[[#This Row],[Pre-EISA Baseline]]="Nominal", Table_TRM_Fixtures[[#This Row],[Fixture Watts  (TRM Data)]], Table_TRM_Fixtures[[#This Row],[Modified Baseline Fixture Watts]])</f>
        <v>58</v>
      </c>
    </row>
    <row r="998" spans="1:27" x14ac:dyDescent="0.2">
      <c r="A998" t="s">
        <v>1756</v>
      </c>
      <c r="B998" t="s">
        <v>5643</v>
      </c>
      <c r="C998" t="s">
        <v>1755</v>
      </c>
      <c r="D998" t="s">
        <v>5650</v>
      </c>
      <c r="E998" t="s">
        <v>187</v>
      </c>
      <c r="F998">
        <v>2</v>
      </c>
      <c r="G998">
        <v>32</v>
      </c>
      <c r="H998">
        <v>66</v>
      </c>
      <c r="I998">
        <v>15.5</v>
      </c>
      <c r="J998" s="110">
        <v>996</v>
      </c>
      <c r="K998" t="s">
        <v>1505</v>
      </c>
      <c r="L998">
        <f>IF(Table_TRM_Fixtures[[#This Row],[Technology]]="LED", Table_TRM_Fixtures[[#This Row],[Fixture Watts  (TRM Data)]], Table_TRM_Fixtures[[#This Row],[Lamp Watts  (TRM Data)]])</f>
        <v>32</v>
      </c>
      <c r="M998">
        <f>Table_TRM_Fixtures[[#This Row],[No. of Lamps  (TRM Data)]]</f>
        <v>2</v>
      </c>
      <c r="N998">
        <v>48</v>
      </c>
      <c r="O998" t="s">
        <v>1381</v>
      </c>
      <c r="P998" t="s">
        <v>187</v>
      </c>
      <c r="Q998" t="s">
        <v>5566</v>
      </c>
      <c r="R998" t="str">
        <f>_xlfn.CONCAT(Table_TRM_Fixtures[[#This Row],[Technology]], ", ", Table_TRM_Fixtures[[#This Row],[Ballast Code]], " Ballast")</f>
        <v>T8, Electronic HLO Ballast</v>
      </c>
      <c r="S998" t="str">
        <f>Table_TRM_Fixtures[[#This Row],[Description  (TRM Data)]]</f>
        <v>Fluorescent, (2) 48", T-8 lamp, Instant Start Ballast, HLO (0.95 &lt; BF &lt; 1.1)</v>
      </c>
      <c r="T998" t="str">
        <f>Table_TRM_Fixtures[[#This Row],[Fixture code  (TRM Data)]]</f>
        <v>F42ILL-H</v>
      </c>
      <c r="U998" t="s">
        <v>2882</v>
      </c>
      <c r="V998" t="s">
        <v>186</v>
      </c>
      <c r="W998" t="s">
        <v>3120</v>
      </c>
      <c r="X998" t="s">
        <v>186</v>
      </c>
      <c r="Y998" t="s">
        <v>4815</v>
      </c>
      <c r="Z998" t="s">
        <v>4815</v>
      </c>
      <c r="AA998">
        <f>IF(Table_TRM_Fixtures[[#This Row],[Pre-EISA Baseline]]="Nominal", Table_TRM_Fixtures[[#This Row],[Fixture Watts  (TRM Data)]], Table_TRM_Fixtures[[#This Row],[Modified Baseline Fixture Watts]])</f>
        <v>66</v>
      </c>
    </row>
    <row r="999" spans="1:27" x14ac:dyDescent="0.2">
      <c r="A999" t="s">
        <v>1758</v>
      </c>
      <c r="B999" t="s">
        <v>5643</v>
      </c>
      <c r="C999" t="s">
        <v>1757</v>
      </c>
      <c r="D999" t="s">
        <v>5648</v>
      </c>
      <c r="E999" t="s">
        <v>187</v>
      </c>
      <c r="F999">
        <v>2</v>
      </c>
      <c r="G999">
        <v>32</v>
      </c>
      <c r="H999">
        <v>51</v>
      </c>
      <c r="I999">
        <v>15.5</v>
      </c>
      <c r="J999" s="110">
        <v>997</v>
      </c>
      <c r="K999" t="s">
        <v>1505</v>
      </c>
      <c r="L999">
        <f>IF(Table_TRM_Fixtures[[#This Row],[Technology]]="LED", Table_TRM_Fixtures[[#This Row],[Fixture Watts  (TRM Data)]], Table_TRM_Fixtures[[#This Row],[Lamp Watts  (TRM Data)]])</f>
        <v>32</v>
      </c>
      <c r="M999">
        <f>Table_TRM_Fixtures[[#This Row],[No. of Lamps  (TRM Data)]]</f>
        <v>2</v>
      </c>
      <c r="N999">
        <v>48</v>
      </c>
      <c r="O999" t="s">
        <v>1381</v>
      </c>
      <c r="P999" t="s">
        <v>187</v>
      </c>
      <c r="Q999" t="s">
        <v>5614</v>
      </c>
      <c r="R999" t="str">
        <f>_xlfn.CONCAT(Table_TRM_Fixtures[[#This Row],[Technology]], ", ", Table_TRM_Fixtures[[#This Row],[Ballast Code]], " Ballast")</f>
        <v>T8, Electronic RLO Ballast</v>
      </c>
      <c r="S999" t="str">
        <f>Table_TRM_Fixtures[[#This Row],[Description  (TRM Data)]]</f>
        <v>Fluorescent, (2) 48", T-8 lamps, Instant Start Ballast, RLO (BF&lt; 0.85)</v>
      </c>
      <c r="T999" t="str">
        <f>Table_TRM_Fixtures[[#This Row],[Fixture code  (TRM Data)]]</f>
        <v>F42ILL-R</v>
      </c>
      <c r="U999" t="s">
        <v>2882</v>
      </c>
      <c r="V999" t="s">
        <v>186</v>
      </c>
      <c r="W999" t="s">
        <v>3120</v>
      </c>
      <c r="X999" t="s">
        <v>186</v>
      </c>
      <c r="Y999" t="str">
        <f>_xlfn.CONCAT(Table_TRM_Fixtures[[#This Row],[Combined Lighting/Ballast Types]],":",Table_TRM_Fixtures[[#This Row],[No. of Lamps]], ":", Table_TRM_Fixtures[[#This Row],[Lamp Watts  (TRM Data)]])</f>
        <v>T8, Electronic RLO Ballast:2:32</v>
      </c>
      <c r="Z999" t="s">
        <v>4815</v>
      </c>
      <c r="AA999">
        <f>IF(Table_TRM_Fixtures[[#This Row],[Pre-EISA Baseline]]="Nominal", Table_TRM_Fixtures[[#This Row],[Fixture Watts  (TRM Data)]], Table_TRM_Fixtures[[#This Row],[Modified Baseline Fixture Watts]])</f>
        <v>51</v>
      </c>
    </row>
    <row r="1000" spans="1:27" x14ac:dyDescent="0.2">
      <c r="A1000" t="s">
        <v>1760</v>
      </c>
      <c r="B1000" t="s">
        <v>5643</v>
      </c>
      <c r="C1000" t="s">
        <v>1759</v>
      </c>
      <c r="D1000" t="s">
        <v>5649</v>
      </c>
      <c r="E1000" t="s">
        <v>187</v>
      </c>
      <c r="F1000">
        <v>2</v>
      </c>
      <c r="G1000">
        <v>32</v>
      </c>
      <c r="H1000">
        <v>77</v>
      </c>
      <c r="I1000">
        <v>15.5</v>
      </c>
      <c r="J1000" s="110">
        <v>998</v>
      </c>
      <c r="K1000" t="s">
        <v>1505</v>
      </c>
      <c r="L1000">
        <f>IF(Table_TRM_Fixtures[[#This Row],[Technology]]="LED", Table_TRM_Fixtures[[#This Row],[Fixture Watts  (TRM Data)]], Table_TRM_Fixtures[[#This Row],[Lamp Watts  (TRM Data)]])</f>
        <v>32</v>
      </c>
      <c r="M1000">
        <f>Table_TRM_Fixtures[[#This Row],[No. of Lamps  (TRM Data)]]</f>
        <v>2</v>
      </c>
      <c r="N1000">
        <v>48</v>
      </c>
      <c r="O1000" t="s">
        <v>1381</v>
      </c>
      <c r="P1000" t="s">
        <v>187</v>
      </c>
      <c r="Q1000" t="s">
        <v>5616</v>
      </c>
      <c r="R1000" t="str">
        <f>_xlfn.CONCAT(Table_TRM_Fixtures[[#This Row],[Technology]], ", ", Table_TRM_Fixtures[[#This Row],[Ballast Code]], " Ballast")</f>
        <v>T8, Electronic VHLO Ballast</v>
      </c>
      <c r="S1000" t="str">
        <f>Table_TRM_Fixtures[[#This Row],[Description  (TRM Data)]]</f>
        <v>Fluorescent, (2) 48", T-8 lamps, Instant Start Ballast, VHLO (BF &gt; 1.1)</v>
      </c>
      <c r="T1000" t="str">
        <f>Table_TRM_Fixtures[[#This Row],[Fixture code  (TRM Data)]]</f>
        <v>F42ILL-V</v>
      </c>
      <c r="U1000" t="s">
        <v>2882</v>
      </c>
      <c r="V1000" t="s">
        <v>186</v>
      </c>
      <c r="W1000" t="s">
        <v>3120</v>
      </c>
      <c r="X1000" t="s">
        <v>186</v>
      </c>
      <c r="Y1000" t="str">
        <f>_xlfn.CONCAT(Table_TRM_Fixtures[[#This Row],[Combined Lighting/Ballast Types]],":",Table_TRM_Fixtures[[#This Row],[No. of Lamps]], ":", Table_TRM_Fixtures[[#This Row],[Lamp Watts  (TRM Data)]])</f>
        <v>T8, Electronic VHLO Ballast:2:32</v>
      </c>
      <c r="Z1000" t="s">
        <v>4815</v>
      </c>
      <c r="AA1000">
        <f>IF(Table_TRM_Fixtures[[#This Row],[Pre-EISA Baseline]]="Nominal", Table_TRM_Fixtures[[#This Row],[Fixture Watts  (TRM Data)]], Table_TRM_Fixtures[[#This Row],[Modified Baseline Fixture Watts]])</f>
        <v>77</v>
      </c>
    </row>
    <row r="1001" spans="1:27" x14ac:dyDescent="0.2">
      <c r="A1001" t="s">
        <v>1762</v>
      </c>
      <c r="B1001" t="s">
        <v>5643</v>
      </c>
      <c r="C1001" t="s">
        <v>1761</v>
      </c>
      <c r="D1001" t="s">
        <v>5647</v>
      </c>
      <c r="E1001" t="s">
        <v>187</v>
      </c>
      <c r="F1001">
        <v>2</v>
      </c>
      <c r="G1001">
        <v>32</v>
      </c>
      <c r="H1001">
        <v>62</v>
      </c>
      <c r="I1001">
        <v>15.5</v>
      </c>
      <c r="J1001" s="110">
        <v>999</v>
      </c>
      <c r="K1001" t="s">
        <v>1505</v>
      </c>
      <c r="L1001">
        <f>IF(Table_TRM_Fixtures[[#This Row],[Technology]]="LED", Table_TRM_Fixtures[[#This Row],[Fixture Watts  (TRM Data)]], Table_TRM_Fixtures[[#This Row],[Lamp Watts  (TRM Data)]])</f>
        <v>32</v>
      </c>
      <c r="M1001">
        <f>Table_TRM_Fixtures[[#This Row],[No. of Lamps  (TRM Data)]]</f>
        <v>2</v>
      </c>
      <c r="N1001">
        <v>48</v>
      </c>
      <c r="O1001" t="s">
        <v>1381</v>
      </c>
      <c r="P1001" t="s">
        <v>187</v>
      </c>
      <c r="Q1001" t="s">
        <v>5612</v>
      </c>
      <c r="R1001" t="str">
        <f>_xlfn.CONCAT(Table_TRM_Fixtures[[#This Row],[Technology]], ", ", Table_TRM_Fixtures[[#This Row],[Ballast Code]], " Ballast")</f>
        <v>T8, Electronic STD Ballast</v>
      </c>
      <c r="S1001" t="str">
        <f>Table_TRM_Fixtures[[#This Row],[Description  (TRM Data)]]</f>
        <v>Fluorescent, (2) 48", T-8 lamps, (2) 1-lamp Instant Start Ballast, NLO (0.85 &lt; BF &lt; 0.95)</v>
      </c>
      <c r="T1001" t="str">
        <f>Table_TRM_Fixtures[[#This Row],[Fixture code  (TRM Data)]]</f>
        <v>F42ILL/2</v>
      </c>
      <c r="U1001" t="s">
        <v>2882</v>
      </c>
      <c r="V1001" t="s">
        <v>186</v>
      </c>
      <c r="W1001" t="s">
        <v>3120</v>
      </c>
      <c r="X1001" t="s">
        <v>186</v>
      </c>
      <c r="Y1001" t="s">
        <v>4815</v>
      </c>
      <c r="Z1001" t="s">
        <v>4815</v>
      </c>
      <c r="AA1001">
        <f>IF(Table_TRM_Fixtures[[#This Row],[Pre-EISA Baseline]]="Nominal", Table_TRM_Fixtures[[#This Row],[Fixture Watts  (TRM Data)]], Table_TRM_Fixtures[[#This Row],[Modified Baseline Fixture Watts]])</f>
        <v>62</v>
      </c>
    </row>
    <row r="1002" spans="1:27" x14ac:dyDescent="0.2">
      <c r="A1002" t="s">
        <v>1764</v>
      </c>
      <c r="B1002" t="s">
        <v>5643</v>
      </c>
      <c r="C1002" t="s">
        <v>1763</v>
      </c>
      <c r="D1002" t="s">
        <v>5648</v>
      </c>
      <c r="E1002" t="s">
        <v>187</v>
      </c>
      <c r="F1002">
        <v>2</v>
      </c>
      <c r="G1002">
        <v>32</v>
      </c>
      <c r="H1002">
        <v>54</v>
      </c>
      <c r="I1002">
        <v>15.5</v>
      </c>
      <c r="J1002" s="110">
        <v>1000</v>
      </c>
      <c r="K1002" t="s">
        <v>1505</v>
      </c>
      <c r="L1002">
        <f>IF(Table_TRM_Fixtures[[#This Row],[Technology]]="LED", Table_TRM_Fixtures[[#This Row],[Fixture Watts  (TRM Data)]], Table_TRM_Fixtures[[#This Row],[Lamp Watts  (TRM Data)]])</f>
        <v>32</v>
      </c>
      <c r="M1002">
        <f>Table_TRM_Fixtures[[#This Row],[No. of Lamps  (TRM Data)]]</f>
        <v>2</v>
      </c>
      <c r="N1002">
        <v>48</v>
      </c>
      <c r="O1002" t="s">
        <v>1381</v>
      </c>
      <c r="P1002" t="s">
        <v>187</v>
      </c>
      <c r="Q1002" t="s">
        <v>5614</v>
      </c>
      <c r="R1002" t="str">
        <f>_xlfn.CONCAT(Table_TRM_Fixtures[[#This Row],[Technology]], ", ", Table_TRM_Fixtures[[#This Row],[Ballast Code]], " Ballast")</f>
        <v>T8, Electronic RLO Ballast</v>
      </c>
      <c r="S1002" t="str">
        <f>Table_TRM_Fixtures[[#This Row],[Description  (TRM Data)]]</f>
        <v>Fluorescent, (2) 48" T-8 lamps, (2) 1-lamp Instant Start Ballasts, RLO (BF&lt; 0.85)</v>
      </c>
      <c r="T1002" t="str">
        <f>Table_TRM_Fixtures[[#This Row],[Fixture code  (TRM Data)]]</f>
        <v>F42ILL/2-R</v>
      </c>
      <c r="U1002" t="s">
        <v>2882</v>
      </c>
      <c r="V1002" t="s">
        <v>186</v>
      </c>
      <c r="W1002" t="s">
        <v>3120</v>
      </c>
      <c r="X1002" t="s">
        <v>186</v>
      </c>
      <c r="Y1002" t="s">
        <v>4815</v>
      </c>
      <c r="Z1002" t="s">
        <v>4815</v>
      </c>
      <c r="AA1002">
        <f>IF(Table_TRM_Fixtures[[#This Row],[Pre-EISA Baseline]]="Nominal", Table_TRM_Fixtures[[#This Row],[Fixture Watts  (TRM Data)]], Table_TRM_Fixtures[[#This Row],[Modified Baseline Fixture Watts]])</f>
        <v>54</v>
      </c>
    </row>
    <row r="1003" spans="1:27" x14ac:dyDescent="0.2">
      <c r="A1003" t="s">
        <v>1766</v>
      </c>
      <c r="B1003" t="s">
        <v>5643</v>
      </c>
      <c r="C1003" t="s">
        <v>1765</v>
      </c>
      <c r="D1003" t="s">
        <v>5647</v>
      </c>
      <c r="E1003" t="s">
        <v>187</v>
      </c>
      <c r="F1003">
        <v>2</v>
      </c>
      <c r="G1003">
        <v>32</v>
      </c>
      <c r="H1003">
        <v>56</v>
      </c>
      <c r="I1003">
        <v>15.5</v>
      </c>
      <c r="J1003" s="110">
        <v>1001</v>
      </c>
      <c r="K1003" t="s">
        <v>1505</v>
      </c>
      <c r="L1003">
        <f>IF(Table_TRM_Fixtures[[#This Row],[Technology]]="LED", Table_TRM_Fixtures[[#This Row],[Fixture Watts  (TRM Data)]], Table_TRM_Fixtures[[#This Row],[Lamp Watts  (TRM Data)]])</f>
        <v>32</v>
      </c>
      <c r="M1003">
        <f>Table_TRM_Fixtures[[#This Row],[No. of Lamps  (TRM Data)]]</f>
        <v>2</v>
      </c>
      <c r="N1003">
        <v>48</v>
      </c>
      <c r="O1003" t="s">
        <v>1381</v>
      </c>
      <c r="P1003" t="s">
        <v>187</v>
      </c>
      <c r="Q1003" t="s">
        <v>5612</v>
      </c>
      <c r="R1003" t="str">
        <f>_xlfn.CONCAT(Table_TRM_Fixtures[[#This Row],[Technology]], ", ", Table_TRM_Fixtures[[#This Row],[Ballast Code]], " Ballast")</f>
        <v>T8, Electronic STD Ballast</v>
      </c>
      <c r="S1003" t="str">
        <f>Table_TRM_Fixtures[[#This Row],[Description  (TRM Data)]]</f>
        <v>Fluorescent, (2) 48", T-8 lamps, Tandem 4-lamp IS Ballast, NLO (0.85 &lt; BF &lt; 0.95)</v>
      </c>
      <c r="T1003" t="str">
        <f>Table_TRM_Fixtures[[#This Row],[Fixture code  (TRM Data)]]</f>
        <v>F42ILL/T4</v>
      </c>
      <c r="U1003" t="s">
        <v>2882</v>
      </c>
      <c r="V1003" t="s">
        <v>186</v>
      </c>
      <c r="W1003" t="s">
        <v>3120</v>
      </c>
      <c r="X1003" t="s">
        <v>186</v>
      </c>
      <c r="Y1003" t="s">
        <v>4815</v>
      </c>
      <c r="Z1003" t="s">
        <v>4815</v>
      </c>
      <c r="AA1003">
        <f>IF(Table_TRM_Fixtures[[#This Row],[Pre-EISA Baseline]]="Nominal", Table_TRM_Fixtures[[#This Row],[Fixture Watts  (TRM Data)]], Table_TRM_Fixtures[[#This Row],[Modified Baseline Fixture Watts]])</f>
        <v>56</v>
      </c>
    </row>
    <row r="1004" spans="1:27" x14ac:dyDescent="0.2">
      <c r="A1004" t="s">
        <v>1768</v>
      </c>
      <c r="B1004" t="s">
        <v>5643</v>
      </c>
      <c r="C1004" t="s">
        <v>1767</v>
      </c>
      <c r="D1004" t="s">
        <v>5648</v>
      </c>
      <c r="E1004" t="s">
        <v>187</v>
      </c>
      <c r="F1004">
        <v>2</v>
      </c>
      <c r="G1004">
        <v>32</v>
      </c>
      <c r="H1004">
        <v>49</v>
      </c>
      <c r="I1004">
        <v>15.5</v>
      </c>
      <c r="J1004" s="110">
        <v>1002</v>
      </c>
      <c r="K1004" t="s">
        <v>1505</v>
      </c>
      <c r="L1004">
        <f>IF(Table_TRM_Fixtures[[#This Row],[Technology]]="LED", Table_TRM_Fixtures[[#This Row],[Fixture Watts  (TRM Data)]], Table_TRM_Fixtures[[#This Row],[Lamp Watts  (TRM Data)]])</f>
        <v>32</v>
      </c>
      <c r="M1004">
        <f>Table_TRM_Fixtures[[#This Row],[No. of Lamps  (TRM Data)]]</f>
        <v>2</v>
      </c>
      <c r="N1004">
        <v>48</v>
      </c>
      <c r="O1004" t="s">
        <v>1381</v>
      </c>
      <c r="P1004" t="s">
        <v>187</v>
      </c>
      <c r="Q1004" t="s">
        <v>5614</v>
      </c>
      <c r="R1004" t="str">
        <f>_xlfn.CONCAT(Table_TRM_Fixtures[[#This Row],[Technology]], ", ", Table_TRM_Fixtures[[#This Row],[Ballast Code]], " Ballast")</f>
        <v>T8, Electronic RLO Ballast</v>
      </c>
      <c r="S1004" t="str">
        <f>Table_TRM_Fixtures[[#This Row],[Description  (TRM Data)]]</f>
        <v>Fluorescent, (2) 48", T-8 lamps, Tandem 4-lamp IS Ballast, RLO (BF&lt; 0.85)</v>
      </c>
      <c r="T1004" t="str">
        <f>Table_TRM_Fixtures[[#This Row],[Fixture code  (TRM Data)]]</f>
        <v>F42ILL/T4-R</v>
      </c>
      <c r="U1004" t="s">
        <v>2882</v>
      </c>
      <c r="V1004" t="s">
        <v>186</v>
      </c>
      <c r="W1004" t="s">
        <v>3120</v>
      </c>
      <c r="X1004" t="s">
        <v>186</v>
      </c>
      <c r="Y1004" t="s">
        <v>4815</v>
      </c>
      <c r="Z1004" t="s">
        <v>4815</v>
      </c>
      <c r="AA1004">
        <f>IF(Table_TRM_Fixtures[[#This Row],[Pre-EISA Baseline]]="Nominal", Table_TRM_Fixtures[[#This Row],[Fixture Watts  (TRM Data)]], Table_TRM_Fixtures[[#This Row],[Modified Baseline Fixture Watts]])</f>
        <v>49</v>
      </c>
    </row>
    <row r="1005" spans="1:27" x14ac:dyDescent="0.2">
      <c r="A1005" t="s">
        <v>1769</v>
      </c>
      <c r="B1005" t="s">
        <v>5643</v>
      </c>
      <c r="C1005" t="s">
        <v>1753</v>
      </c>
      <c r="D1005" t="s">
        <v>5647</v>
      </c>
      <c r="E1005" t="s">
        <v>187</v>
      </c>
      <c r="F1005">
        <v>2</v>
      </c>
      <c r="G1005">
        <v>32</v>
      </c>
      <c r="H1005">
        <v>54</v>
      </c>
      <c r="I1005">
        <v>15.5</v>
      </c>
      <c r="J1005" s="110">
        <v>1003</v>
      </c>
      <c r="K1005" t="s">
        <v>1505</v>
      </c>
      <c r="L1005">
        <f>IF(Table_TRM_Fixtures[[#This Row],[Technology]]="LED", Table_TRM_Fixtures[[#This Row],[Fixture Watts  (TRM Data)]], Table_TRM_Fixtures[[#This Row],[Lamp Watts  (TRM Data)]])</f>
        <v>32</v>
      </c>
      <c r="M1005">
        <f>Table_TRM_Fixtures[[#This Row],[No. of Lamps  (TRM Data)]]</f>
        <v>2</v>
      </c>
      <c r="N1005">
        <v>48</v>
      </c>
      <c r="O1005" t="s">
        <v>1381</v>
      </c>
      <c r="P1005" t="s">
        <v>187</v>
      </c>
      <c r="Q1005" t="s">
        <v>5612</v>
      </c>
      <c r="R1005" t="str">
        <f>_xlfn.CONCAT(Table_TRM_Fixtures[[#This Row],[Technology]], ", ", Table_TRM_Fixtures[[#This Row],[Ballast Code]], " Ballast")</f>
        <v>T8, Electronic STD Ballast</v>
      </c>
      <c r="S1005" t="str">
        <f>Table_TRM_Fixtures[[#This Row],[Description  (TRM Data)]]</f>
        <v>Fluorescent, (2) 48", T-8 lamps, Instant Start Ballast, NLO (0.85 &lt; BF &lt; 0.95)</v>
      </c>
      <c r="T1005" t="str">
        <f>Table_TRM_Fixtures[[#This Row],[Fixture code  (TRM Data)]]</f>
        <v>F42ILU</v>
      </c>
      <c r="U1005" t="s">
        <v>2882</v>
      </c>
      <c r="V1005" t="s">
        <v>186</v>
      </c>
      <c r="W1005" t="s">
        <v>3120</v>
      </c>
      <c r="X1005" t="s">
        <v>186</v>
      </c>
      <c r="Y1005" t="s">
        <v>4815</v>
      </c>
      <c r="Z1005" t="s">
        <v>4815</v>
      </c>
      <c r="AA1005">
        <f>IF(Table_TRM_Fixtures[[#This Row],[Pre-EISA Baseline]]="Nominal", Table_TRM_Fixtures[[#This Row],[Fixture Watts  (TRM Data)]], Table_TRM_Fixtures[[#This Row],[Modified Baseline Fixture Watts]])</f>
        <v>54</v>
      </c>
    </row>
    <row r="1006" spans="1:27" x14ac:dyDescent="0.2">
      <c r="A1006" t="s">
        <v>1770</v>
      </c>
      <c r="B1006" t="s">
        <v>5643</v>
      </c>
      <c r="C1006" t="s">
        <v>1755</v>
      </c>
      <c r="D1006" t="s">
        <v>5650</v>
      </c>
      <c r="E1006" t="s">
        <v>187</v>
      </c>
      <c r="F1006">
        <v>2</v>
      </c>
      <c r="G1006">
        <v>32</v>
      </c>
      <c r="H1006">
        <v>64</v>
      </c>
      <c r="I1006">
        <v>15.5</v>
      </c>
      <c r="J1006" s="110">
        <v>1004</v>
      </c>
      <c r="K1006" t="s">
        <v>1505</v>
      </c>
      <c r="L1006">
        <f>IF(Table_TRM_Fixtures[[#This Row],[Technology]]="LED", Table_TRM_Fixtures[[#This Row],[Fixture Watts  (TRM Data)]], Table_TRM_Fixtures[[#This Row],[Lamp Watts  (TRM Data)]])</f>
        <v>32</v>
      </c>
      <c r="M1006">
        <f>Table_TRM_Fixtures[[#This Row],[No. of Lamps  (TRM Data)]]</f>
        <v>2</v>
      </c>
      <c r="N1006">
        <v>48</v>
      </c>
      <c r="O1006" t="s">
        <v>1381</v>
      </c>
      <c r="P1006" t="s">
        <v>187</v>
      </c>
      <c r="Q1006" t="s">
        <v>5566</v>
      </c>
      <c r="R1006" t="str">
        <f>_xlfn.CONCAT(Table_TRM_Fixtures[[#This Row],[Technology]], ", ", Table_TRM_Fixtures[[#This Row],[Ballast Code]], " Ballast")</f>
        <v>T8, Electronic HLO Ballast</v>
      </c>
      <c r="S1006" t="str">
        <f>Table_TRM_Fixtures[[#This Row],[Description  (TRM Data)]]</f>
        <v>Fluorescent, (2) 48", T-8 lamp, Instant Start Ballast, HLO (0.95 &lt; BF &lt; 1.1)</v>
      </c>
      <c r="T1006" t="str">
        <f>Table_TRM_Fixtures[[#This Row],[Fixture code  (TRM Data)]]</f>
        <v>F42ILU-H</v>
      </c>
      <c r="U1006" t="s">
        <v>2882</v>
      </c>
      <c r="V1006" t="s">
        <v>186</v>
      </c>
      <c r="W1006" t="s">
        <v>3120</v>
      </c>
      <c r="X1006" t="s">
        <v>186</v>
      </c>
      <c r="Y1006" t="str">
        <f>_xlfn.CONCAT(Table_TRM_Fixtures[[#This Row],[Combined Lighting/Ballast Types]],":",Table_TRM_Fixtures[[#This Row],[No. of Lamps]], ":", Table_TRM_Fixtures[[#This Row],[Lamp Watts  (TRM Data)]])</f>
        <v>T8, Electronic HLO Ballast:2:32</v>
      </c>
      <c r="Z1006" t="s">
        <v>4815</v>
      </c>
      <c r="AA1006">
        <f>IF(Table_TRM_Fixtures[[#This Row],[Pre-EISA Baseline]]="Nominal", Table_TRM_Fixtures[[#This Row],[Fixture Watts  (TRM Data)]], Table_TRM_Fixtures[[#This Row],[Modified Baseline Fixture Watts]])</f>
        <v>64</v>
      </c>
    </row>
    <row r="1007" spans="1:27" x14ac:dyDescent="0.2">
      <c r="A1007" t="s">
        <v>1772</v>
      </c>
      <c r="B1007" t="s">
        <v>5643</v>
      </c>
      <c r="C1007" t="s">
        <v>1771</v>
      </c>
      <c r="D1007" t="s">
        <v>5648</v>
      </c>
      <c r="E1007" t="s">
        <v>187</v>
      </c>
      <c r="F1007">
        <v>2</v>
      </c>
      <c r="G1007">
        <v>32</v>
      </c>
      <c r="H1007">
        <v>48</v>
      </c>
      <c r="I1007">
        <v>15.5</v>
      </c>
      <c r="J1007" s="110">
        <v>1005</v>
      </c>
      <c r="K1007" t="s">
        <v>1505</v>
      </c>
      <c r="L1007">
        <f>IF(Table_TRM_Fixtures[[#This Row],[Technology]]="LED", Table_TRM_Fixtures[[#This Row],[Fixture Watts  (TRM Data)]], Table_TRM_Fixtures[[#This Row],[Lamp Watts  (TRM Data)]])</f>
        <v>32</v>
      </c>
      <c r="M1007">
        <f>Table_TRM_Fixtures[[#This Row],[No. of Lamps  (TRM Data)]]</f>
        <v>2</v>
      </c>
      <c r="N1007">
        <v>48</v>
      </c>
      <c r="O1007" t="s">
        <v>1381</v>
      </c>
      <c r="P1007" t="s">
        <v>187</v>
      </c>
      <c r="Q1007" t="s">
        <v>5614</v>
      </c>
      <c r="R1007" t="str">
        <f>_xlfn.CONCAT(Table_TRM_Fixtures[[#This Row],[Technology]], ", ", Table_TRM_Fixtures[[#This Row],[Ballast Code]], " Ballast")</f>
        <v>T8, Electronic RLO Ballast</v>
      </c>
      <c r="S1007" t="str">
        <f>Table_TRM_Fixtures[[#This Row],[Description  (TRM Data)]]</f>
        <v>Fluorescent, (2) 48", T-8 lamps, Instant Start, RLO (BF&lt; 0.85)</v>
      </c>
      <c r="T1007" t="str">
        <f>Table_TRM_Fixtures[[#This Row],[Fixture code  (TRM Data)]]</f>
        <v>F42ILU-R</v>
      </c>
      <c r="U1007" t="s">
        <v>2882</v>
      </c>
      <c r="V1007" t="s">
        <v>186</v>
      </c>
      <c r="W1007" t="s">
        <v>3120</v>
      </c>
      <c r="X1007" t="s">
        <v>186</v>
      </c>
      <c r="Y1007" t="s">
        <v>4815</v>
      </c>
      <c r="Z1007" t="s">
        <v>4815</v>
      </c>
      <c r="AA1007">
        <f>IF(Table_TRM_Fixtures[[#This Row],[Pre-EISA Baseline]]="Nominal", Table_TRM_Fixtures[[#This Row],[Fixture Watts  (TRM Data)]], Table_TRM_Fixtures[[#This Row],[Modified Baseline Fixture Watts]])</f>
        <v>48</v>
      </c>
    </row>
    <row r="1008" spans="1:27" x14ac:dyDescent="0.2">
      <c r="A1008" t="s">
        <v>1774</v>
      </c>
      <c r="B1008" t="s">
        <v>5643</v>
      </c>
      <c r="C1008" t="s">
        <v>1773</v>
      </c>
      <c r="D1008" t="s">
        <v>5649</v>
      </c>
      <c r="E1008" t="s">
        <v>187</v>
      </c>
      <c r="F1008">
        <v>2</v>
      </c>
      <c r="G1008">
        <v>32</v>
      </c>
      <c r="H1008">
        <v>73</v>
      </c>
      <c r="I1008">
        <v>15.5</v>
      </c>
      <c r="J1008" s="110">
        <v>1006</v>
      </c>
      <c r="K1008" t="s">
        <v>1505</v>
      </c>
      <c r="L1008">
        <f>IF(Table_TRM_Fixtures[[#This Row],[Technology]]="LED", Table_TRM_Fixtures[[#This Row],[Fixture Watts  (TRM Data)]], Table_TRM_Fixtures[[#This Row],[Lamp Watts  (TRM Data)]])</f>
        <v>32</v>
      </c>
      <c r="M1008">
        <f>Table_TRM_Fixtures[[#This Row],[No. of Lamps  (TRM Data)]]</f>
        <v>2</v>
      </c>
      <c r="N1008">
        <v>48</v>
      </c>
      <c r="O1008" t="s">
        <v>1381</v>
      </c>
      <c r="P1008" t="s">
        <v>187</v>
      </c>
      <c r="Q1008" t="s">
        <v>5616</v>
      </c>
      <c r="R1008" t="str">
        <f>_xlfn.CONCAT(Table_TRM_Fixtures[[#This Row],[Technology]], ", ", Table_TRM_Fixtures[[#This Row],[Ballast Code]], " Ballast")</f>
        <v>T8, Electronic VHLO Ballast</v>
      </c>
      <c r="S1008" t="str">
        <f>Table_TRM_Fixtures[[#This Row],[Description  (TRM Data)]]</f>
        <v>Fluorescent, (2) 48", T-8 lamps, Instant Start, VHLO (BF&gt; 1.1)</v>
      </c>
      <c r="T1008" t="str">
        <f>Table_TRM_Fixtures[[#This Row],[Fixture code  (TRM Data)]]</f>
        <v>F42ILU-V</v>
      </c>
      <c r="U1008" t="s">
        <v>2882</v>
      </c>
      <c r="V1008" t="s">
        <v>186</v>
      </c>
      <c r="W1008" t="s">
        <v>3120</v>
      </c>
      <c r="X1008" t="s">
        <v>186</v>
      </c>
      <c r="Y1008" t="s">
        <v>4815</v>
      </c>
      <c r="Z1008" t="s">
        <v>4815</v>
      </c>
      <c r="AA1008">
        <f>IF(Table_TRM_Fixtures[[#This Row],[Pre-EISA Baseline]]="Nominal", Table_TRM_Fixtures[[#This Row],[Fixture Watts  (TRM Data)]], Table_TRM_Fixtures[[#This Row],[Modified Baseline Fixture Watts]])</f>
        <v>73</v>
      </c>
    </row>
    <row r="1009" spans="1:27" x14ac:dyDescent="0.2">
      <c r="A1009" t="s">
        <v>1775</v>
      </c>
      <c r="B1009" t="s">
        <v>5643</v>
      </c>
      <c r="C1009" t="s">
        <v>1765</v>
      </c>
      <c r="D1009" t="s">
        <v>5647</v>
      </c>
      <c r="E1009" t="s">
        <v>187</v>
      </c>
      <c r="F1009">
        <v>2</v>
      </c>
      <c r="G1009">
        <v>32</v>
      </c>
      <c r="H1009">
        <v>54</v>
      </c>
      <c r="I1009">
        <v>15.5</v>
      </c>
      <c r="J1009" s="110">
        <v>1007</v>
      </c>
      <c r="K1009" t="s">
        <v>1505</v>
      </c>
      <c r="L1009">
        <f>IF(Table_TRM_Fixtures[[#This Row],[Technology]]="LED", Table_TRM_Fixtures[[#This Row],[Fixture Watts  (TRM Data)]], Table_TRM_Fixtures[[#This Row],[Lamp Watts  (TRM Data)]])</f>
        <v>32</v>
      </c>
      <c r="M1009">
        <f>Table_TRM_Fixtures[[#This Row],[No. of Lamps  (TRM Data)]]</f>
        <v>2</v>
      </c>
      <c r="N1009">
        <v>48</v>
      </c>
      <c r="O1009" t="s">
        <v>1381</v>
      </c>
      <c r="P1009" t="s">
        <v>187</v>
      </c>
      <c r="Q1009" t="s">
        <v>5612</v>
      </c>
      <c r="R1009" t="str">
        <f>_xlfn.CONCAT(Table_TRM_Fixtures[[#This Row],[Technology]], ", ", Table_TRM_Fixtures[[#This Row],[Ballast Code]], " Ballast")</f>
        <v>T8, Electronic STD Ballast</v>
      </c>
      <c r="S1009" t="str">
        <f>Table_TRM_Fixtures[[#This Row],[Description  (TRM Data)]]</f>
        <v>Fluorescent, (2) 48", T-8 lamps, Tandem 4-lamp IS Ballast, NLO (0.85 &lt; BF &lt; 0.95)</v>
      </c>
      <c r="T1009" t="str">
        <f>Table_TRM_Fixtures[[#This Row],[Fixture code  (TRM Data)]]</f>
        <v>F42ILU/T4</v>
      </c>
      <c r="U1009" t="s">
        <v>2882</v>
      </c>
      <c r="V1009" t="s">
        <v>186</v>
      </c>
      <c r="W1009" t="s">
        <v>3120</v>
      </c>
      <c r="X1009" t="s">
        <v>186</v>
      </c>
      <c r="Y1009" t="s">
        <v>4815</v>
      </c>
      <c r="Z1009" t="s">
        <v>4815</v>
      </c>
      <c r="AA1009">
        <f>IF(Table_TRM_Fixtures[[#This Row],[Pre-EISA Baseline]]="Nominal", Table_TRM_Fixtures[[#This Row],[Fixture Watts  (TRM Data)]], Table_TRM_Fixtures[[#This Row],[Modified Baseline Fixture Watts]])</f>
        <v>54</v>
      </c>
    </row>
    <row r="1010" spans="1:27" x14ac:dyDescent="0.2">
      <c r="A1010" t="s">
        <v>1776</v>
      </c>
      <c r="B1010" t="s">
        <v>5643</v>
      </c>
      <c r="C1010" t="s">
        <v>1767</v>
      </c>
      <c r="D1010" t="s">
        <v>5648</v>
      </c>
      <c r="E1010" t="s">
        <v>187</v>
      </c>
      <c r="F1010">
        <v>2</v>
      </c>
      <c r="G1010">
        <v>32</v>
      </c>
      <c r="H1010">
        <v>48</v>
      </c>
      <c r="I1010">
        <v>15.5</v>
      </c>
      <c r="J1010" s="110">
        <v>1008</v>
      </c>
      <c r="K1010" t="s">
        <v>1505</v>
      </c>
      <c r="L1010">
        <f>IF(Table_TRM_Fixtures[[#This Row],[Technology]]="LED", Table_TRM_Fixtures[[#This Row],[Fixture Watts  (TRM Data)]], Table_TRM_Fixtures[[#This Row],[Lamp Watts  (TRM Data)]])</f>
        <v>32</v>
      </c>
      <c r="M1010">
        <f>Table_TRM_Fixtures[[#This Row],[No. of Lamps  (TRM Data)]]</f>
        <v>2</v>
      </c>
      <c r="N1010">
        <v>48</v>
      </c>
      <c r="O1010" t="s">
        <v>1381</v>
      </c>
      <c r="P1010" t="s">
        <v>187</v>
      </c>
      <c r="Q1010" t="s">
        <v>5614</v>
      </c>
      <c r="R1010" t="str">
        <f>_xlfn.CONCAT(Table_TRM_Fixtures[[#This Row],[Technology]], ", ", Table_TRM_Fixtures[[#This Row],[Ballast Code]], " Ballast")</f>
        <v>T8, Electronic RLO Ballast</v>
      </c>
      <c r="S1010" t="str">
        <f>Table_TRM_Fixtures[[#This Row],[Description  (TRM Data)]]</f>
        <v>Fluorescent, (2) 48", T-8 lamps, Tandem 4-lamp IS Ballast, RLO (BF&lt; 0.85)</v>
      </c>
      <c r="T1010" t="str">
        <f>Table_TRM_Fixtures[[#This Row],[Fixture code  (TRM Data)]]</f>
        <v>F42ILU/T4-R</v>
      </c>
      <c r="U1010" t="s">
        <v>2882</v>
      </c>
      <c r="V1010" t="s">
        <v>186</v>
      </c>
      <c r="W1010" t="s">
        <v>3120</v>
      </c>
      <c r="X1010" t="s">
        <v>186</v>
      </c>
      <c r="Y1010" t="s">
        <v>4815</v>
      </c>
      <c r="Z1010" t="s">
        <v>4815</v>
      </c>
      <c r="AA1010">
        <f>IF(Table_TRM_Fixtures[[#This Row],[Pre-EISA Baseline]]="Nominal", Table_TRM_Fixtures[[#This Row],[Fixture Watts  (TRM Data)]], Table_TRM_Fixtures[[#This Row],[Modified Baseline Fixture Watts]])</f>
        <v>48</v>
      </c>
    </row>
    <row r="1011" spans="1:27" x14ac:dyDescent="0.2">
      <c r="A1011" t="s">
        <v>1778</v>
      </c>
      <c r="B1011" t="s">
        <v>5643</v>
      </c>
      <c r="C1011" t="s">
        <v>1777</v>
      </c>
      <c r="D1011" t="s">
        <v>5647</v>
      </c>
      <c r="E1011" t="s">
        <v>1722</v>
      </c>
      <c r="F1011">
        <v>2</v>
      </c>
      <c r="G1011">
        <v>32</v>
      </c>
      <c r="H1011">
        <v>71</v>
      </c>
      <c r="I1011">
        <v>15.5</v>
      </c>
      <c r="J1011" s="110">
        <v>1009</v>
      </c>
      <c r="K1011" t="s">
        <v>1505</v>
      </c>
      <c r="L1011">
        <f>IF(Table_TRM_Fixtures[[#This Row],[Technology]]="LED", Table_TRM_Fixtures[[#This Row],[Fixture Watts  (TRM Data)]], Table_TRM_Fixtures[[#This Row],[Lamp Watts  (TRM Data)]])</f>
        <v>32</v>
      </c>
      <c r="M1011">
        <f>Table_TRM_Fixtures[[#This Row],[No. of Lamps  (TRM Data)]]</f>
        <v>2</v>
      </c>
      <c r="N1011">
        <v>48</v>
      </c>
      <c r="O1011" t="s">
        <v>1381</v>
      </c>
      <c r="P1011" t="s">
        <v>2640</v>
      </c>
      <c r="Q1011" t="s">
        <v>5608</v>
      </c>
      <c r="R1011" t="str">
        <f>_xlfn.CONCAT(Table_TRM_Fixtures[[#This Row],[Technology]], ", ", Table_TRM_Fixtures[[#This Row],[Ballast Code]], " Ballast")</f>
        <v>T8, Magnetic STD Ballast</v>
      </c>
      <c r="S1011" t="str">
        <f>Table_TRM_Fixtures[[#This Row],[Description  (TRM Data)]]</f>
        <v>Fluorescent, (2) 48", T-8 lamp</v>
      </c>
      <c r="T1011" t="str">
        <f>Table_TRM_Fixtures[[#This Row],[Fixture code  (TRM Data)]]</f>
        <v>F42LE</v>
      </c>
      <c r="U1011" t="s">
        <v>2882</v>
      </c>
      <c r="V1011" t="s">
        <v>186</v>
      </c>
      <c r="W1011" t="s">
        <v>3120</v>
      </c>
      <c r="X1011" t="s">
        <v>186</v>
      </c>
      <c r="Y1011" t="str">
        <f>_xlfn.CONCAT(Table_TRM_Fixtures[[#This Row],[Combined Lighting/Ballast Types]],":",Table_TRM_Fixtures[[#This Row],[No. of Lamps]], ":", Table_TRM_Fixtures[[#This Row],[Lamp Watts  (TRM Data)]])</f>
        <v>T8, Magnetic STD Ballast:2:32</v>
      </c>
      <c r="Z1011" t="s">
        <v>4815</v>
      </c>
      <c r="AA1011">
        <f>IF(Table_TRM_Fixtures[[#This Row],[Pre-EISA Baseline]]="Nominal", Table_TRM_Fixtures[[#This Row],[Fixture Watts  (TRM Data)]], Table_TRM_Fixtures[[#This Row],[Modified Baseline Fixture Watts]])</f>
        <v>71</v>
      </c>
    </row>
    <row r="1012" spans="1:27" x14ac:dyDescent="0.2">
      <c r="A1012" t="s">
        <v>1780</v>
      </c>
      <c r="B1012" t="s">
        <v>5643</v>
      </c>
      <c r="C1012" t="s">
        <v>1779</v>
      </c>
      <c r="D1012" t="s">
        <v>5647</v>
      </c>
      <c r="E1012" t="s">
        <v>187</v>
      </c>
      <c r="F1012">
        <v>2</v>
      </c>
      <c r="G1012">
        <v>32</v>
      </c>
      <c r="H1012">
        <v>60</v>
      </c>
      <c r="I1012">
        <v>15.5</v>
      </c>
      <c r="J1012" s="110">
        <v>1010</v>
      </c>
      <c r="K1012" t="s">
        <v>1505</v>
      </c>
      <c r="L1012">
        <f>IF(Table_TRM_Fixtures[[#This Row],[Technology]]="LED", Table_TRM_Fixtures[[#This Row],[Fixture Watts  (TRM Data)]], Table_TRM_Fixtures[[#This Row],[Lamp Watts  (TRM Data)]])</f>
        <v>32</v>
      </c>
      <c r="M1012">
        <f>Table_TRM_Fixtures[[#This Row],[No. of Lamps  (TRM Data)]]</f>
        <v>2</v>
      </c>
      <c r="N1012">
        <v>48</v>
      </c>
      <c r="O1012" t="s">
        <v>1381</v>
      </c>
      <c r="P1012" t="s">
        <v>187</v>
      </c>
      <c r="Q1012" t="s">
        <v>5612</v>
      </c>
      <c r="R1012" t="str">
        <f>_xlfn.CONCAT(Table_TRM_Fixtures[[#This Row],[Technology]], ", ", Table_TRM_Fixtures[[#This Row],[Ballast Code]], " Ballast")</f>
        <v>T8, Electronic STD Ballast</v>
      </c>
      <c r="S1012" t="str">
        <f>Table_TRM_Fixtures[[#This Row],[Description  (TRM Data)]]</f>
        <v>Fluorescent, (2) 48", T-8 lamps, Rapid Start Ballast, NLO (0.85 &lt; BF &lt; 0.95)</v>
      </c>
      <c r="T1012" t="str">
        <f>Table_TRM_Fixtures[[#This Row],[Fixture code  (TRM Data)]]</f>
        <v>F42LL</v>
      </c>
      <c r="U1012" t="s">
        <v>2882</v>
      </c>
      <c r="V1012" t="s">
        <v>186</v>
      </c>
      <c r="W1012" t="s">
        <v>3120</v>
      </c>
      <c r="X1012" t="s">
        <v>186</v>
      </c>
      <c r="Y1012" t="s">
        <v>4815</v>
      </c>
      <c r="Z1012" t="s">
        <v>4815</v>
      </c>
      <c r="AA1012">
        <f>IF(Table_TRM_Fixtures[[#This Row],[Pre-EISA Baseline]]="Nominal", Table_TRM_Fixtures[[#This Row],[Fixture Watts  (TRM Data)]], Table_TRM_Fixtures[[#This Row],[Modified Baseline Fixture Watts]])</f>
        <v>60</v>
      </c>
    </row>
    <row r="1013" spans="1:27" x14ac:dyDescent="0.2">
      <c r="A1013" t="s">
        <v>1782</v>
      </c>
      <c r="B1013" t="s">
        <v>5643</v>
      </c>
      <c r="C1013" t="s">
        <v>1781</v>
      </c>
      <c r="D1013" t="s">
        <v>5650</v>
      </c>
      <c r="E1013" t="s">
        <v>187</v>
      </c>
      <c r="F1013">
        <v>2</v>
      </c>
      <c r="G1013">
        <v>32</v>
      </c>
      <c r="H1013">
        <v>70</v>
      </c>
      <c r="I1013">
        <v>15.5</v>
      </c>
      <c r="J1013" s="110">
        <v>1011</v>
      </c>
      <c r="K1013" t="s">
        <v>1505</v>
      </c>
      <c r="L1013">
        <f>IF(Table_TRM_Fixtures[[#This Row],[Technology]]="LED", Table_TRM_Fixtures[[#This Row],[Fixture Watts  (TRM Data)]], Table_TRM_Fixtures[[#This Row],[Lamp Watts  (TRM Data)]])</f>
        <v>32</v>
      </c>
      <c r="M1013">
        <f>Table_TRM_Fixtures[[#This Row],[No. of Lamps  (TRM Data)]]</f>
        <v>2</v>
      </c>
      <c r="N1013">
        <v>48</v>
      </c>
      <c r="O1013" t="s">
        <v>1381</v>
      </c>
      <c r="P1013" t="s">
        <v>187</v>
      </c>
      <c r="Q1013" t="s">
        <v>5566</v>
      </c>
      <c r="R1013" t="str">
        <f>_xlfn.CONCAT(Table_TRM_Fixtures[[#This Row],[Technology]], ", ", Table_TRM_Fixtures[[#This Row],[Ballast Code]], " Ballast")</f>
        <v>T8, Electronic HLO Ballast</v>
      </c>
      <c r="S1013" t="str">
        <f>Table_TRM_Fixtures[[#This Row],[Description  (TRM Data)]]</f>
        <v>Fluorescent, (2) 48", T-8 lamp, Rapid Start Ballast, HLO (0.95 &lt; BF &lt; 1.1)</v>
      </c>
      <c r="T1013" t="str">
        <f>Table_TRM_Fixtures[[#This Row],[Fixture code  (TRM Data)]]</f>
        <v>F42LL-H</v>
      </c>
      <c r="U1013" t="s">
        <v>2882</v>
      </c>
      <c r="V1013" t="s">
        <v>186</v>
      </c>
      <c r="W1013" t="s">
        <v>3120</v>
      </c>
      <c r="X1013" t="s">
        <v>186</v>
      </c>
      <c r="Y1013" t="s">
        <v>4815</v>
      </c>
      <c r="Z1013" t="s">
        <v>4815</v>
      </c>
      <c r="AA1013">
        <f>IF(Table_TRM_Fixtures[[#This Row],[Pre-EISA Baseline]]="Nominal", Table_TRM_Fixtures[[#This Row],[Fixture Watts  (TRM Data)]], Table_TRM_Fixtures[[#This Row],[Modified Baseline Fixture Watts]])</f>
        <v>70</v>
      </c>
    </row>
    <row r="1014" spans="1:27" x14ac:dyDescent="0.2">
      <c r="A1014" t="s">
        <v>1784</v>
      </c>
      <c r="B1014" t="s">
        <v>5643</v>
      </c>
      <c r="C1014" t="s">
        <v>1783</v>
      </c>
      <c r="D1014" t="s">
        <v>5648</v>
      </c>
      <c r="E1014" t="s">
        <v>187</v>
      </c>
      <c r="F1014">
        <v>2</v>
      </c>
      <c r="G1014">
        <v>32</v>
      </c>
      <c r="H1014">
        <v>54</v>
      </c>
      <c r="I1014">
        <v>15.5</v>
      </c>
      <c r="J1014" s="110">
        <v>1012</v>
      </c>
      <c r="K1014" t="s">
        <v>1505</v>
      </c>
      <c r="L1014">
        <f>IF(Table_TRM_Fixtures[[#This Row],[Technology]]="LED", Table_TRM_Fixtures[[#This Row],[Fixture Watts  (TRM Data)]], Table_TRM_Fixtures[[#This Row],[Lamp Watts  (TRM Data)]])</f>
        <v>32</v>
      </c>
      <c r="M1014">
        <f>Table_TRM_Fixtures[[#This Row],[No. of Lamps  (TRM Data)]]</f>
        <v>2</v>
      </c>
      <c r="N1014">
        <v>48</v>
      </c>
      <c r="O1014" t="s">
        <v>1381</v>
      </c>
      <c r="P1014" t="s">
        <v>187</v>
      </c>
      <c r="Q1014" t="s">
        <v>5614</v>
      </c>
      <c r="R1014" t="str">
        <f>_xlfn.CONCAT(Table_TRM_Fixtures[[#This Row],[Technology]], ", ", Table_TRM_Fixtures[[#This Row],[Ballast Code]], " Ballast")</f>
        <v>T8, Electronic RLO Ballast</v>
      </c>
      <c r="S1014" t="str">
        <f>Table_TRM_Fixtures[[#This Row],[Description  (TRM Data)]]</f>
        <v>Fluorescent, (2) 48", T-8 lamp, Rapid Start Ballast, RLO (BF&lt; 0.85)</v>
      </c>
      <c r="T1014" t="str">
        <f>Table_TRM_Fixtures[[#This Row],[Fixture code  (TRM Data)]]</f>
        <v>F42LL-R</v>
      </c>
      <c r="U1014" t="s">
        <v>2882</v>
      </c>
      <c r="V1014" t="s">
        <v>186</v>
      </c>
      <c r="W1014" t="s">
        <v>3120</v>
      </c>
      <c r="X1014" t="s">
        <v>186</v>
      </c>
      <c r="Y1014" t="s">
        <v>4815</v>
      </c>
      <c r="Z1014" t="s">
        <v>4815</v>
      </c>
      <c r="AA1014">
        <f>IF(Table_TRM_Fixtures[[#This Row],[Pre-EISA Baseline]]="Nominal", Table_TRM_Fixtures[[#This Row],[Fixture Watts  (TRM Data)]], Table_TRM_Fixtures[[#This Row],[Modified Baseline Fixture Watts]])</f>
        <v>54</v>
      </c>
    </row>
    <row r="1015" spans="1:27" x14ac:dyDescent="0.2">
      <c r="A1015" t="s">
        <v>1786</v>
      </c>
      <c r="B1015" t="s">
        <v>5643</v>
      </c>
      <c r="C1015" t="s">
        <v>1785</v>
      </c>
      <c r="D1015" t="s">
        <v>5650</v>
      </c>
      <c r="E1015" t="s">
        <v>187</v>
      </c>
      <c r="F1015">
        <v>2</v>
      </c>
      <c r="G1015">
        <v>32</v>
      </c>
      <c r="H1015">
        <v>85</v>
      </c>
      <c r="I1015">
        <v>15.5</v>
      </c>
      <c r="J1015" s="110">
        <v>1013</v>
      </c>
      <c r="K1015" t="s">
        <v>1505</v>
      </c>
      <c r="L1015">
        <f>IF(Table_TRM_Fixtures[[#This Row],[Technology]]="LED", Table_TRM_Fixtures[[#This Row],[Fixture Watts  (TRM Data)]], Table_TRM_Fixtures[[#This Row],[Lamp Watts  (TRM Data)]])</f>
        <v>32</v>
      </c>
      <c r="M1015">
        <f>Table_TRM_Fixtures[[#This Row],[No. of Lamps  (TRM Data)]]</f>
        <v>2</v>
      </c>
      <c r="N1015">
        <v>48</v>
      </c>
      <c r="O1015" t="s">
        <v>1381</v>
      </c>
      <c r="P1015" t="s">
        <v>187</v>
      </c>
      <c r="Q1015" t="s">
        <v>5616</v>
      </c>
      <c r="R1015" t="str">
        <f>_xlfn.CONCAT(Table_TRM_Fixtures[[#This Row],[Technology]], ", ", Table_TRM_Fixtures[[#This Row],[Ballast Code]], " Ballast")</f>
        <v>T8, Electronic VHLO Ballast</v>
      </c>
      <c r="S1015" t="str">
        <f>Table_TRM_Fixtures[[#This Row],[Description  (TRM Data)]]</f>
        <v>Fluorescent, (2) 48", T-8 lamp, Rapid Start Ballast, VHLO (BF &gt; 1.1)</v>
      </c>
      <c r="T1015" t="str">
        <f>Table_TRM_Fixtures[[#This Row],[Fixture code  (TRM Data)]]</f>
        <v>F42LL-V</v>
      </c>
      <c r="U1015" t="s">
        <v>2882</v>
      </c>
      <c r="V1015" t="s">
        <v>186</v>
      </c>
      <c r="W1015" t="s">
        <v>3120</v>
      </c>
      <c r="X1015" t="s">
        <v>186</v>
      </c>
      <c r="Y1015" t="s">
        <v>4815</v>
      </c>
      <c r="Z1015" t="s">
        <v>4815</v>
      </c>
      <c r="AA1015">
        <f>IF(Table_TRM_Fixtures[[#This Row],[Pre-EISA Baseline]]="Nominal", Table_TRM_Fixtures[[#This Row],[Fixture Watts  (TRM Data)]], Table_TRM_Fixtures[[#This Row],[Modified Baseline Fixture Watts]])</f>
        <v>85</v>
      </c>
    </row>
    <row r="1016" spans="1:27" x14ac:dyDescent="0.2">
      <c r="A1016" t="s">
        <v>1788</v>
      </c>
      <c r="B1016" t="s">
        <v>5643</v>
      </c>
      <c r="C1016" t="s">
        <v>1787</v>
      </c>
      <c r="D1016" t="s">
        <v>5647</v>
      </c>
      <c r="E1016" t="s">
        <v>187</v>
      </c>
      <c r="F1016">
        <v>2</v>
      </c>
      <c r="G1016">
        <v>32</v>
      </c>
      <c r="H1016">
        <v>64</v>
      </c>
      <c r="I1016">
        <v>15.5</v>
      </c>
      <c r="J1016" s="110">
        <v>1014</v>
      </c>
      <c r="K1016" t="s">
        <v>1505</v>
      </c>
      <c r="L1016">
        <f>IF(Table_TRM_Fixtures[[#This Row],[Technology]]="LED", Table_TRM_Fixtures[[#This Row],[Fixture Watts  (TRM Data)]], Table_TRM_Fixtures[[#This Row],[Lamp Watts  (TRM Data)]])</f>
        <v>32</v>
      </c>
      <c r="M1016">
        <f>Table_TRM_Fixtures[[#This Row],[No. of Lamps  (TRM Data)]]</f>
        <v>2</v>
      </c>
      <c r="N1016">
        <v>48</v>
      </c>
      <c r="O1016" t="s">
        <v>1381</v>
      </c>
      <c r="P1016" t="s">
        <v>187</v>
      </c>
      <c r="Q1016" t="s">
        <v>5612</v>
      </c>
      <c r="R1016" t="str">
        <f>_xlfn.CONCAT(Table_TRM_Fixtures[[#This Row],[Technology]], ", ", Table_TRM_Fixtures[[#This Row],[Ballast Code]], " Ballast")</f>
        <v>T8, Electronic STD Ballast</v>
      </c>
      <c r="S1016" t="str">
        <f>Table_TRM_Fixtures[[#This Row],[Description  (TRM Data)]]</f>
        <v>Fluorescent, (2) 48", T-8 lamps, (2) 1-lamp Rapid Start Ballasts, NLO (0.85 &lt; BF &lt; 0.95)</v>
      </c>
      <c r="T1016" t="str">
        <f>Table_TRM_Fixtures[[#This Row],[Fixture code  (TRM Data)]]</f>
        <v>F42LL/2</v>
      </c>
      <c r="U1016" t="s">
        <v>2882</v>
      </c>
      <c r="V1016" t="s">
        <v>186</v>
      </c>
      <c r="W1016" t="s">
        <v>3120</v>
      </c>
      <c r="X1016" t="s">
        <v>186</v>
      </c>
      <c r="Y1016" t="s">
        <v>4815</v>
      </c>
      <c r="Z1016" t="s">
        <v>4815</v>
      </c>
      <c r="AA1016">
        <f>IF(Table_TRM_Fixtures[[#This Row],[Pre-EISA Baseline]]="Nominal", Table_TRM_Fixtures[[#This Row],[Fixture Watts  (TRM Data)]], Table_TRM_Fixtures[[#This Row],[Modified Baseline Fixture Watts]])</f>
        <v>64</v>
      </c>
    </row>
    <row r="1017" spans="1:27" x14ac:dyDescent="0.2">
      <c r="A1017" t="s">
        <v>1790</v>
      </c>
      <c r="B1017" t="s">
        <v>5643</v>
      </c>
      <c r="C1017" t="s">
        <v>1789</v>
      </c>
      <c r="D1017" t="s">
        <v>5647</v>
      </c>
      <c r="E1017" t="s">
        <v>187</v>
      </c>
      <c r="F1017">
        <v>2</v>
      </c>
      <c r="G1017">
        <v>32</v>
      </c>
      <c r="H1017">
        <v>59</v>
      </c>
      <c r="I1017">
        <v>15.5</v>
      </c>
      <c r="J1017" s="110">
        <v>1015</v>
      </c>
      <c r="K1017" t="s">
        <v>1505</v>
      </c>
      <c r="L1017">
        <f>IF(Table_TRM_Fixtures[[#This Row],[Technology]]="LED", Table_TRM_Fixtures[[#This Row],[Fixture Watts  (TRM Data)]], Table_TRM_Fixtures[[#This Row],[Lamp Watts  (TRM Data)]])</f>
        <v>32</v>
      </c>
      <c r="M1017">
        <f>Table_TRM_Fixtures[[#This Row],[No. of Lamps  (TRM Data)]]</f>
        <v>2</v>
      </c>
      <c r="N1017">
        <v>48</v>
      </c>
      <c r="O1017" t="s">
        <v>1381</v>
      </c>
      <c r="P1017" t="s">
        <v>187</v>
      </c>
      <c r="Q1017" t="s">
        <v>5612</v>
      </c>
      <c r="R1017" t="str">
        <f>_xlfn.CONCAT(Table_TRM_Fixtures[[#This Row],[Technology]], ", ", Table_TRM_Fixtures[[#This Row],[Ballast Code]], " Ballast")</f>
        <v>T8, Electronic STD Ballast</v>
      </c>
      <c r="S1017" t="str">
        <f>Table_TRM_Fixtures[[#This Row],[Description  (TRM Data)]]</f>
        <v>Fluorescent, (2) 48", T-8 lamps, Tandem 4-lamp RS Ballast, NLO (0.85 &lt; BF &lt; 0.95)</v>
      </c>
      <c r="T1017" t="str">
        <f>Table_TRM_Fixtures[[#This Row],[Fixture code  (TRM Data)]]</f>
        <v>F42LL/T4</v>
      </c>
      <c r="U1017" t="s">
        <v>2882</v>
      </c>
      <c r="V1017" t="s">
        <v>186</v>
      </c>
      <c r="W1017" t="s">
        <v>3120</v>
      </c>
      <c r="X1017" t="s">
        <v>186</v>
      </c>
      <c r="Y1017" t="s">
        <v>4815</v>
      </c>
      <c r="Z1017" t="s">
        <v>4815</v>
      </c>
      <c r="AA1017">
        <f>IF(Table_TRM_Fixtures[[#This Row],[Pre-EISA Baseline]]="Nominal", Table_TRM_Fixtures[[#This Row],[Fixture Watts  (TRM Data)]], Table_TRM_Fixtures[[#This Row],[Modified Baseline Fixture Watts]])</f>
        <v>59</v>
      </c>
    </row>
    <row r="1018" spans="1:27" x14ac:dyDescent="0.2">
      <c r="A1018" t="s">
        <v>1792</v>
      </c>
      <c r="B1018" t="s">
        <v>5643</v>
      </c>
      <c r="C1018" t="s">
        <v>1791</v>
      </c>
      <c r="D1018" t="s">
        <v>5648</v>
      </c>
      <c r="E1018" t="s">
        <v>187</v>
      </c>
      <c r="F1018">
        <v>2</v>
      </c>
      <c r="G1018">
        <v>32</v>
      </c>
      <c r="H1018">
        <v>53</v>
      </c>
      <c r="I1018">
        <v>15.5</v>
      </c>
      <c r="J1018" s="110">
        <v>1016</v>
      </c>
      <c r="K1018" t="s">
        <v>1505</v>
      </c>
      <c r="L1018">
        <f>IF(Table_TRM_Fixtures[[#This Row],[Technology]]="LED", Table_TRM_Fixtures[[#This Row],[Fixture Watts  (TRM Data)]], Table_TRM_Fixtures[[#This Row],[Lamp Watts  (TRM Data)]])</f>
        <v>32</v>
      </c>
      <c r="M1018">
        <f>Table_TRM_Fixtures[[#This Row],[No. of Lamps  (TRM Data)]]</f>
        <v>2</v>
      </c>
      <c r="N1018">
        <v>48</v>
      </c>
      <c r="O1018" t="s">
        <v>1381</v>
      </c>
      <c r="P1018" t="s">
        <v>187</v>
      </c>
      <c r="Q1018" t="s">
        <v>5614</v>
      </c>
      <c r="R1018" t="str">
        <f>_xlfn.CONCAT(Table_TRM_Fixtures[[#This Row],[Technology]], ", ", Table_TRM_Fixtures[[#This Row],[Ballast Code]], " Ballast")</f>
        <v>T8, Electronic RLO Ballast</v>
      </c>
      <c r="S1018" t="str">
        <f>Table_TRM_Fixtures[[#This Row],[Description  (TRM Data)]]</f>
        <v>Fluorescent, (2) 48", T-8 lamp, Tandem 4-lamp RS Ballast, RLO (BF&lt; 0.85)</v>
      </c>
      <c r="T1018" t="str">
        <f>Table_TRM_Fixtures[[#This Row],[Fixture code  (TRM Data)]]</f>
        <v>F42LL/T4-R</v>
      </c>
      <c r="U1018" t="s">
        <v>2882</v>
      </c>
      <c r="V1018" t="s">
        <v>186</v>
      </c>
      <c r="W1018" t="s">
        <v>3120</v>
      </c>
      <c r="X1018" t="s">
        <v>186</v>
      </c>
      <c r="Y1018" t="s">
        <v>4815</v>
      </c>
      <c r="Z1018" t="s">
        <v>4815</v>
      </c>
      <c r="AA1018">
        <f>IF(Table_TRM_Fixtures[[#This Row],[Pre-EISA Baseline]]="Nominal", Table_TRM_Fixtures[[#This Row],[Fixture Watts  (TRM Data)]], Table_TRM_Fixtures[[#This Row],[Modified Baseline Fixture Watts]])</f>
        <v>53</v>
      </c>
    </row>
    <row r="1019" spans="1:27" x14ac:dyDescent="0.2">
      <c r="A1019" t="s">
        <v>1794</v>
      </c>
      <c r="B1019" t="s">
        <v>5643</v>
      </c>
      <c r="C1019" t="s">
        <v>1793</v>
      </c>
      <c r="D1019" t="s">
        <v>5651</v>
      </c>
      <c r="E1019" t="s">
        <v>1386</v>
      </c>
      <c r="F1019">
        <v>3</v>
      </c>
      <c r="G1019">
        <v>32</v>
      </c>
      <c r="H1019">
        <v>88</v>
      </c>
      <c r="I1019">
        <v>15.5</v>
      </c>
      <c r="J1019" s="110">
        <v>1017</v>
      </c>
      <c r="K1019" t="s">
        <v>1505</v>
      </c>
      <c r="L1019">
        <f>IF(Table_TRM_Fixtures[[#This Row],[Technology]]="LED", Table_TRM_Fixtures[[#This Row],[Fixture Watts  (TRM Data)]], Table_TRM_Fixtures[[#This Row],[Lamp Watts  (TRM Data)]])</f>
        <v>32</v>
      </c>
      <c r="M1019">
        <f>Table_TRM_Fixtures[[#This Row],[No. of Lamps  (TRM Data)]]</f>
        <v>3</v>
      </c>
      <c r="N1019">
        <v>48</v>
      </c>
      <c r="O1019" t="s">
        <v>1381</v>
      </c>
      <c r="P1019" t="s">
        <v>187</v>
      </c>
      <c r="Q1019" t="s">
        <v>5612</v>
      </c>
      <c r="R1019" t="str">
        <f>_xlfn.CONCAT(Table_TRM_Fixtures[[#This Row],[Technology]], ", ", Table_TRM_Fixtures[[#This Row],[Ballast Code]], " Ballast")</f>
        <v>T8, Electronic STD Ballast</v>
      </c>
      <c r="S1019" t="str">
        <f>Table_TRM_Fixtures[[#This Row],[Description  (TRM Data)]]</f>
        <v>Fluorescent (3) 48" T-8 lamps, Prog. Start or PRS Ballast, NLO (0.85 &lt; BF &lt; 0.95)</v>
      </c>
      <c r="T1019" t="str">
        <f>Table_TRM_Fixtures[[#This Row],[Fixture code  (TRM Data)]]</f>
        <v>F43GLL</v>
      </c>
      <c r="U1019" t="s">
        <v>2882</v>
      </c>
      <c r="V1019" t="s">
        <v>186</v>
      </c>
      <c r="W1019" t="s">
        <v>3120</v>
      </c>
      <c r="X1019" t="s">
        <v>186</v>
      </c>
      <c r="Y1019" t="s">
        <v>4815</v>
      </c>
      <c r="Z1019" t="s">
        <v>4815</v>
      </c>
      <c r="AA1019">
        <f>IF(Table_TRM_Fixtures[[#This Row],[Pre-EISA Baseline]]="Nominal", Table_TRM_Fixtures[[#This Row],[Fixture Watts  (TRM Data)]], Table_TRM_Fixtures[[#This Row],[Modified Baseline Fixture Watts]])</f>
        <v>88</v>
      </c>
    </row>
    <row r="1020" spans="1:27" x14ac:dyDescent="0.2">
      <c r="A1020" t="s">
        <v>1796</v>
      </c>
      <c r="B1020" t="s">
        <v>5643</v>
      </c>
      <c r="C1020" t="s">
        <v>1795</v>
      </c>
      <c r="D1020" t="s">
        <v>5652</v>
      </c>
      <c r="E1020" t="s">
        <v>1386</v>
      </c>
      <c r="F1020">
        <v>3</v>
      </c>
      <c r="G1020">
        <v>32</v>
      </c>
      <c r="H1020">
        <v>72</v>
      </c>
      <c r="I1020">
        <v>15.5</v>
      </c>
      <c r="J1020" s="110">
        <v>1018</v>
      </c>
      <c r="K1020" t="s">
        <v>1505</v>
      </c>
      <c r="L1020">
        <f>IF(Table_TRM_Fixtures[[#This Row],[Technology]]="LED", Table_TRM_Fixtures[[#This Row],[Fixture Watts  (TRM Data)]], Table_TRM_Fixtures[[#This Row],[Lamp Watts  (TRM Data)]])</f>
        <v>32</v>
      </c>
      <c r="M1020">
        <f>Table_TRM_Fixtures[[#This Row],[No. of Lamps  (TRM Data)]]</f>
        <v>3</v>
      </c>
      <c r="N1020">
        <v>48</v>
      </c>
      <c r="O1020" t="s">
        <v>1381</v>
      </c>
      <c r="P1020" t="s">
        <v>187</v>
      </c>
      <c r="Q1020" t="s">
        <v>5614</v>
      </c>
      <c r="R1020" t="str">
        <f>_xlfn.CONCAT(Table_TRM_Fixtures[[#This Row],[Technology]], ", ", Table_TRM_Fixtures[[#This Row],[Ballast Code]], " Ballast")</f>
        <v>T8, Electronic RLO Ballast</v>
      </c>
      <c r="S1020" t="str">
        <f>Table_TRM_Fixtures[[#This Row],[Description  (TRM Data)]]</f>
        <v>Fluorescent (3) 48" T-8 lamps, Prog. Start or PRS Ballast, RLO (BF &lt; 0.85)</v>
      </c>
      <c r="T1020" t="str">
        <f>Table_TRM_Fixtures[[#This Row],[Fixture code  (TRM Data)]]</f>
        <v>F43GLL-R</v>
      </c>
      <c r="U1020" t="s">
        <v>2882</v>
      </c>
      <c r="V1020" t="s">
        <v>186</v>
      </c>
      <c r="W1020" t="s">
        <v>3120</v>
      </c>
      <c r="X1020" t="s">
        <v>186</v>
      </c>
      <c r="Y1020" t="s">
        <v>4815</v>
      </c>
      <c r="Z1020" t="s">
        <v>4815</v>
      </c>
      <c r="AA1020">
        <f>IF(Table_TRM_Fixtures[[#This Row],[Pre-EISA Baseline]]="Nominal", Table_TRM_Fixtures[[#This Row],[Fixture Watts  (TRM Data)]], Table_TRM_Fixtures[[#This Row],[Modified Baseline Fixture Watts]])</f>
        <v>72</v>
      </c>
    </row>
    <row r="1021" spans="1:27" x14ac:dyDescent="0.2">
      <c r="A1021" t="s">
        <v>1798</v>
      </c>
      <c r="B1021" t="s">
        <v>5643</v>
      </c>
      <c r="C1021" t="s">
        <v>1797</v>
      </c>
      <c r="D1021" t="s">
        <v>5653</v>
      </c>
      <c r="E1021" t="s">
        <v>187</v>
      </c>
      <c r="F1021">
        <v>3</v>
      </c>
      <c r="G1021">
        <v>32</v>
      </c>
      <c r="H1021">
        <v>108</v>
      </c>
      <c r="I1021">
        <v>15.5</v>
      </c>
      <c r="J1021" s="110">
        <v>1019</v>
      </c>
      <c r="K1021" t="s">
        <v>1505</v>
      </c>
      <c r="L1021">
        <f>IF(Table_TRM_Fixtures[[#This Row],[Technology]]="LED", Table_TRM_Fixtures[[#This Row],[Fixture Watts  (TRM Data)]], Table_TRM_Fixtures[[#This Row],[Lamp Watts  (TRM Data)]])</f>
        <v>32</v>
      </c>
      <c r="M1021">
        <f>Table_TRM_Fixtures[[#This Row],[No. of Lamps  (TRM Data)]]</f>
        <v>3</v>
      </c>
      <c r="N1021">
        <v>48</v>
      </c>
      <c r="O1021" t="s">
        <v>1381</v>
      </c>
      <c r="P1021" t="s">
        <v>187</v>
      </c>
      <c r="Q1021" t="s">
        <v>5616</v>
      </c>
      <c r="R1021" t="str">
        <f>_xlfn.CONCAT(Table_TRM_Fixtures[[#This Row],[Technology]], ", ", Table_TRM_Fixtures[[#This Row],[Ballast Code]], " Ballast")</f>
        <v>T8, Electronic VHLO Ballast</v>
      </c>
      <c r="S1021" t="str">
        <f>Table_TRM_Fixtures[[#This Row],[Description  (TRM Data)]]</f>
        <v>Fluorescent, (3) 48" T-8 lamps, Prog. Start or PRS Ballast, VHLO (BF &gt; 1.1)</v>
      </c>
      <c r="T1021" t="str">
        <f>Table_TRM_Fixtures[[#This Row],[Fixture code  (TRM Data)]]</f>
        <v>F43GLL-V</v>
      </c>
      <c r="U1021" t="s">
        <v>2882</v>
      </c>
      <c r="V1021" t="s">
        <v>186</v>
      </c>
      <c r="W1021" t="s">
        <v>3120</v>
      </c>
      <c r="X1021" t="s">
        <v>186</v>
      </c>
      <c r="Y1021" t="s">
        <v>4815</v>
      </c>
      <c r="Z1021" t="s">
        <v>4815</v>
      </c>
      <c r="AA1021">
        <f>IF(Table_TRM_Fixtures[[#This Row],[Pre-EISA Baseline]]="Nominal", Table_TRM_Fixtures[[#This Row],[Fixture Watts  (TRM Data)]], Table_TRM_Fixtures[[#This Row],[Modified Baseline Fixture Watts]])</f>
        <v>108</v>
      </c>
    </row>
    <row r="1022" spans="1:27" x14ac:dyDescent="0.2">
      <c r="A1022" t="s">
        <v>1800</v>
      </c>
      <c r="B1022" t="s">
        <v>5643</v>
      </c>
      <c r="C1022" t="s">
        <v>1799</v>
      </c>
      <c r="D1022" t="s">
        <v>5651</v>
      </c>
      <c r="E1022" t="s">
        <v>187</v>
      </c>
      <c r="F1022">
        <v>3</v>
      </c>
      <c r="G1022">
        <v>32</v>
      </c>
      <c r="H1022">
        <v>85</v>
      </c>
      <c r="I1022">
        <v>15.5</v>
      </c>
      <c r="J1022" s="110">
        <v>1020</v>
      </c>
      <c r="K1022" t="s">
        <v>1505</v>
      </c>
      <c r="L1022">
        <f>IF(Table_TRM_Fixtures[[#This Row],[Technology]]="LED", Table_TRM_Fixtures[[#This Row],[Fixture Watts  (TRM Data)]], Table_TRM_Fixtures[[#This Row],[Lamp Watts  (TRM Data)]])</f>
        <v>32</v>
      </c>
      <c r="M1022">
        <f>Table_TRM_Fixtures[[#This Row],[No. of Lamps  (TRM Data)]]</f>
        <v>3</v>
      </c>
      <c r="N1022">
        <v>48</v>
      </c>
      <c r="O1022" t="s">
        <v>1381</v>
      </c>
      <c r="P1022" t="s">
        <v>187</v>
      </c>
      <c r="Q1022" t="s">
        <v>5612</v>
      </c>
      <c r="R1022" t="str">
        <f>_xlfn.CONCAT(Table_TRM_Fixtures[[#This Row],[Technology]], ", ", Table_TRM_Fixtures[[#This Row],[Ballast Code]], " Ballast")</f>
        <v>T8, Electronic STD Ballast</v>
      </c>
      <c r="S1022" t="str">
        <f>Table_TRM_Fixtures[[#This Row],[Description  (TRM Data)]]</f>
        <v>Fluorescent, (3) 48" T-8 lamps, Instant Start Ballast, NLO (0.85 &lt; BF &lt; 0.95)</v>
      </c>
      <c r="T1022" t="str">
        <f>Table_TRM_Fixtures[[#This Row],[Fixture code  (TRM Data)]]</f>
        <v>F43ILL</v>
      </c>
      <c r="U1022" t="s">
        <v>2882</v>
      </c>
      <c r="V1022" t="s">
        <v>186</v>
      </c>
      <c r="W1022" t="s">
        <v>3120</v>
      </c>
      <c r="X1022" t="s">
        <v>186</v>
      </c>
      <c r="Y1022" t="str">
        <f>_xlfn.CONCAT(Table_TRM_Fixtures[[#This Row],[Combined Lighting/Ballast Types]],":",Table_TRM_Fixtures[[#This Row],[No. of Lamps]], ":", Table_TRM_Fixtures[[#This Row],[Lamp Watts  (TRM Data)]])</f>
        <v>T8, Electronic STD Ballast:3:32</v>
      </c>
      <c r="Z1022"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T8:3:32</v>
      </c>
      <c r="AA1022">
        <f>IF(Table_TRM_Fixtures[[#This Row],[Pre-EISA Baseline]]="Nominal", Table_TRM_Fixtures[[#This Row],[Fixture Watts  (TRM Data)]], Table_TRM_Fixtures[[#This Row],[Modified Baseline Fixture Watts]])</f>
        <v>85</v>
      </c>
    </row>
    <row r="1023" spans="1:27" x14ac:dyDescent="0.2">
      <c r="A1023" t="s">
        <v>1802</v>
      </c>
      <c r="B1023" t="s">
        <v>5643</v>
      </c>
      <c r="C1023" t="s">
        <v>1801</v>
      </c>
      <c r="D1023" t="s">
        <v>5654</v>
      </c>
      <c r="E1023" t="s">
        <v>187</v>
      </c>
      <c r="F1023">
        <v>3</v>
      </c>
      <c r="G1023">
        <v>32</v>
      </c>
      <c r="H1023">
        <v>93</v>
      </c>
      <c r="I1023">
        <v>15.5</v>
      </c>
      <c r="J1023" s="110">
        <v>1021</v>
      </c>
      <c r="K1023" t="s">
        <v>1505</v>
      </c>
      <c r="L1023">
        <f>IF(Table_TRM_Fixtures[[#This Row],[Technology]]="LED", Table_TRM_Fixtures[[#This Row],[Fixture Watts  (TRM Data)]], Table_TRM_Fixtures[[#This Row],[Lamp Watts  (TRM Data)]])</f>
        <v>32</v>
      </c>
      <c r="M1023">
        <f>Table_TRM_Fixtures[[#This Row],[No. of Lamps  (TRM Data)]]</f>
        <v>3</v>
      </c>
      <c r="N1023">
        <v>48</v>
      </c>
      <c r="O1023" t="s">
        <v>1381</v>
      </c>
      <c r="P1023" t="s">
        <v>187</v>
      </c>
      <c r="Q1023" t="s">
        <v>5566</v>
      </c>
      <c r="R1023" t="str">
        <f>_xlfn.CONCAT(Table_TRM_Fixtures[[#This Row],[Technology]], ", ", Table_TRM_Fixtures[[#This Row],[Ballast Code]], " Ballast")</f>
        <v>T8, Electronic HLO Ballast</v>
      </c>
      <c r="S1023" t="str">
        <f>Table_TRM_Fixtures[[#This Row],[Description  (TRM Data)]]</f>
        <v>Fluorescent, (3) 48" T-8 lamps, Instant Start Ballast, HLO (0.95 &lt; BF &lt; 1.1)</v>
      </c>
      <c r="T1023" t="str">
        <f>Table_TRM_Fixtures[[#This Row],[Fixture code  (TRM Data)]]</f>
        <v>F43ILL-H</v>
      </c>
      <c r="U1023" t="s">
        <v>2882</v>
      </c>
      <c r="V1023" t="s">
        <v>186</v>
      </c>
      <c r="W1023" t="s">
        <v>3120</v>
      </c>
      <c r="X1023" t="s">
        <v>186</v>
      </c>
      <c r="Y1023" t="s">
        <v>4815</v>
      </c>
      <c r="Z1023" t="s">
        <v>4815</v>
      </c>
      <c r="AA1023">
        <f>IF(Table_TRM_Fixtures[[#This Row],[Pre-EISA Baseline]]="Nominal", Table_TRM_Fixtures[[#This Row],[Fixture Watts  (TRM Data)]], Table_TRM_Fixtures[[#This Row],[Modified Baseline Fixture Watts]])</f>
        <v>93</v>
      </c>
    </row>
    <row r="1024" spans="1:27" x14ac:dyDescent="0.2">
      <c r="A1024" t="s">
        <v>1804</v>
      </c>
      <c r="B1024" t="s">
        <v>5643</v>
      </c>
      <c r="C1024" t="s">
        <v>1803</v>
      </c>
      <c r="D1024" t="s">
        <v>5652</v>
      </c>
      <c r="E1024" t="s">
        <v>187</v>
      </c>
      <c r="F1024">
        <v>3</v>
      </c>
      <c r="G1024">
        <v>32</v>
      </c>
      <c r="H1024">
        <v>76</v>
      </c>
      <c r="I1024">
        <v>15.5</v>
      </c>
      <c r="J1024" s="110">
        <v>1022</v>
      </c>
      <c r="K1024" t="s">
        <v>1505</v>
      </c>
      <c r="L1024">
        <f>IF(Table_TRM_Fixtures[[#This Row],[Technology]]="LED", Table_TRM_Fixtures[[#This Row],[Fixture Watts  (TRM Data)]], Table_TRM_Fixtures[[#This Row],[Lamp Watts  (TRM Data)]])</f>
        <v>32</v>
      </c>
      <c r="M1024">
        <f>Table_TRM_Fixtures[[#This Row],[No. of Lamps  (TRM Data)]]</f>
        <v>3</v>
      </c>
      <c r="N1024">
        <v>48</v>
      </c>
      <c r="O1024" t="s">
        <v>1381</v>
      </c>
      <c r="P1024" t="s">
        <v>187</v>
      </c>
      <c r="Q1024" t="s">
        <v>5614</v>
      </c>
      <c r="R1024" t="str">
        <f>_xlfn.CONCAT(Table_TRM_Fixtures[[#This Row],[Technology]], ", ", Table_TRM_Fixtures[[#This Row],[Ballast Code]], " Ballast")</f>
        <v>T8, Electronic RLO Ballast</v>
      </c>
      <c r="S1024" t="str">
        <f>Table_TRM_Fixtures[[#This Row],[Description  (TRM Data)]]</f>
        <v>Fluorescent, (3) 48" T-8 lamps, Instant Start Ballast, RLO (BF &lt; 0.85)</v>
      </c>
      <c r="T1024" t="str">
        <f>Table_TRM_Fixtures[[#This Row],[Fixture code  (TRM Data)]]</f>
        <v>F43ILL-R</v>
      </c>
      <c r="U1024" t="s">
        <v>2882</v>
      </c>
      <c r="V1024" t="s">
        <v>186</v>
      </c>
      <c r="W1024" t="s">
        <v>3120</v>
      </c>
      <c r="X1024" t="s">
        <v>186</v>
      </c>
      <c r="Y1024" t="str">
        <f>_xlfn.CONCAT(Table_TRM_Fixtures[[#This Row],[Combined Lighting/Ballast Types]],":",Table_TRM_Fixtures[[#This Row],[No. of Lamps]], ":", Table_TRM_Fixtures[[#This Row],[Lamp Watts  (TRM Data)]])</f>
        <v>T8, Electronic RLO Ballast:3:32</v>
      </c>
      <c r="Z1024" t="s">
        <v>4815</v>
      </c>
      <c r="AA1024">
        <f>IF(Table_TRM_Fixtures[[#This Row],[Pre-EISA Baseline]]="Nominal", Table_TRM_Fixtures[[#This Row],[Fixture Watts  (TRM Data)]], Table_TRM_Fixtures[[#This Row],[Modified Baseline Fixture Watts]])</f>
        <v>76</v>
      </c>
    </row>
    <row r="1025" spans="1:27" x14ac:dyDescent="0.2">
      <c r="A1025" t="s">
        <v>1806</v>
      </c>
      <c r="B1025" t="s">
        <v>5643</v>
      </c>
      <c r="C1025" t="s">
        <v>1805</v>
      </c>
      <c r="D1025" t="s">
        <v>5653</v>
      </c>
      <c r="E1025" t="s">
        <v>187</v>
      </c>
      <c r="F1025">
        <v>3</v>
      </c>
      <c r="G1025">
        <v>32</v>
      </c>
      <c r="H1025">
        <v>112</v>
      </c>
      <c r="I1025">
        <v>15.5</v>
      </c>
      <c r="J1025" s="110">
        <v>1023</v>
      </c>
      <c r="K1025" t="s">
        <v>1505</v>
      </c>
      <c r="L1025">
        <f>IF(Table_TRM_Fixtures[[#This Row],[Technology]]="LED", Table_TRM_Fixtures[[#This Row],[Fixture Watts  (TRM Data)]], Table_TRM_Fixtures[[#This Row],[Lamp Watts  (TRM Data)]])</f>
        <v>32</v>
      </c>
      <c r="M1025">
        <f>Table_TRM_Fixtures[[#This Row],[No. of Lamps  (TRM Data)]]</f>
        <v>3</v>
      </c>
      <c r="N1025">
        <v>48</v>
      </c>
      <c r="O1025" t="s">
        <v>1381</v>
      </c>
      <c r="P1025" t="s">
        <v>187</v>
      </c>
      <c r="Q1025" t="s">
        <v>5616</v>
      </c>
      <c r="R1025" t="str">
        <f>_xlfn.CONCAT(Table_TRM_Fixtures[[#This Row],[Technology]], ", ", Table_TRM_Fixtures[[#This Row],[Ballast Code]], " Ballast")</f>
        <v>T8, Electronic VHLO Ballast</v>
      </c>
      <c r="S1025" t="str">
        <f>Table_TRM_Fixtures[[#This Row],[Description  (TRM Data)]]</f>
        <v>Fluorescent, (3) 48" T-8 lamps, Instant Start Ballast, VHLO (BF &gt; 1.1)</v>
      </c>
      <c r="T1025" t="str">
        <f>Table_TRM_Fixtures[[#This Row],[Fixture code  (TRM Data)]]</f>
        <v>F43ILL-V</v>
      </c>
      <c r="U1025" t="s">
        <v>2882</v>
      </c>
      <c r="V1025" t="s">
        <v>186</v>
      </c>
      <c r="W1025" t="s">
        <v>3120</v>
      </c>
      <c r="X1025" t="s">
        <v>186</v>
      </c>
      <c r="Y1025" t="str">
        <f>_xlfn.CONCAT(Table_TRM_Fixtures[[#This Row],[Combined Lighting/Ballast Types]],":",Table_TRM_Fixtures[[#This Row],[No. of Lamps]], ":", Table_TRM_Fixtures[[#This Row],[Lamp Watts  (TRM Data)]])</f>
        <v>T8, Electronic VHLO Ballast:3:32</v>
      </c>
      <c r="Z1025" t="s">
        <v>4815</v>
      </c>
      <c r="AA1025">
        <f>IF(Table_TRM_Fixtures[[#This Row],[Pre-EISA Baseline]]="Nominal", Table_TRM_Fixtures[[#This Row],[Fixture Watts  (TRM Data)]], Table_TRM_Fixtures[[#This Row],[Modified Baseline Fixture Watts]])</f>
        <v>112</v>
      </c>
    </row>
    <row r="1026" spans="1:27" x14ac:dyDescent="0.2">
      <c r="A1026" t="s">
        <v>1808</v>
      </c>
      <c r="B1026" t="s">
        <v>5643</v>
      </c>
      <c r="C1026" t="s">
        <v>1807</v>
      </c>
      <c r="D1026" t="s">
        <v>5651</v>
      </c>
      <c r="E1026" t="s">
        <v>187</v>
      </c>
      <c r="F1026">
        <v>3</v>
      </c>
      <c r="G1026">
        <v>32</v>
      </c>
      <c r="H1026">
        <v>89</v>
      </c>
      <c r="I1026">
        <v>15.5</v>
      </c>
      <c r="J1026" s="110">
        <v>1024</v>
      </c>
      <c r="K1026" t="s">
        <v>1505</v>
      </c>
      <c r="L1026">
        <f>IF(Table_TRM_Fixtures[[#This Row],[Technology]]="LED", Table_TRM_Fixtures[[#This Row],[Fixture Watts  (TRM Data)]], Table_TRM_Fixtures[[#This Row],[Lamp Watts  (TRM Data)]])</f>
        <v>32</v>
      </c>
      <c r="M1026">
        <f>Table_TRM_Fixtures[[#This Row],[No. of Lamps  (TRM Data)]]</f>
        <v>3</v>
      </c>
      <c r="N1026">
        <v>48</v>
      </c>
      <c r="O1026" t="s">
        <v>1381</v>
      </c>
      <c r="P1026" t="s">
        <v>187</v>
      </c>
      <c r="Q1026" t="s">
        <v>5612</v>
      </c>
      <c r="R1026" t="str">
        <f>_xlfn.CONCAT(Table_TRM_Fixtures[[#This Row],[Technology]], ", ", Table_TRM_Fixtures[[#This Row],[Ballast Code]], " Ballast")</f>
        <v>T8, Electronic STD Ballast</v>
      </c>
      <c r="S1026" t="str">
        <f>Table_TRM_Fixtures[[#This Row],[Description  (TRM Data)]]</f>
        <v>Fluorescent, (3) 48" T-8 lamps, (2) Instant Start Ballasts, NLO (0.85 &lt; BF &lt; 0.95)</v>
      </c>
      <c r="T1026" t="str">
        <f>Table_TRM_Fixtures[[#This Row],[Fixture code  (TRM Data)]]</f>
        <v>F43ILL/2</v>
      </c>
      <c r="U1026" t="s">
        <v>2882</v>
      </c>
      <c r="V1026" t="s">
        <v>186</v>
      </c>
      <c r="W1026" t="s">
        <v>3120</v>
      </c>
      <c r="X1026" t="s">
        <v>186</v>
      </c>
      <c r="Y1026" t="s">
        <v>4815</v>
      </c>
      <c r="Z1026" t="s">
        <v>4815</v>
      </c>
      <c r="AA1026">
        <f>IF(Table_TRM_Fixtures[[#This Row],[Pre-EISA Baseline]]="Nominal", Table_TRM_Fixtures[[#This Row],[Fixture Watts  (TRM Data)]], Table_TRM_Fixtures[[#This Row],[Modified Baseline Fixture Watts]])</f>
        <v>89</v>
      </c>
    </row>
    <row r="1027" spans="1:27" x14ac:dyDescent="0.2">
      <c r="A1027" t="s">
        <v>1810</v>
      </c>
      <c r="B1027" t="s">
        <v>5643</v>
      </c>
      <c r="C1027" t="s">
        <v>1809</v>
      </c>
      <c r="D1027" t="s">
        <v>5654</v>
      </c>
      <c r="E1027" t="s">
        <v>187</v>
      </c>
      <c r="F1027">
        <v>3</v>
      </c>
      <c r="G1027">
        <v>32</v>
      </c>
      <c r="H1027">
        <v>102</v>
      </c>
      <c r="I1027">
        <v>15.5</v>
      </c>
      <c r="J1027" s="110">
        <v>1025</v>
      </c>
      <c r="K1027" t="s">
        <v>1505</v>
      </c>
      <c r="L1027">
        <f>IF(Table_TRM_Fixtures[[#This Row],[Technology]]="LED", Table_TRM_Fixtures[[#This Row],[Fixture Watts  (TRM Data)]], Table_TRM_Fixtures[[#This Row],[Lamp Watts  (TRM Data)]])</f>
        <v>32</v>
      </c>
      <c r="M1027">
        <f>Table_TRM_Fixtures[[#This Row],[No. of Lamps  (TRM Data)]]</f>
        <v>3</v>
      </c>
      <c r="N1027">
        <v>48</v>
      </c>
      <c r="O1027" t="s">
        <v>1381</v>
      </c>
      <c r="P1027" t="s">
        <v>187</v>
      </c>
      <c r="Q1027" t="s">
        <v>5566</v>
      </c>
      <c r="R1027" t="str">
        <f>_xlfn.CONCAT(Table_TRM_Fixtures[[#This Row],[Technology]], ", ", Table_TRM_Fixtures[[#This Row],[Ballast Code]], " Ballast")</f>
        <v>T8, Electronic HLO Ballast</v>
      </c>
      <c r="S1027" t="str">
        <f>Table_TRM_Fixtures[[#This Row],[Description  (TRM Data)]]</f>
        <v>Fluorescent (3) 48" T-8 lamps, (1) 2-lamp and (1) 3-lamp IS Ballast,1 lead capped, HLO (0.95 &lt; BF &lt; 1.1)</v>
      </c>
      <c r="T1027" t="str">
        <f>Table_TRM_Fixtures[[#This Row],[Fixture code  (TRM Data)]]</f>
        <v>F43ILL/2-H</v>
      </c>
      <c r="U1027" t="s">
        <v>2882</v>
      </c>
      <c r="V1027" t="s">
        <v>186</v>
      </c>
      <c r="W1027" t="s">
        <v>3120</v>
      </c>
      <c r="X1027" t="s">
        <v>186</v>
      </c>
      <c r="Y1027" t="s">
        <v>4815</v>
      </c>
      <c r="Z1027" t="s">
        <v>4815</v>
      </c>
      <c r="AA1027">
        <f>IF(Table_TRM_Fixtures[[#This Row],[Pre-EISA Baseline]]="Nominal", Table_TRM_Fixtures[[#This Row],[Fixture Watts  (TRM Data)]], Table_TRM_Fixtures[[#This Row],[Modified Baseline Fixture Watts]])</f>
        <v>102</v>
      </c>
    </row>
    <row r="1028" spans="1:27" x14ac:dyDescent="0.2">
      <c r="A1028" t="s">
        <v>1812</v>
      </c>
      <c r="B1028" t="s">
        <v>5643</v>
      </c>
      <c r="C1028" t="s">
        <v>1811</v>
      </c>
      <c r="D1028" t="s">
        <v>5652</v>
      </c>
      <c r="E1028" t="s">
        <v>187</v>
      </c>
      <c r="F1028">
        <v>3</v>
      </c>
      <c r="G1028">
        <v>32</v>
      </c>
      <c r="H1028">
        <v>78</v>
      </c>
      <c r="I1028">
        <v>15.5</v>
      </c>
      <c r="J1028" s="110">
        <v>1026</v>
      </c>
      <c r="K1028" t="s">
        <v>1505</v>
      </c>
      <c r="L1028">
        <f>IF(Table_TRM_Fixtures[[#This Row],[Technology]]="LED", Table_TRM_Fixtures[[#This Row],[Fixture Watts  (TRM Data)]], Table_TRM_Fixtures[[#This Row],[Lamp Watts  (TRM Data)]])</f>
        <v>32</v>
      </c>
      <c r="M1028">
        <f>Table_TRM_Fixtures[[#This Row],[No. of Lamps  (TRM Data)]]</f>
        <v>3</v>
      </c>
      <c r="N1028">
        <v>48</v>
      </c>
      <c r="O1028" t="s">
        <v>1381</v>
      </c>
      <c r="P1028" t="s">
        <v>187</v>
      </c>
      <c r="Q1028" t="s">
        <v>5614</v>
      </c>
      <c r="R1028" t="str">
        <f>_xlfn.CONCAT(Table_TRM_Fixtures[[#This Row],[Technology]], ", ", Table_TRM_Fixtures[[#This Row],[Ballast Code]], " Ballast")</f>
        <v>T8, Electronic RLO Ballast</v>
      </c>
      <c r="S1028" t="str">
        <f>Table_TRM_Fixtures[[#This Row],[Description  (TRM Data)]]</f>
        <v>Fluorescent, (3) 48" T-8 lamps, (1) 1-lamp and (1) 2-lamp IS Ballast, RLO (BF &lt; 0.85)</v>
      </c>
      <c r="T1028" t="str">
        <f>Table_TRM_Fixtures[[#This Row],[Fixture code  (TRM Data)]]</f>
        <v>F43ILL/2-R</v>
      </c>
      <c r="U1028" t="s">
        <v>2882</v>
      </c>
      <c r="V1028" t="s">
        <v>186</v>
      </c>
      <c r="W1028" t="s">
        <v>3120</v>
      </c>
      <c r="X1028" t="s">
        <v>186</v>
      </c>
      <c r="Y1028" t="s">
        <v>4815</v>
      </c>
      <c r="Z1028" t="s">
        <v>4815</v>
      </c>
      <c r="AA1028">
        <f>IF(Table_TRM_Fixtures[[#This Row],[Pre-EISA Baseline]]="Nominal", Table_TRM_Fixtures[[#This Row],[Fixture Watts  (TRM Data)]], Table_TRM_Fixtures[[#This Row],[Modified Baseline Fixture Watts]])</f>
        <v>78</v>
      </c>
    </row>
    <row r="1029" spans="1:27" x14ac:dyDescent="0.2">
      <c r="A1029" t="s">
        <v>1813</v>
      </c>
      <c r="B1029" t="s">
        <v>5643</v>
      </c>
      <c r="C1029" t="s">
        <v>1799</v>
      </c>
      <c r="D1029" t="s">
        <v>5651</v>
      </c>
      <c r="E1029" t="s">
        <v>187</v>
      </c>
      <c r="F1029">
        <v>3</v>
      </c>
      <c r="G1029">
        <v>32</v>
      </c>
      <c r="H1029">
        <v>81</v>
      </c>
      <c r="I1029">
        <v>15.5</v>
      </c>
      <c r="J1029" s="110">
        <v>1027</v>
      </c>
      <c r="K1029" t="s">
        <v>1505</v>
      </c>
      <c r="L1029">
        <f>IF(Table_TRM_Fixtures[[#This Row],[Technology]]="LED", Table_TRM_Fixtures[[#This Row],[Fixture Watts  (TRM Data)]], Table_TRM_Fixtures[[#This Row],[Lamp Watts  (TRM Data)]])</f>
        <v>32</v>
      </c>
      <c r="M1029">
        <f>Table_TRM_Fixtures[[#This Row],[No. of Lamps  (TRM Data)]]</f>
        <v>3</v>
      </c>
      <c r="N1029">
        <v>48</v>
      </c>
      <c r="O1029" t="s">
        <v>1381</v>
      </c>
      <c r="P1029" t="s">
        <v>187</v>
      </c>
      <c r="Q1029" t="s">
        <v>5612</v>
      </c>
      <c r="R1029" t="str">
        <f>_xlfn.CONCAT(Table_TRM_Fixtures[[#This Row],[Technology]], ", ", Table_TRM_Fixtures[[#This Row],[Ballast Code]], " Ballast")</f>
        <v>T8, Electronic STD Ballast</v>
      </c>
      <c r="S1029" t="str">
        <f>Table_TRM_Fixtures[[#This Row],[Description  (TRM Data)]]</f>
        <v>Fluorescent, (3) 48" T-8 lamps, Instant Start Ballast, NLO (0.85 &lt; BF &lt; 0.95)</v>
      </c>
      <c r="T1029" t="str">
        <f>Table_TRM_Fixtures[[#This Row],[Fixture code  (TRM Data)]]</f>
        <v>F43ILU</v>
      </c>
      <c r="U1029" t="s">
        <v>2882</v>
      </c>
      <c r="V1029" t="s">
        <v>186</v>
      </c>
      <c r="W1029" t="s">
        <v>3120</v>
      </c>
      <c r="X1029" t="s">
        <v>186</v>
      </c>
      <c r="Y1029" t="s">
        <v>4815</v>
      </c>
      <c r="Z1029" t="s">
        <v>4815</v>
      </c>
      <c r="AA1029">
        <f>IF(Table_TRM_Fixtures[[#This Row],[Pre-EISA Baseline]]="Nominal", Table_TRM_Fixtures[[#This Row],[Fixture Watts  (TRM Data)]], Table_TRM_Fixtures[[#This Row],[Modified Baseline Fixture Watts]])</f>
        <v>81</v>
      </c>
    </row>
    <row r="1030" spans="1:27" x14ac:dyDescent="0.2">
      <c r="A1030" t="s">
        <v>1815</v>
      </c>
      <c r="B1030" t="s">
        <v>5643</v>
      </c>
      <c r="C1030" t="s">
        <v>1814</v>
      </c>
      <c r="D1030" t="s">
        <v>5654</v>
      </c>
      <c r="E1030" t="s">
        <v>187</v>
      </c>
      <c r="F1030">
        <v>3</v>
      </c>
      <c r="G1030">
        <v>32</v>
      </c>
      <c r="H1030">
        <v>92</v>
      </c>
      <c r="I1030">
        <v>15.5</v>
      </c>
      <c r="J1030" s="110">
        <v>1028</v>
      </c>
      <c r="K1030" t="s">
        <v>1505</v>
      </c>
      <c r="L1030">
        <f>IF(Table_TRM_Fixtures[[#This Row],[Technology]]="LED", Table_TRM_Fixtures[[#This Row],[Fixture Watts  (TRM Data)]], Table_TRM_Fixtures[[#This Row],[Lamp Watts  (TRM Data)]])</f>
        <v>32</v>
      </c>
      <c r="M1030">
        <f>Table_TRM_Fixtures[[#This Row],[No. of Lamps  (TRM Data)]]</f>
        <v>3</v>
      </c>
      <c r="N1030">
        <v>48</v>
      </c>
      <c r="O1030" t="s">
        <v>1381</v>
      </c>
      <c r="P1030" t="s">
        <v>187</v>
      </c>
      <c r="Q1030" t="s">
        <v>5566</v>
      </c>
      <c r="R1030" t="str">
        <f>_xlfn.CONCAT(Table_TRM_Fixtures[[#This Row],[Technology]], ", ", Table_TRM_Fixtures[[#This Row],[Ballast Code]], " Ballast")</f>
        <v>T8, Electronic HLO Ballast</v>
      </c>
      <c r="S1030" t="str">
        <f>Table_TRM_Fixtures[[#This Row],[Description  (TRM Data)]]</f>
        <v>Fluorescent, (3) 48", T-8 lamp, Instant Start Ballast, HLO (0.95 &lt; BF &lt; 1.1)</v>
      </c>
      <c r="T1030" t="str">
        <f>Table_TRM_Fixtures[[#This Row],[Fixture code  (TRM Data)]]</f>
        <v>F43ILU-H</v>
      </c>
      <c r="U1030" t="s">
        <v>2882</v>
      </c>
      <c r="V1030" t="s">
        <v>186</v>
      </c>
      <c r="W1030" t="s">
        <v>3120</v>
      </c>
      <c r="X1030" t="s">
        <v>186</v>
      </c>
      <c r="Y1030" t="str">
        <f>_xlfn.CONCAT(Table_TRM_Fixtures[[#This Row],[Combined Lighting/Ballast Types]],":",Table_TRM_Fixtures[[#This Row],[No. of Lamps]], ":", Table_TRM_Fixtures[[#This Row],[Lamp Watts  (TRM Data)]])</f>
        <v>T8, Electronic HLO Ballast:3:32</v>
      </c>
      <c r="Z1030" t="s">
        <v>4815</v>
      </c>
      <c r="AA1030">
        <f>IF(Table_TRM_Fixtures[[#This Row],[Pre-EISA Baseline]]="Nominal", Table_TRM_Fixtures[[#This Row],[Fixture Watts  (TRM Data)]], Table_TRM_Fixtures[[#This Row],[Modified Baseline Fixture Watts]])</f>
        <v>92</v>
      </c>
    </row>
    <row r="1031" spans="1:27" x14ac:dyDescent="0.2">
      <c r="A1031" t="s">
        <v>1816</v>
      </c>
      <c r="B1031" t="s">
        <v>5643</v>
      </c>
      <c r="C1031" t="s">
        <v>1803</v>
      </c>
      <c r="D1031" t="s">
        <v>5652</v>
      </c>
      <c r="E1031" t="s">
        <v>187</v>
      </c>
      <c r="F1031">
        <v>3</v>
      </c>
      <c r="G1031">
        <v>32</v>
      </c>
      <c r="H1031">
        <v>72</v>
      </c>
      <c r="I1031">
        <v>15.5</v>
      </c>
      <c r="J1031" s="110">
        <v>1029</v>
      </c>
      <c r="K1031" t="s">
        <v>1505</v>
      </c>
      <c r="L1031">
        <f>IF(Table_TRM_Fixtures[[#This Row],[Technology]]="LED", Table_TRM_Fixtures[[#This Row],[Fixture Watts  (TRM Data)]], Table_TRM_Fixtures[[#This Row],[Lamp Watts  (TRM Data)]])</f>
        <v>32</v>
      </c>
      <c r="M1031">
        <f>Table_TRM_Fixtures[[#This Row],[No. of Lamps  (TRM Data)]]</f>
        <v>3</v>
      </c>
      <c r="N1031">
        <v>48</v>
      </c>
      <c r="O1031" t="s">
        <v>1381</v>
      </c>
      <c r="P1031" t="s">
        <v>187</v>
      </c>
      <c r="Q1031" t="s">
        <v>5614</v>
      </c>
      <c r="R1031" t="str">
        <f>_xlfn.CONCAT(Table_TRM_Fixtures[[#This Row],[Technology]], ", ", Table_TRM_Fixtures[[#This Row],[Ballast Code]], " Ballast")</f>
        <v>T8, Electronic RLO Ballast</v>
      </c>
      <c r="S1031" t="str">
        <f>Table_TRM_Fixtures[[#This Row],[Description  (TRM Data)]]</f>
        <v>Fluorescent, (3) 48" T-8 lamps, Instant Start Ballast, RLO (BF &lt; 0.85)</v>
      </c>
      <c r="T1031" t="str">
        <f>Table_TRM_Fixtures[[#This Row],[Fixture code  (TRM Data)]]</f>
        <v>F43ILU-R</v>
      </c>
      <c r="U1031" t="s">
        <v>2882</v>
      </c>
      <c r="V1031" t="s">
        <v>186</v>
      </c>
      <c r="W1031" t="s">
        <v>3120</v>
      </c>
      <c r="X1031" t="s">
        <v>186</v>
      </c>
      <c r="Y1031" t="s">
        <v>4815</v>
      </c>
      <c r="Z1031" t="s">
        <v>4815</v>
      </c>
      <c r="AA1031">
        <f>IF(Table_TRM_Fixtures[[#This Row],[Pre-EISA Baseline]]="Nominal", Table_TRM_Fixtures[[#This Row],[Fixture Watts  (TRM Data)]], Table_TRM_Fixtures[[#This Row],[Modified Baseline Fixture Watts]])</f>
        <v>72</v>
      </c>
    </row>
    <row r="1032" spans="1:27" x14ac:dyDescent="0.2">
      <c r="A1032" t="s">
        <v>1817</v>
      </c>
      <c r="B1032" t="s">
        <v>5643</v>
      </c>
      <c r="C1032" t="s">
        <v>1805</v>
      </c>
      <c r="D1032" t="s">
        <v>5653</v>
      </c>
      <c r="E1032" t="s">
        <v>187</v>
      </c>
      <c r="F1032">
        <v>3</v>
      </c>
      <c r="G1032">
        <v>32</v>
      </c>
      <c r="H1032">
        <v>108</v>
      </c>
      <c r="I1032">
        <v>15.5</v>
      </c>
      <c r="J1032" s="110">
        <v>1030</v>
      </c>
      <c r="K1032" t="s">
        <v>1505</v>
      </c>
      <c r="L1032">
        <f>IF(Table_TRM_Fixtures[[#This Row],[Technology]]="LED", Table_TRM_Fixtures[[#This Row],[Fixture Watts  (TRM Data)]], Table_TRM_Fixtures[[#This Row],[Lamp Watts  (TRM Data)]])</f>
        <v>32</v>
      </c>
      <c r="M1032">
        <f>Table_TRM_Fixtures[[#This Row],[No. of Lamps  (TRM Data)]]</f>
        <v>3</v>
      </c>
      <c r="N1032">
        <v>48</v>
      </c>
      <c r="O1032" t="s">
        <v>1381</v>
      </c>
      <c r="P1032" t="s">
        <v>187</v>
      </c>
      <c r="Q1032" t="s">
        <v>5616</v>
      </c>
      <c r="R1032" t="str">
        <f>_xlfn.CONCAT(Table_TRM_Fixtures[[#This Row],[Technology]], ", ", Table_TRM_Fixtures[[#This Row],[Ballast Code]], " Ballast")</f>
        <v>T8, Electronic VHLO Ballast</v>
      </c>
      <c r="S1032" t="str">
        <f>Table_TRM_Fixtures[[#This Row],[Description  (TRM Data)]]</f>
        <v>Fluorescent, (3) 48" T-8 lamps, Instant Start Ballast, VHLO (BF &gt; 1.1)</v>
      </c>
      <c r="T1032" t="str">
        <f>Table_TRM_Fixtures[[#This Row],[Fixture code  (TRM Data)]]</f>
        <v>F43ILU-V</v>
      </c>
      <c r="U1032" t="s">
        <v>2882</v>
      </c>
      <c r="V1032" t="s">
        <v>186</v>
      </c>
      <c r="W1032" t="s">
        <v>3120</v>
      </c>
      <c r="X1032" t="s">
        <v>186</v>
      </c>
      <c r="Y1032" t="s">
        <v>4815</v>
      </c>
      <c r="Z1032" t="s">
        <v>4815</v>
      </c>
      <c r="AA1032">
        <f>IF(Table_TRM_Fixtures[[#This Row],[Pre-EISA Baseline]]="Nominal", Table_TRM_Fixtures[[#This Row],[Fixture Watts  (TRM Data)]], Table_TRM_Fixtures[[#This Row],[Modified Baseline Fixture Watts]])</f>
        <v>108</v>
      </c>
    </row>
    <row r="1033" spans="1:27" x14ac:dyDescent="0.2">
      <c r="A1033" t="s">
        <v>1819</v>
      </c>
      <c r="B1033" t="s">
        <v>5643</v>
      </c>
      <c r="C1033" t="s">
        <v>1818</v>
      </c>
      <c r="D1033" t="s">
        <v>5651</v>
      </c>
      <c r="E1033" t="s">
        <v>1722</v>
      </c>
      <c r="F1033">
        <v>3</v>
      </c>
      <c r="G1033">
        <v>32</v>
      </c>
      <c r="H1033">
        <v>110</v>
      </c>
      <c r="I1033">
        <v>15.5</v>
      </c>
      <c r="J1033" s="110">
        <v>1031</v>
      </c>
      <c r="K1033" t="s">
        <v>1505</v>
      </c>
      <c r="L1033">
        <f>IF(Table_TRM_Fixtures[[#This Row],[Technology]]="LED", Table_TRM_Fixtures[[#This Row],[Fixture Watts  (TRM Data)]], Table_TRM_Fixtures[[#This Row],[Lamp Watts  (TRM Data)]])</f>
        <v>32</v>
      </c>
      <c r="M1033">
        <f>Table_TRM_Fixtures[[#This Row],[No. of Lamps  (TRM Data)]]</f>
        <v>3</v>
      </c>
      <c r="N1033">
        <v>48</v>
      </c>
      <c r="O1033" t="s">
        <v>1381</v>
      </c>
      <c r="P1033" t="s">
        <v>2640</v>
      </c>
      <c r="Q1033" t="s">
        <v>5608</v>
      </c>
      <c r="R1033" t="str">
        <f>_xlfn.CONCAT(Table_TRM_Fixtures[[#This Row],[Technology]], ", ", Table_TRM_Fixtures[[#This Row],[Ballast Code]], " Ballast")</f>
        <v>T8, Magnetic STD Ballast</v>
      </c>
      <c r="S1033" t="str">
        <f>Table_TRM_Fixtures[[#This Row],[Description  (TRM Data)]]</f>
        <v>Fluorescent, (3) 48", T-8 lamp</v>
      </c>
      <c r="T1033" t="str">
        <f>Table_TRM_Fixtures[[#This Row],[Fixture code  (TRM Data)]]</f>
        <v>F43LE</v>
      </c>
      <c r="U1033" t="s">
        <v>2882</v>
      </c>
      <c r="V1033" t="s">
        <v>186</v>
      </c>
      <c r="W1033" t="s">
        <v>3120</v>
      </c>
      <c r="X1033" t="s">
        <v>186</v>
      </c>
      <c r="Y1033" t="str">
        <f>_xlfn.CONCAT(Table_TRM_Fixtures[[#This Row],[Combined Lighting/Ballast Types]],":",Table_TRM_Fixtures[[#This Row],[No. of Lamps]], ":", Table_TRM_Fixtures[[#This Row],[Lamp Watts  (TRM Data)]])</f>
        <v>T8, Magnetic STD Ballast:3:32</v>
      </c>
      <c r="Z1033" t="s">
        <v>4815</v>
      </c>
      <c r="AA1033">
        <f>IF(Table_TRM_Fixtures[[#This Row],[Pre-EISA Baseline]]="Nominal", Table_TRM_Fixtures[[#This Row],[Fixture Watts  (TRM Data)]], Table_TRM_Fixtures[[#This Row],[Modified Baseline Fixture Watts]])</f>
        <v>110</v>
      </c>
    </row>
    <row r="1034" spans="1:27" x14ac:dyDescent="0.2">
      <c r="A1034" t="s">
        <v>1821</v>
      </c>
      <c r="B1034" t="s">
        <v>5643</v>
      </c>
      <c r="C1034" t="s">
        <v>1820</v>
      </c>
      <c r="D1034" t="s">
        <v>5651</v>
      </c>
      <c r="E1034" t="s">
        <v>187</v>
      </c>
      <c r="F1034">
        <v>3</v>
      </c>
      <c r="G1034">
        <v>32</v>
      </c>
      <c r="H1034">
        <v>93</v>
      </c>
      <c r="I1034">
        <v>15.5</v>
      </c>
      <c r="J1034" s="110">
        <v>1032</v>
      </c>
      <c r="K1034" t="s">
        <v>1505</v>
      </c>
      <c r="L1034">
        <f>IF(Table_TRM_Fixtures[[#This Row],[Technology]]="LED", Table_TRM_Fixtures[[#This Row],[Fixture Watts  (TRM Data)]], Table_TRM_Fixtures[[#This Row],[Lamp Watts  (TRM Data)]])</f>
        <v>32</v>
      </c>
      <c r="M1034">
        <f>Table_TRM_Fixtures[[#This Row],[No. of Lamps  (TRM Data)]]</f>
        <v>3</v>
      </c>
      <c r="N1034">
        <v>48</v>
      </c>
      <c r="O1034" t="s">
        <v>1381</v>
      </c>
      <c r="P1034" t="s">
        <v>187</v>
      </c>
      <c r="Q1034" t="s">
        <v>5612</v>
      </c>
      <c r="R1034" t="str">
        <f>_xlfn.CONCAT(Table_TRM_Fixtures[[#This Row],[Technology]], ", ", Table_TRM_Fixtures[[#This Row],[Ballast Code]], " Ballast")</f>
        <v>T8, Electronic STD Ballast</v>
      </c>
      <c r="S1034" t="str">
        <f>Table_TRM_Fixtures[[#This Row],[Description  (TRM Data)]]</f>
        <v>Fluorescent, (3) 48", T-8 lamps, Rapid Start Ballast, NLO (0.85 &lt; BF &lt; 0.95)</v>
      </c>
      <c r="T1034" t="str">
        <f>Table_TRM_Fixtures[[#This Row],[Fixture code  (TRM Data)]]</f>
        <v>F43LL</v>
      </c>
      <c r="U1034" t="s">
        <v>2882</v>
      </c>
      <c r="V1034" t="s">
        <v>186</v>
      </c>
      <c r="W1034" t="s">
        <v>3120</v>
      </c>
      <c r="X1034" t="s">
        <v>186</v>
      </c>
      <c r="Y1034" t="s">
        <v>4815</v>
      </c>
      <c r="Z1034" t="s">
        <v>4815</v>
      </c>
      <c r="AA1034">
        <f>IF(Table_TRM_Fixtures[[#This Row],[Pre-EISA Baseline]]="Nominal", Table_TRM_Fixtures[[#This Row],[Fixture Watts  (TRM Data)]], Table_TRM_Fixtures[[#This Row],[Modified Baseline Fixture Watts]])</f>
        <v>93</v>
      </c>
    </row>
    <row r="1035" spans="1:27" x14ac:dyDescent="0.2">
      <c r="A1035" t="s">
        <v>1823</v>
      </c>
      <c r="B1035" t="s">
        <v>5643</v>
      </c>
      <c r="C1035" t="s">
        <v>1822</v>
      </c>
      <c r="D1035" t="s">
        <v>5654</v>
      </c>
      <c r="E1035" t="s">
        <v>187</v>
      </c>
      <c r="F1035">
        <v>3</v>
      </c>
      <c r="G1035">
        <v>32</v>
      </c>
      <c r="H1035">
        <v>98</v>
      </c>
      <c r="I1035">
        <v>15.5</v>
      </c>
      <c r="J1035" s="110">
        <v>1033</v>
      </c>
      <c r="K1035" t="s">
        <v>1505</v>
      </c>
      <c r="L1035">
        <f>IF(Table_TRM_Fixtures[[#This Row],[Technology]]="LED", Table_TRM_Fixtures[[#This Row],[Fixture Watts  (TRM Data)]], Table_TRM_Fixtures[[#This Row],[Lamp Watts  (TRM Data)]])</f>
        <v>32</v>
      </c>
      <c r="M1035">
        <f>Table_TRM_Fixtures[[#This Row],[No. of Lamps  (TRM Data)]]</f>
        <v>3</v>
      </c>
      <c r="N1035">
        <v>48</v>
      </c>
      <c r="O1035" t="s">
        <v>1381</v>
      </c>
      <c r="P1035" t="s">
        <v>187</v>
      </c>
      <c r="Q1035" t="s">
        <v>5566</v>
      </c>
      <c r="R1035" t="str">
        <f>_xlfn.CONCAT(Table_TRM_Fixtures[[#This Row],[Technology]], ", ", Table_TRM_Fixtures[[#This Row],[Ballast Code]], " Ballast")</f>
        <v>T8, Electronic HLO Ballast</v>
      </c>
      <c r="S1035" t="str">
        <f>Table_TRM_Fixtures[[#This Row],[Description  (TRM Data)]]</f>
        <v>Fluorescent, (3) 48", T-8 lamp, Rapid Start Ballast, HLO (.95 &lt; BF &lt; 1.1)</v>
      </c>
      <c r="T1035" t="str">
        <f>Table_TRM_Fixtures[[#This Row],[Fixture code  (TRM Data)]]</f>
        <v>F43LL-H</v>
      </c>
      <c r="U1035" t="s">
        <v>2882</v>
      </c>
      <c r="V1035" t="s">
        <v>186</v>
      </c>
      <c r="W1035" t="s">
        <v>3120</v>
      </c>
      <c r="X1035" t="s">
        <v>186</v>
      </c>
      <c r="Y1035" t="s">
        <v>4815</v>
      </c>
      <c r="Z1035" t="s">
        <v>4815</v>
      </c>
      <c r="AA1035">
        <f>IF(Table_TRM_Fixtures[[#This Row],[Pre-EISA Baseline]]="Nominal", Table_TRM_Fixtures[[#This Row],[Fixture Watts  (TRM Data)]], Table_TRM_Fixtures[[#This Row],[Modified Baseline Fixture Watts]])</f>
        <v>98</v>
      </c>
    </row>
    <row r="1036" spans="1:27" x14ac:dyDescent="0.2">
      <c r="A1036" t="s">
        <v>1825</v>
      </c>
      <c r="B1036" t="s">
        <v>5643</v>
      </c>
      <c r="C1036" t="s">
        <v>1824</v>
      </c>
      <c r="D1036" t="s">
        <v>5652</v>
      </c>
      <c r="E1036" t="s">
        <v>187</v>
      </c>
      <c r="F1036">
        <v>3</v>
      </c>
      <c r="G1036">
        <v>32</v>
      </c>
      <c r="H1036">
        <v>76</v>
      </c>
      <c r="I1036">
        <v>15.5</v>
      </c>
      <c r="J1036" s="110">
        <v>1034</v>
      </c>
      <c r="K1036" t="s">
        <v>1505</v>
      </c>
      <c r="L1036">
        <f>IF(Table_TRM_Fixtures[[#This Row],[Technology]]="LED", Table_TRM_Fixtures[[#This Row],[Fixture Watts  (TRM Data)]], Table_TRM_Fixtures[[#This Row],[Lamp Watts  (TRM Data)]])</f>
        <v>32</v>
      </c>
      <c r="M1036">
        <f>Table_TRM_Fixtures[[#This Row],[No. of Lamps  (TRM Data)]]</f>
        <v>3</v>
      </c>
      <c r="N1036">
        <v>48</v>
      </c>
      <c r="O1036" t="s">
        <v>1381</v>
      </c>
      <c r="P1036" t="s">
        <v>187</v>
      </c>
      <c r="Q1036" t="s">
        <v>5614</v>
      </c>
      <c r="R1036" t="str">
        <f>_xlfn.CONCAT(Table_TRM_Fixtures[[#This Row],[Technology]], ", ", Table_TRM_Fixtures[[#This Row],[Ballast Code]], " Ballast")</f>
        <v>T8, Electronic RLO Ballast</v>
      </c>
      <c r="S1036" t="str">
        <f>Table_TRM_Fixtures[[#This Row],[Description  (TRM Data)]]</f>
        <v>Fluorescent, (3) 48", T-8 lamp, Rapid Start Ballast, RLO (BF &lt; 0.85)</v>
      </c>
      <c r="T1036" t="str">
        <f>Table_TRM_Fixtures[[#This Row],[Fixture code  (TRM Data)]]</f>
        <v>F43LL-R</v>
      </c>
      <c r="U1036" t="s">
        <v>2882</v>
      </c>
      <c r="V1036" t="s">
        <v>186</v>
      </c>
      <c r="W1036" t="s">
        <v>3120</v>
      </c>
      <c r="X1036" t="s">
        <v>186</v>
      </c>
      <c r="Y1036" t="s">
        <v>4815</v>
      </c>
      <c r="Z1036" t="s">
        <v>4815</v>
      </c>
      <c r="AA1036">
        <f>IF(Table_TRM_Fixtures[[#This Row],[Pre-EISA Baseline]]="Nominal", Table_TRM_Fixtures[[#This Row],[Fixture Watts  (TRM Data)]], Table_TRM_Fixtures[[#This Row],[Modified Baseline Fixture Watts]])</f>
        <v>76</v>
      </c>
    </row>
    <row r="1037" spans="1:27" x14ac:dyDescent="0.2">
      <c r="A1037" t="s">
        <v>1827</v>
      </c>
      <c r="B1037" t="s">
        <v>5643</v>
      </c>
      <c r="C1037" t="s">
        <v>1826</v>
      </c>
      <c r="D1037" t="s">
        <v>5651</v>
      </c>
      <c r="E1037" t="s">
        <v>187</v>
      </c>
      <c r="F1037">
        <v>3</v>
      </c>
      <c r="G1037">
        <v>32</v>
      </c>
      <c r="H1037">
        <v>92</v>
      </c>
      <c r="I1037">
        <v>15.5</v>
      </c>
      <c r="J1037" s="110">
        <v>1035</v>
      </c>
      <c r="K1037" t="s">
        <v>1505</v>
      </c>
      <c r="L1037">
        <f>IF(Table_TRM_Fixtures[[#This Row],[Technology]]="LED", Table_TRM_Fixtures[[#This Row],[Fixture Watts  (TRM Data)]], Table_TRM_Fixtures[[#This Row],[Lamp Watts  (TRM Data)]])</f>
        <v>32</v>
      </c>
      <c r="M1037">
        <f>Table_TRM_Fixtures[[#This Row],[No. of Lamps  (TRM Data)]]</f>
        <v>3</v>
      </c>
      <c r="N1037">
        <v>48</v>
      </c>
      <c r="O1037" t="s">
        <v>1381</v>
      </c>
      <c r="P1037" t="s">
        <v>187</v>
      </c>
      <c r="Q1037" t="s">
        <v>5612</v>
      </c>
      <c r="R1037" t="str">
        <f>_xlfn.CONCAT(Table_TRM_Fixtures[[#This Row],[Technology]], ", ", Table_TRM_Fixtures[[#This Row],[Ballast Code]], " Ballast")</f>
        <v>T8, Electronic STD Ballast</v>
      </c>
      <c r="S1037" t="str">
        <f>Table_TRM_Fixtures[[#This Row],[Description  (TRM Data)]]</f>
        <v>Fluorescent, (3) 48", T-8 lamps, (1) 1-lamp and (1) 2-lamp RS Ballast, NLO (0.85 &lt; BF &lt; 0.95)</v>
      </c>
      <c r="T1037" t="str">
        <f>Table_TRM_Fixtures[[#This Row],[Fixture code  (TRM Data)]]</f>
        <v>F43LL/2</v>
      </c>
      <c r="U1037" t="s">
        <v>2882</v>
      </c>
      <c r="V1037" t="s">
        <v>186</v>
      </c>
      <c r="W1037" t="s">
        <v>3120</v>
      </c>
      <c r="X1037" t="s">
        <v>186</v>
      </c>
      <c r="Y1037" t="s">
        <v>4815</v>
      </c>
      <c r="Z1037" t="s">
        <v>4815</v>
      </c>
      <c r="AA1037">
        <f>IF(Table_TRM_Fixtures[[#This Row],[Pre-EISA Baseline]]="Nominal", Table_TRM_Fixtures[[#This Row],[Fixture Watts  (TRM Data)]], Table_TRM_Fixtures[[#This Row],[Modified Baseline Fixture Watts]])</f>
        <v>92</v>
      </c>
    </row>
    <row r="1038" spans="1:27" x14ac:dyDescent="0.2">
      <c r="A1038" t="s">
        <v>1829</v>
      </c>
      <c r="B1038" t="s">
        <v>5643</v>
      </c>
      <c r="C1038" t="s">
        <v>1828</v>
      </c>
      <c r="D1038" t="s">
        <v>5655</v>
      </c>
      <c r="E1038" t="s">
        <v>1386</v>
      </c>
      <c r="F1038">
        <v>4</v>
      </c>
      <c r="G1038">
        <v>32</v>
      </c>
      <c r="H1038">
        <v>115</v>
      </c>
      <c r="I1038">
        <v>15.5</v>
      </c>
      <c r="J1038" s="110">
        <v>1036</v>
      </c>
      <c r="K1038" t="s">
        <v>1505</v>
      </c>
      <c r="L1038">
        <f>IF(Table_TRM_Fixtures[[#This Row],[Technology]]="LED", Table_TRM_Fixtures[[#This Row],[Fixture Watts  (TRM Data)]], Table_TRM_Fixtures[[#This Row],[Lamp Watts  (TRM Data)]])</f>
        <v>32</v>
      </c>
      <c r="M1038">
        <f>Table_TRM_Fixtures[[#This Row],[No. of Lamps  (TRM Data)]]</f>
        <v>4</v>
      </c>
      <c r="N1038">
        <v>48</v>
      </c>
      <c r="O1038" t="s">
        <v>1381</v>
      </c>
      <c r="P1038" t="s">
        <v>187</v>
      </c>
      <c r="Q1038" t="s">
        <v>5612</v>
      </c>
      <c r="R1038" t="str">
        <f>_xlfn.CONCAT(Table_TRM_Fixtures[[#This Row],[Technology]], ", ", Table_TRM_Fixtures[[#This Row],[Ballast Code]], " Ballast")</f>
        <v>T8, Electronic STD Ballast</v>
      </c>
      <c r="S1038" t="str">
        <f>Table_TRM_Fixtures[[#This Row],[Description  (TRM Data)]]</f>
        <v>Fluorescent (4) 48" T-8 lamps, Prog. Start or PRS Ballast, NLO (0.85 &lt; BF &lt; 0.95)</v>
      </c>
      <c r="T1038" t="str">
        <f>Table_TRM_Fixtures[[#This Row],[Fixture code  (TRM Data)]]</f>
        <v>F44GLL</v>
      </c>
      <c r="U1038" t="s">
        <v>2882</v>
      </c>
      <c r="V1038" t="s">
        <v>186</v>
      </c>
      <c r="W1038" t="s">
        <v>3120</v>
      </c>
      <c r="X1038" t="s">
        <v>186</v>
      </c>
      <c r="Y1038" t="s">
        <v>4815</v>
      </c>
      <c r="Z1038" t="s">
        <v>4815</v>
      </c>
      <c r="AA1038">
        <f>IF(Table_TRM_Fixtures[[#This Row],[Pre-EISA Baseline]]="Nominal", Table_TRM_Fixtures[[#This Row],[Fixture Watts  (TRM Data)]], Table_TRM_Fixtures[[#This Row],[Modified Baseline Fixture Watts]])</f>
        <v>115</v>
      </c>
    </row>
    <row r="1039" spans="1:27" x14ac:dyDescent="0.2">
      <c r="A1039" t="s">
        <v>1831</v>
      </c>
      <c r="B1039" t="s">
        <v>5643</v>
      </c>
      <c r="C1039" t="s">
        <v>1830</v>
      </c>
      <c r="D1039" t="s">
        <v>5656</v>
      </c>
      <c r="E1039" t="s">
        <v>1386</v>
      </c>
      <c r="F1039">
        <v>4</v>
      </c>
      <c r="G1039">
        <v>32</v>
      </c>
      <c r="H1039">
        <v>92</v>
      </c>
      <c r="I1039">
        <v>15.5</v>
      </c>
      <c r="J1039" s="110">
        <v>1037</v>
      </c>
      <c r="K1039" t="s">
        <v>1505</v>
      </c>
      <c r="L1039">
        <f>IF(Table_TRM_Fixtures[[#This Row],[Technology]]="LED", Table_TRM_Fixtures[[#This Row],[Fixture Watts  (TRM Data)]], Table_TRM_Fixtures[[#This Row],[Lamp Watts  (TRM Data)]])</f>
        <v>32</v>
      </c>
      <c r="M1039">
        <f>Table_TRM_Fixtures[[#This Row],[No. of Lamps  (TRM Data)]]</f>
        <v>4</v>
      </c>
      <c r="N1039">
        <v>48</v>
      </c>
      <c r="O1039" t="s">
        <v>1381</v>
      </c>
      <c r="P1039" t="s">
        <v>187</v>
      </c>
      <c r="Q1039" t="s">
        <v>5614</v>
      </c>
      <c r="R1039" t="str">
        <f>_xlfn.CONCAT(Table_TRM_Fixtures[[#This Row],[Technology]], ", ", Table_TRM_Fixtures[[#This Row],[Ballast Code]], " Ballast")</f>
        <v>T8, Electronic RLO Ballast</v>
      </c>
      <c r="S1039" t="str">
        <f>Table_TRM_Fixtures[[#This Row],[Description  (TRM Data)]]</f>
        <v>Fluorescent (4) 48" T-8 lamps, Prog. Start or PRS Ballast, RLO (BF &lt; 0.85)</v>
      </c>
      <c r="T1039" t="str">
        <f>Table_TRM_Fixtures[[#This Row],[Fixture code  (TRM Data)]]</f>
        <v>F44GLL-R</v>
      </c>
      <c r="U1039" t="s">
        <v>2882</v>
      </c>
      <c r="V1039" t="s">
        <v>186</v>
      </c>
      <c r="W1039" t="s">
        <v>3120</v>
      </c>
      <c r="X1039" t="s">
        <v>186</v>
      </c>
      <c r="Y1039" t="s">
        <v>4815</v>
      </c>
      <c r="Z1039" t="s">
        <v>4815</v>
      </c>
      <c r="AA1039">
        <f>IF(Table_TRM_Fixtures[[#This Row],[Pre-EISA Baseline]]="Nominal", Table_TRM_Fixtures[[#This Row],[Fixture Watts  (TRM Data)]], Table_TRM_Fixtures[[#This Row],[Modified Baseline Fixture Watts]])</f>
        <v>92</v>
      </c>
    </row>
    <row r="1040" spans="1:27" x14ac:dyDescent="0.2">
      <c r="A1040" t="s">
        <v>1833</v>
      </c>
      <c r="B1040" t="s">
        <v>5643</v>
      </c>
      <c r="C1040" t="s">
        <v>1832</v>
      </c>
      <c r="D1040" t="s">
        <v>5657</v>
      </c>
      <c r="E1040" t="s">
        <v>1386</v>
      </c>
      <c r="F1040">
        <v>4</v>
      </c>
      <c r="G1040">
        <v>32</v>
      </c>
      <c r="H1040">
        <v>144</v>
      </c>
      <c r="I1040">
        <v>15.5</v>
      </c>
      <c r="J1040" s="110">
        <v>1038</v>
      </c>
      <c r="K1040" t="s">
        <v>1505</v>
      </c>
      <c r="L1040">
        <f>IF(Table_TRM_Fixtures[[#This Row],[Technology]]="LED", Table_TRM_Fixtures[[#This Row],[Fixture Watts  (TRM Data)]], Table_TRM_Fixtures[[#This Row],[Lamp Watts  (TRM Data)]])</f>
        <v>32</v>
      </c>
      <c r="M1040">
        <f>Table_TRM_Fixtures[[#This Row],[No. of Lamps  (TRM Data)]]</f>
        <v>4</v>
      </c>
      <c r="N1040">
        <v>48</v>
      </c>
      <c r="O1040" t="s">
        <v>1381</v>
      </c>
      <c r="P1040" t="s">
        <v>187</v>
      </c>
      <c r="Q1040" t="s">
        <v>5616</v>
      </c>
      <c r="R1040" t="str">
        <f>_xlfn.CONCAT(Table_TRM_Fixtures[[#This Row],[Technology]], ", ", Table_TRM_Fixtures[[#This Row],[Ballast Code]], " Ballast")</f>
        <v>T8, Electronic VHLO Ballast</v>
      </c>
      <c r="S1040" t="str">
        <f>Table_TRM_Fixtures[[#This Row],[Description  (TRM Data)]]</f>
        <v>Fluorescent, (4) 48" T-8 lamps, Prog. Start or PRS Ballast, VHLO (BF &gt; 1.1)</v>
      </c>
      <c r="T1040" t="str">
        <f>Table_TRM_Fixtures[[#This Row],[Fixture code  (TRM Data)]]</f>
        <v>F44GLL-V</v>
      </c>
      <c r="U1040" t="s">
        <v>2882</v>
      </c>
      <c r="V1040" t="s">
        <v>186</v>
      </c>
      <c r="W1040" t="s">
        <v>3120</v>
      </c>
      <c r="X1040" t="s">
        <v>186</v>
      </c>
      <c r="Y1040" t="s">
        <v>4815</v>
      </c>
      <c r="Z1040" t="s">
        <v>4815</v>
      </c>
      <c r="AA1040">
        <f>IF(Table_TRM_Fixtures[[#This Row],[Pre-EISA Baseline]]="Nominal", Table_TRM_Fixtures[[#This Row],[Fixture Watts  (TRM Data)]], Table_TRM_Fixtures[[#This Row],[Modified Baseline Fixture Watts]])</f>
        <v>144</v>
      </c>
    </row>
    <row r="1041" spans="1:27" x14ac:dyDescent="0.2">
      <c r="A1041" t="s">
        <v>1835</v>
      </c>
      <c r="B1041" t="s">
        <v>5643</v>
      </c>
      <c r="C1041" t="s">
        <v>1834</v>
      </c>
      <c r="D1041" t="s">
        <v>5655</v>
      </c>
      <c r="E1041" t="s">
        <v>187</v>
      </c>
      <c r="F1041">
        <v>4</v>
      </c>
      <c r="G1041">
        <v>32</v>
      </c>
      <c r="H1041">
        <v>112</v>
      </c>
      <c r="I1041">
        <v>15.5</v>
      </c>
      <c r="J1041" s="110">
        <v>1039</v>
      </c>
      <c r="K1041" t="s">
        <v>1505</v>
      </c>
      <c r="L1041">
        <f>IF(Table_TRM_Fixtures[[#This Row],[Technology]]="LED", Table_TRM_Fixtures[[#This Row],[Fixture Watts  (TRM Data)]], Table_TRM_Fixtures[[#This Row],[Lamp Watts  (TRM Data)]])</f>
        <v>32</v>
      </c>
      <c r="M1041">
        <f>Table_TRM_Fixtures[[#This Row],[No. of Lamps  (TRM Data)]]</f>
        <v>4</v>
      </c>
      <c r="N1041">
        <v>48</v>
      </c>
      <c r="O1041" t="s">
        <v>1381</v>
      </c>
      <c r="P1041" t="s">
        <v>187</v>
      </c>
      <c r="Q1041" t="s">
        <v>5612</v>
      </c>
      <c r="R1041" t="str">
        <f>_xlfn.CONCAT(Table_TRM_Fixtures[[#This Row],[Technology]], ", ", Table_TRM_Fixtures[[#This Row],[Ballast Code]], " Ballast")</f>
        <v>T8, Electronic STD Ballast</v>
      </c>
      <c r="S1041" t="str">
        <f>Table_TRM_Fixtures[[#This Row],[Description  (TRM Data)]]</f>
        <v>Fluorescent, (4) 48", T-8 lamps, Instant Start Ballast, NLO (0.85 &lt; BF &lt; 0.95)</v>
      </c>
      <c r="T1041" t="str">
        <f>Table_TRM_Fixtures[[#This Row],[Fixture code  (TRM Data)]]</f>
        <v>F44ILL</v>
      </c>
      <c r="U1041" t="s">
        <v>2882</v>
      </c>
      <c r="V1041" t="s">
        <v>186</v>
      </c>
      <c r="W1041" t="s">
        <v>3120</v>
      </c>
      <c r="X1041" t="s">
        <v>186</v>
      </c>
      <c r="Y1041" t="str">
        <f>_xlfn.CONCAT(Table_TRM_Fixtures[[#This Row],[Combined Lighting/Ballast Types]],":",Table_TRM_Fixtures[[#This Row],[No. of Lamps]], ":", Table_TRM_Fixtures[[#This Row],[Lamp Watts  (TRM Data)]])</f>
        <v>T8, Electronic STD Ballast:4:32</v>
      </c>
      <c r="Z1041"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T8:4:32</v>
      </c>
      <c r="AA1041">
        <f>IF(Table_TRM_Fixtures[[#This Row],[Pre-EISA Baseline]]="Nominal", Table_TRM_Fixtures[[#This Row],[Fixture Watts  (TRM Data)]], Table_TRM_Fixtures[[#This Row],[Modified Baseline Fixture Watts]])</f>
        <v>112</v>
      </c>
    </row>
    <row r="1042" spans="1:27" x14ac:dyDescent="0.2">
      <c r="A1042" t="s">
        <v>1837</v>
      </c>
      <c r="B1042" t="s">
        <v>5643</v>
      </c>
      <c r="C1042" t="s">
        <v>1836</v>
      </c>
      <c r="D1042" t="s">
        <v>5656</v>
      </c>
      <c r="E1042" t="s">
        <v>187</v>
      </c>
      <c r="F1042">
        <v>4</v>
      </c>
      <c r="G1042">
        <v>32</v>
      </c>
      <c r="H1042">
        <v>98</v>
      </c>
      <c r="I1042">
        <v>15.5</v>
      </c>
      <c r="J1042" s="110">
        <v>1040</v>
      </c>
      <c r="K1042" t="s">
        <v>1505</v>
      </c>
      <c r="L1042">
        <f>IF(Table_TRM_Fixtures[[#This Row],[Technology]]="LED", Table_TRM_Fixtures[[#This Row],[Fixture Watts  (TRM Data)]], Table_TRM_Fixtures[[#This Row],[Lamp Watts  (TRM Data)]])</f>
        <v>32</v>
      </c>
      <c r="M1042">
        <f>Table_TRM_Fixtures[[#This Row],[No. of Lamps  (TRM Data)]]</f>
        <v>4</v>
      </c>
      <c r="N1042">
        <v>48</v>
      </c>
      <c r="O1042" t="s">
        <v>1381</v>
      </c>
      <c r="P1042" t="s">
        <v>187</v>
      </c>
      <c r="Q1042" t="s">
        <v>5614</v>
      </c>
      <c r="R1042" t="str">
        <f>_xlfn.CONCAT(Table_TRM_Fixtures[[#This Row],[Technology]], ", ", Table_TRM_Fixtures[[#This Row],[Ballast Code]], " Ballast")</f>
        <v>T8, Electronic RLO Ballast</v>
      </c>
      <c r="S1042" t="str">
        <f>Table_TRM_Fixtures[[#This Row],[Description  (TRM Data)]]</f>
        <v>Fluorescent, (4) 48", T-8 lamps, Instant Start Ballast, RLO (BF &lt; 0.85)</v>
      </c>
      <c r="T1042" t="str">
        <f>Table_TRM_Fixtures[[#This Row],[Fixture code  (TRM Data)]]</f>
        <v>F44ILL-R</v>
      </c>
      <c r="U1042" t="s">
        <v>2882</v>
      </c>
      <c r="V1042" t="s">
        <v>186</v>
      </c>
      <c r="W1042" t="s">
        <v>3120</v>
      </c>
      <c r="X1042" t="s">
        <v>186</v>
      </c>
      <c r="Y1042" t="str">
        <f>_xlfn.CONCAT(Table_TRM_Fixtures[[#This Row],[Combined Lighting/Ballast Types]],":",Table_TRM_Fixtures[[#This Row],[No. of Lamps]], ":", Table_TRM_Fixtures[[#This Row],[Lamp Watts  (TRM Data)]])</f>
        <v>T8, Electronic RLO Ballast:4:32</v>
      </c>
      <c r="Z1042" t="s">
        <v>4815</v>
      </c>
      <c r="AA1042">
        <f>IF(Table_TRM_Fixtures[[#This Row],[Pre-EISA Baseline]]="Nominal", Table_TRM_Fixtures[[#This Row],[Fixture Watts  (TRM Data)]], Table_TRM_Fixtures[[#This Row],[Modified Baseline Fixture Watts]])</f>
        <v>98</v>
      </c>
    </row>
    <row r="1043" spans="1:27" x14ac:dyDescent="0.2">
      <c r="A1043" t="s">
        <v>1839</v>
      </c>
      <c r="B1043" t="s">
        <v>5643</v>
      </c>
      <c r="C1043" t="s">
        <v>1838</v>
      </c>
      <c r="D1043" t="s">
        <v>5657</v>
      </c>
      <c r="E1043" t="s">
        <v>187</v>
      </c>
      <c r="F1043">
        <v>4</v>
      </c>
      <c r="G1043">
        <v>32</v>
      </c>
      <c r="H1043">
        <v>151</v>
      </c>
      <c r="I1043">
        <v>15.5</v>
      </c>
      <c r="J1043" s="110">
        <v>1041</v>
      </c>
      <c r="K1043" t="s">
        <v>1505</v>
      </c>
      <c r="L1043">
        <f>IF(Table_TRM_Fixtures[[#This Row],[Technology]]="LED", Table_TRM_Fixtures[[#This Row],[Fixture Watts  (TRM Data)]], Table_TRM_Fixtures[[#This Row],[Lamp Watts  (TRM Data)]])</f>
        <v>32</v>
      </c>
      <c r="M1043">
        <f>Table_TRM_Fixtures[[#This Row],[No. of Lamps  (TRM Data)]]</f>
        <v>4</v>
      </c>
      <c r="N1043">
        <v>48</v>
      </c>
      <c r="O1043" t="s">
        <v>1381</v>
      </c>
      <c r="P1043" t="s">
        <v>187</v>
      </c>
      <c r="Q1043" t="s">
        <v>5616</v>
      </c>
      <c r="R1043" t="str">
        <f>_xlfn.CONCAT(Table_TRM_Fixtures[[#This Row],[Technology]], ", ", Table_TRM_Fixtures[[#This Row],[Ballast Code]], " Ballast")</f>
        <v>T8, Electronic VHLO Ballast</v>
      </c>
      <c r="S1043" t="str">
        <f>Table_TRM_Fixtures[[#This Row],[Description  (TRM Data)]]</f>
        <v>Fluorescent, (4) 48", T-8 lamps, Instant Start Ballast, VHLO (BF &gt; 1.1)</v>
      </c>
      <c r="T1043" t="str">
        <f>Table_TRM_Fixtures[[#This Row],[Fixture code  (TRM Data)]]</f>
        <v>F44ILL-V</v>
      </c>
      <c r="U1043" t="s">
        <v>2882</v>
      </c>
      <c r="V1043" t="s">
        <v>186</v>
      </c>
      <c r="W1043" t="s">
        <v>3120</v>
      </c>
      <c r="X1043" t="s">
        <v>186</v>
      </c>
      <c r="Y1043" t="str">
        <f>_xlfn.CONCAT(Table_TRM_Fixtures[[#This Row],[Combined Lighting/Ballast Types]],":",Table_TRM_Fixtures[[#This Row],[No. of Lamps]], ":", Table_TRM_Fixtures[[#This Row],[Lamp Watts  (TRM Data)]])</f>
        <v>T8, Electronic VHLO Ballast:4:32</v>
      </c>
      <c r="Z1043" t="s">
        <v>4815</v>
      </c>
      <c r="AA1043">
        <f>IF(Table_TRM_Fixtures[[#This Row],[Pre-EISA Baseline]]="Nominal", Table_TRM_Fixtures[[#This Row],[Fixture Watts  (TRM Data)]], Table_TRM_Fixtures[[#This Row],[Modified Baseline Fixture Watts]])</f>
        <v>151</v>
      </c>
    </row>
    <row r="1044" spans="1:27" x14ac:dyDescent="0.2">
      <c r="A1044" t="s">
        <v>1841</v>
      </c>
      <c r="B1044" t="s">
        <v>5643</v>
      </c>
      <c r="C1044" t="s">
        <v>1840</v>
      </c>
      <c r="D1044" t="s">
        <v>5655</v>
      </c>
      <c r="E1044" t="s">
        <v>187</v>
      </c>
      <c r="F1044">
        <v>4</v>
      </c>
      <c r="G1044">
        <v>32</v>
      </c>
      <c r="H1044">
        <v>116</v>
      </c>
      <c r="I1044">
        <v>15.5</v>
      </c>
      <c r="J1044" s="110">
        <v>1042</v>
      </c>
      <c r="K1044" t="s">
        <v>1505</v>
      </c>
      <c r="L1044">
        <f>IF(Table_TRM_Fixtures[[#This Row],[Technology]]="LED", Table_TRM_Fixtures[[#This Row],[Fixture Watts  (TRM Data)]], Table_TRM_Fixtures[[#This Row],[Lamp Watts  (TRM Data)]])</f>
        <v>32</v>
      </c>
      <c r="M1044">
        <f>Table_TRM_Fixtures[[#This Row],[No. of Lamps  (TRM Data)]]</f>
        <v>4</v>
      </c>
      <c r="N1044">
        <v>48</v>
      </c>
      <c r="O1044" t="s">
        <v>1381</v>
      </c>
      <c r="P1044" t="s">
        <v>187</v>
      </c>
      <c r="Q1044" t="s">
        <v>5612</v>
      </c>
      <c r="R1044" t="str">
        <f>_xlfn.CONCAT(Table_TRM_Fixtures[[#This Row],[Technology]], ", ", Table_TRM_Fixtures[[#This Row],[Ballast Code]], " Ballast")</f>
        <v>T8, Electronic STD Ballast</v>
      </c>
      <c r="S1044" t="str">
        <f>Table_TRM_Fixtures[[#This Row],[Description  (TRM Data)]]</f>
        <v>Fluorescent, (4) 48", T-8 lamps, (2) 2-lamp IS Ballasts, NLO (0.85 &lt; BF &lt; 0.95)</v>
      </c>
      <c r="T1044" t="str">
        <f>Table_TRM_Fixtures[[#This Row],[Fixture code  (TRM Data)]]</f>
        <v>F44ILL/2</v>
      </c>
      <c r="U1044" t="s">
        <v>2882</v>
      </c>
      <c r="V1044" t="s">
        <v>186</v>
      </c>
      <c r="W1044" t="s">
        <v>3120</v>
      </c>
      <c r="X1044" t="s">
        <v>186</v>
      </c>
      <c r="Y1044" t="s">
        <v>4815</v>
      </c>
      <c r="Z1044" t="s">
        <v>4815</v>
      </c>
      <c r="AA1044">
        <f>IF(Table_TRM_Fixtures[[#This Row],[Pre-EISA Baseline]]="Nominal", Table_TRM_Fixtures[[#This Row],[Fixture Watts  (TRM Data)]], Table_TRM_Fixtures[[#This Row],[Modified Baseline Fixture Watts]])</f>
        <v>116</v>
      </c>
    </row>
    <row r="1045" spans="1:27" x14ac:dyDescent="0.2">
      <c r="A1045" t="s">
        <v>1843</v>
      </c>
      <c r="B1045" t="s">
        <v>5643</v>
      </c>
      <c r="C1045" t="s">
        <v>1842</v>
      </c>
      <c r="D1045" t="s">
        <v>5658</v>
      </c>
      <c r="E1045" t="s">
        <v>187</v>
      </c>
      <c r="F1045">
        <v>4</v>
      </c>
      <c r="G1045">
        <v>32</v>
      </c>
      <c r="H1045">
        <v>132</v>
      </c>
      <c r="I1045">
        <v>15.5</v>
      </c>
      <c r="J1045" s="110">
        <v>1043</v>
      </c>
      <c r="K1045" t="s">
        <v>1505</v>
      </c>
      <c r="L1045">
        <f>IF(Table_TRM_Fixtures[[#This Row],[Technology]]="LED", Table_TRM_Fixtures[[#This Row],[Fixture Watts  (TRM Data)]], Table_TRM_Fixtures[[#This Row],[Lamp Watts  (TRM Data)]])</f>
        <v>32</v>
      </c>
      <c r="M1045">
        <f>Table_TRM_Fixtures[[#This Row],[No. of Lamps  (TRM Data)]]</f>
        <v>4</v>
      </c>
      <c r="N1045">
        <v>48</v>
      </c>
      <c r="O1045" t="s">
        <v>1381</v>
      </c>
      <c r="P1045" t="s">
        <v>187</v>
      </c>
      <c r="Q1045" t="s">
        <v>5566</v>
      </c>
      <c r="R1045" t="str">
        <f>_xlfn.CONCAT(Table_TRM_Fixtures[[#This Row],[Technology]], ", ", Table_TRM_Fixtures[[#This Row],[Ballast Code]], " Ballast")</f>
        <v>T8, Electronic HLO Ballast</v>
      </c>
      <c r="S1045" t="str">
        <f>Table_TRM_Fixtures[[#This Row],[Description  (TRM Data)]]</f>
        <v>Fluorescent, (4) 48", T-8 lamps, (2) 3-lamp IS Ballasts, 1 lead capped, HLO (.95 &lt; BF &lt; 1.1)</v>
      </c>
      <c r="T1045" t="str">
        <f>Table_TRM_Fixtures[[#This Row],[Fixture code  (TRM Data)]]</f>
        <v>F44ILL/2-H</v>
      </c>
      <c r="U1045" t="s">
        <v>2882</v>
      </c>
      <c r="V1045" t="s">
        <v>186</v>
      </c>
      <c r="W1045" t="s">
        <v>3120</v>
      </c>
      <c r="X1045" t="s">
        <v>186</v>
      </c>
      <c r="Y1045" t="s">
        <v>4815</v>
      </c>
      <c r="Z1045" t="s">
        <v>4815</v>
      </c>
      <c r="AA1045">
        <f>IF(Table_TRM_Fixtures[[#This Row],[Pre-EISA Baseline]]="Nominal", Table_TRM_Fixtures[[#This Row],[Fixture Watts  (TRM Data)]], Table_TRM_Fixtures[[#This Row],[Modified Baseline Fixture Watts]])</f>
        <v>132</v>
      </c>
    </row>
    <row r="1046" spans="1:27" x14ac:dyDescent="0.2">
      <c r="A1046" t="s">
        <v>1845</v>
      </c>
      <c r="B1046" t="s">
        <v>5643</v>
      </c>
      <c r="C1046" t="s">
        <v>1844</v>
      </c>
      <c r="D1046" t="s">
        <v>5656</v>
      </c>
      <c r="E1046" t="s">
        <v>187</v>
      </c>
      <c r="F1046">
        <v>4</v>
      </c>
      <c r="G1046">
        <v>32</v>
      </c>
      <c r="H1046">
        <v>102</v>
      </c>
      <c r="I1046">
        <v>15.5</v>
      </c>
      <c r="J1046" s="110">
        <v>1044</v>
      </c>
      <c r="K1046" t="s">
        <v>1505</v>
      </c>
      <c r="L1046">
        <f>IF(Table_TRM_Fixtures[[#This Row],[Technology]]="LED", Table_TRM_Fixtures[[#This Row],[Fixture Watts  (TRM Data)]], Table_TRM_Fixtures[[#This Row],[Lamp Watts  (TRM Data)]])</f>
        <v>32</v>
      </c>
      <c r="M1046">
        <f>Table_TRM_Fixtures[[#This Row],[No. of Lamps  (TRM Data)]]</f>
        <v>4</v>
      </c>
      <c r="N1046">
        <v>48</v>
      </c>
      <c r="O1046" t="s">
        <v>1381</v>
      </c>
      <c r="P1046" t="s">
        <v>187</v>
      </c>
      <c r="Q1046" t="s">
        <v>5614</v>
      </c>
      <c r="R1046" t="str">
        <f>_xlfn.CONCAT(Table_TRM_Fixtures[[#This Row],[Technology]], ", ", Table_TRM_Fixtures[[#This Row],[Ballast Code]], " Ballast")</f>
        <v>T8, Electronic RLO Ballast</v>
      </c>
      <c r="S1046" t="str">
        <f>Table_TRM_Fixtures[[#This Row],[Description  (TRM Data)]]</f>
        <v>Fluorescent, (4) 48", T-8 lamps, (2) 2-lamp IS Ballasts, RLO (BF &lt; 0.85)</v>
      </c>
      <c r="T1046" t="str">
        <f>Table_TRM_Fixtures[[#This Row],[Fixture code  (TRM Data)]]</f>
        <v>F44ILL/2-R</v>
      </c>
      <c r="U1046" t="s">
        <v>2882</v>
      </c>
      <c r="V1046" t="s">
        <v>186</v>
      </c>
      <c r="W1046" t="s">
        <v>3120</v>
      </c>
      <c r="X1046" t="s">
        <v>186</v>
      </c>
      <c r="Y1046" t="s">
        <v>4815</v>
      </c>
      <c r="Z1046" t="s">
        <v>4815</v>
      </c>
      <c r="AA1046">
        <f>IF(Table_TRM_Fixtures[[#This Row],[Pre-EISA Baseline]]="Nominal", Table_TRM_Fixtures[[#This Row],[Fixture Watts  (TRM Data)]], Table_TRM_Fixtures[[#This Row],[Modified Baseline Fixture Watts]])</f>
        <v>102</v>
      </c>
    </row>
    <row r="1047" spans="1:27" x14ac:dyDescent="0.2">
      <c r="A1047" t="s">
        <v>1847</v>
      </c>
      <c r="B1047" t="s">
        <v>5643</v>
      </c>
      <c r="C1047" t="s">
        <v>1846</v>
      </c>
      <c r="D1047" t="s">
        <v>5657</v>
      </c>
      <c r="E1047" t="s">
        <v>187</v>
      </c>
      <c r="F1047">
        <v>4</v>
      </c>
      <c r="G1047">
        <v>32</v>
      </c>
      <c r="H1047">
        <v>154</v>
      </c>
      <c r="I1047">
        <v>15.5</v>
      </c>
      <c r="J1047" s="110">
        <v>1045</v>
      </c>
      <c r="K1047" t="s">
        <v>1505</v>
      </c>
      <c r="L1047">
        <f>IF(Table_TRM_Fixtures[[#This Row],[Technology]]="LED", Table_TRM_Fixtures[[#This Row],[Fixture Watts  (TRM Data)]], Table_TRM_Fixtures[[#This Row],[Lamp Watts  (TRM Data)]])</f>
        <v>32</v>
      </c>
      <c r="M1047">
        <f>Table_TRM_Fixtures[[#This Row],[No. of Lamps  (TRM Data)]]</f>
        <v>4</v>
      </c>
      <c r="N1047">
        <v>48</v>
      </c>
      <c r="O1047" t="s">
        <v>1381</v>
      </c>
      <c r="P1047" t="s">
        <v>187</v>
      </c>
      <c r="Q1047" t="s">
        <v>5616</v>
      </c>
      <c r="R1047" t="str">
        <f>_xlfn.CONCAT(Table_TRM_Fixtures[[#This Row],[Technology]], ", ", Table_TRM_Fixtures[[#This Row],[Ballast Code]], " Ballast")</f>
        <v>T8, Electronic VHLO Ballast</v>
      </c>
      <c r="S1047" t="str">
        <f>Table_TRM_Fixtures[[#This Row],[Description  (TRM Data)]]</f>
        <v>Fluorescent, (4) 48", T-8 lamps, (2) 2-lamp IS Ballasts, VHLO (BF &gt; 1.1)</v>
      </c>
      <c r="T1047" t="str">
        <f>Table_TRM_Fixtures[[#This Row],[Fixture code  (TRM Data)]]</f>
        <v>F44ILL/2-V</v>
      </c>
      <c r="U1047" t="s">
        <v>2882</v>
      </c>
      <c r="V1047" t="s">
        <v>186</v>
      </c>
      <c r="W1047" t="s">
        <v>3120</v>
      </c>
      <c r="X1047" t="s">
        <v>186</v>
      </c>
      <c r="Y1047" t="s">
        <v>4815</v>
      </c>
      <c r="Z1047" t="s">
        <v>4815</v>
      </c>
      <c r="AA1047">
        <f>IF(Table_TRM_Fixtures[[#This Row],[Pre-EISA Baseline]]="Nominal", Table_TRM_Fixtures[[#This Row],[Fixture Watts  (TRM Data)]], Table_TRM_Fixtures[[#This Row],[Modified Baseline Fixture Watts]])</f>
        <v>154</v>
      </c>
    </row>
    <row r="1048" spans="1:27" x14ac:dyDescent="0.2">
      <c r="A1048" t="s">
        <v>1848</v>
      </c>
      <c r="B1048" t="s">
        <v>5643</v>
      </c>
      <c r="C1048" t="s">
        <v>1834</v>
      </c>
      <c r="D1048" t="s">
        <v>5655</v>
      </c>
      <c r="E1048" t="s">
        <v>187</v>
      </c>
      <c r="F1048">
        <v>4</v>
      </c>
      <c r="G1048">
        <v>32</v>
      </c>
      <c r="H1048">
        <v>107</v>
      </c>
      <c r="I1048">
        <v>15.5</v>
      </c>
      <c r="J1048" s="110">
        <v>1046</v>
      </c>
      <c r="K1048" t="s">
        <v>1505</v>
      </c>
      <c r="L1048">
        <f>IF(Table_TRM_Fixtures[[#This Row],[Technology]]="LED", Table_TRM_Fixtures[[#This Row],[Fixture Watts  (TRM Data)]], Table_TRM_Fixtures[[#This Row],[Lamp Watts  (TRM Data)]])</f>
        <v>32</v>
      </c>
      <c r="M1048">
        <f>Table_TRM_Fixtures[[#This Row],[No. of Lamps  (TRM Data)]]</f>
        <v>4</v>
      </c>
      <c r="N1048">
        <v>48</v>
      </c>
      <c r="O1048" t="s">
        <v>1381</v>
      </c>
      <c r="P1048" t="s">
        <v>187</v>
      </c>
      <c r="Q1048" t="s">
        <v>5612</v>
      </c>
      <c r="R1048" t="str">
        <f>_xlfn.CONCAT(Table_TRM_Fixtures[[#This Row],[Technology]], ", ", Table_TRM_Fixtures[[#This Row],[Ballast Code]], " Ballast")</f>
        <v>T8, Electronic STD Ballast</v>
      </c>
      <c r="S1048" t="str">
        <f>Table_TRM_Fixtures[[#This Row],[Description  (TRM Data)]]</f>
        <v>Fluorescent, (4) 48", T-8 lamps, Instant Start Ballast, NLO (0.85 &lt; BF &lt; 0.95)</v>
      </c>
      <c r="T1048" t="str">
        <f>Table_TRM_Fixtures[[#This Row],[Fixture code  (TRM Data)]]</f>
        <v>F44ILU</v>
      </c>
      <c r="U1048" t="s">
        <v>2882</v>
      </c>
      <c r="V1048" t="s">
        <v>186</v>
      </c>
      <c r="W1048" t="s">
        <v>3120</v>
      </c>
      <c r="X1048" t="s">
        <v>186</v>
      </c>
      <c r="Y1048" t="s">
        <v>4815</v>
      </c>
      <c r="Z1048" t="s">
        <v>4815</v>
      </c>
      <c r="AA1048">
        <f>IF(Table_TRM_Fixtures[[#This Row],[Pre-EISA Baseline]]="Nominal", Table_TRM_Fixtures[[#This Row],[Fixture Watts  (TRM Data)]], Table_TRM_Fixtures[[#This Row],[Modified Baseline Fixture Watts]])</f>
        <v>107</v>
      </c>
    </row>
    <row r="1049" spans="1:27" x14ac:dyDescent="0.2">
      <c r="A1049" t="s">
        <v>1850</v>
      </c>
      <c r="B1049" t="s">
        <v>5643</v>
      </c>
      <c r="C1049" t="s">
        <v>1849</v>
      </c>
      <c r="D1049" t="s">
        <v>5658</v>
      </c>
      <c r="E1049" t="s">
        <v>187</v>
      </c>
      <c r="F1049">
        <v>4</v>
      </c>
      <c r="G1049">
        <v>32</v>
      </c>
      <c r="H1049">
        <v>121</v>
      </c>
      <c r="I1049">
        <v>15.5</v>
      </c>
      <c r="J1049" s="110">
        <v>1047</v>
      </c>
      <c r="K1049" t="s">
        <v>1505</v>
      </c>
      <c r="L1049">
        <f>IF(Table_TRM_Fixtures[[#This Row],[Technology]]="LED", Table_TRM_Fixtures[[#This Row],[Fixture Watts  (TRM Data)]], Table_TRM_Fixtures[[#This Row],[Lamp Watts  (TRM Data)]])</f>
        <v>32</v>
      </c>
      <c r="M1049">
        <f>Table_TRM_Fixtures[[#This Row],[No. of Lamps  (TRM Data)]]</f>
        <v>4</v>
      </c>
      <c r="N1049">
        <v>48</v>
      </c>
      <c r="O1049" t="s">
        <v>1381</v>
      </c>
      <c r="P1049" t="s">
        <v>187</v>
      </c>
      <c r="Q1049" t="s">
        <v>5566</v>
      </c>
      <c r="R1049" t="str">
        <f>_xlfn.CONCAT(Table_TRM_Fixtures[[#This Row],[Technology]], ", ", Table_TRM_Fixtures[[#This Row],[Ballast Code]], " Ballast")</f>
        <v>T8, Electronic HLO Ballast</v>
      </c>
      <c r="S1049" t="str">
        <f>Table_TRM_Fixtures[[#This Row],[Description  (TRM Data)]]</f>
        <v>Fluorescent, (4) 48", T-8 lamp, Instant Start Ballast, HLO (0.95 &lt; BF &lt; 1.1)</v>
      </c>
      <c r="T1049" t="str">
        <f>Table_TRM_Fixtures[[#This Row],[Fixture code  (TRM Data)]]</f>
        <v>F44ILU-H</v>
      </c>
      <c r="U1049" t="s">
        <v>2882</v>
      </c>
      <c r="V1049" t="s">
        <v>186</v>
      </c>
      <c r="W1049" t="s">
        <v>3120</v>
      </c>
      <c r="X1049" t="s">
        <v>186</v>
      </c>
      <c r="Y1049" t="str">
        <f>_xlfn.CONCAT(Table_TRM_Fixtures[[#This Row],[Combined Lighting/Ballast Types]],":",Table_TRM_Fixtures[[#This Row],[No. of Lamps]], ":", Table_TRM_Fixtures[[#This Row],[Lamp Watts  (TRM Data)]])</f>
        <v>T8, Electronic HLO Ballast:4:32</v>
      </c>
      <c r="Z1049" t="s">
        <v>4815</v>
      </c>
      <c r="AA1049">
        <f>IF(Table_TRM_Fixtures[[#This Row],[Pre-EISA Baseline]]="Nominal", Table_TRM_Fixtures[[#This Row],[Fixture Watts  (TRM Data)]], Table_TRM_Fixtures[[#This Row],[Modified Baseline Fixture Watts]])</f>
        <v>121</v>
      </c>
    </row>
    <row r="1050" spans="1:27" x14ac:dyDescent="0.2">
      <c r="A1050" t="s">
        <v>1851</v>
      </c>
      <c r="B1050" t="s">
        <v>5643</v>
      </c>
      <c r="C1050" t="s">
        <v>1836</v>
      </c>
      <c r="D1050" t="s">
        <v>5656</v>
      </c>
      <c r="E1050" t="s">
        <v>187</v>
      </c>
      <c r="F1050">
        <v>4</v>
      </c>
      <c r="G1050">
        <v>32</v>
      </c>
      <c r="H1050">
        <v>95</v>
      </c>
      <c r="I1050">
        <v>15.5</v>
      </c>
      <c r="J1050" s="110">
        <v>1048</v>
      </c>
      <c r="K1050" t="s">
        <v>1505</v>
      </c>
      <c r="L1050">
        <f>IF(Table_TRM_Fixtures[[#This Row],[Technology]]="LED", Table_TRM_Fixtures[[#This Row],[Fixture Watts  (TRM Data)]], Table_TRM_Fixtures[[#This Row],[Lamp Watts  (TRM Data)]])</f>
        <v>32</v>
      </c>
      <c r="M1050">
        <f>Table_TRM_Fixtures[[#This Row],[No. of Lamps  (TRM Data)]]</f>
        <v>4</v>
      </c>
      <c r="N1050">
        <v>48</v>
      </c>
      <c r="O1050" t="s">
        <v>1381</v>
      </c>
      <c r="P1050" t="s">
        <v>187</v>
      </c>
      <c r="Q1050" t="s">
        <v>5614</v>
      </c>
      <c r="R1050" t="str">
        <f>_xlfn.CONCAT(Table_TRM_Fixtures[[#This Row],[Technology]], ", ", Table_TRM_Fixtures[[#This Row],[Ballast Code]], " Ballast")</f>
        <v>T8, Electronic RLO Ballast</v>
      </c>
      <c r="S1050" t="str">
        <f>Table_TRM_Fixtures[[#This Row],[Description  (TRM Data)]]</f>
        <v>Fluorescent, (4) 48", T-8 lamps, Instant Start Ballast, RLO (BF &lt; 0.85)</v>
      </c>
      <c r="T1050" t="str">
        <f>Table_TRM_Fixtures[[#This Row],[Fixture code  (TRM Data)]]</f>
        <v>F44ILU-R</v>
      </c>
      <c r="U1050" t="s">
        <v>2882</v>
      </c>
      <c r="V1050" t="s">
        <v>186</v>
      </c>
      <c r="W1050" t="s">
        <v>3120</v>
      </c>
      <c r="X1050" t="s">
        <v>186</v>
      </c>
      <c r="Y1050" t="s">
        <v>4815</v>
      </c>
      <c r="Z1050" t="s">
        <v>4815</v>
      </c>
      <c r="AA1050">
        <f>IF(Table_TRM_Fixtures[[#This Row],[Pre-EISA Baseline]]="Nominal", Table_TRM_Fixtures[[#This Row],[Fixture Watts  (TRM Data)]], Table_TRM_Fixtures[[#This Row],[Modified Baseline Fixture Watts]])</f>
        <v>95</v>
      </c>
    </row>
    <row r="1051" spans="1:27" x14ac:dyDescent="0.2">
      <c r="A1051" t="s">
        <v>1852</v>
      </c>
      <c r="B1051" t="s">
        <v>5643</v>
      </c>
      <c r="C1051" t="s">
        <v>1838</v>
      </c>
      <c r="D1051" t="s">
        <v>5657</v>
      </c>
      <c r="E1051" t="s">
        <v>187</v>
      </c>
      <c r="F1051">
        <v>4</v>
      </c>
      <c r="G1051">
        <v>32</v>
      </c>
      <c r="H1051">
        <v>146</v>
      </c>
      <c r="I1051">
        <v>15.5</v>
      </c>
      <c r="J1051" s="110">
        <v>1049</v>
      </c>
      <c r="K1051" t="s">
        <v>1505</v>
      </c>
      <c r="L1051">
        <f>IF(Table_TRM_Fixtures[[#This Row],[Technology]]="LED", Table_TRM_Fixtures[[#This Row],[Fixture Watts  (TRM Data)]], Table_TRM_Fixtures[[#This Row],[Lamp Watts  (TRM Data)]])</f>
        <v>32</v>
      </c>
      <c r="M1051">
        <f>Table_TRM_Fixtures[[#This Row],[No. of Lamps  (TRM Data)]]</f>
        <v>4</v>
      </c>
      <c r="N1051">
        <v>48</v>
      </c>
      <c r="O1051" t="s">
        <v>1381</v>
      </c>
      <c r="P1051" t="s">
        <v>187</v>
      </c>
      <c r="Q1051" t="s">
        <v>5616</v>
      </c>
      <c r="R1051" t="str">
        <f>_xlfn.CONCAT(Table_TRM_Fixtures[[#This Row],[Technology]], ", ", Table_TRM_Fixtures[[#This Row],[Ballast Code]], " Ballast")</f>
        <v>T8, Electronic VHLO Ballast</v>
      </c>
      <c r="S1051" t="str">
        <f>Table_TRM_Fixtures[[#This Row],[Description  (TRM Data)]]</f>
        <v>Fluorescent, (4) 48", T-8 lamps, Instant Start Ballast, VHLO (BF &gt; 1.1)</v>
      </c>
      <c r="T1051" t="str">
        <f>Table_TRM_Fixtures[[#This Row],[Fixture code  (TRM Data)]]</f>
        <v>F44ILU-V</v>
      </c>
      <c r="U1051" t="s">
        <v>2882</v>
      </c>
      <c r="V1051" t="s">
        <v>186</v>
      </c>
      <c r="W1051" t="s">
        <v>3120</v>
      </c>
      <c r="X1051" t="s">
        <v>186</v>
      </c>
      <c r="Y1051" t="s">
        <v>4815</v>
      </c>
      <c r="Z1051" t="s">
        <v>4815</v>
      </c>
      <c r="AA1051">
        <f>IF(Table_TRM_Fixtures[[#This Row],[Pre-EISA Baseline]]="Nominal", Table_TRM_Fixtures[[#This Row],[Fixture Watts  (TRM Data)]], Table_TRM_Fixtures[[#This Row],[Modified Baseline Fixture Watts]])</f>
        <v>146</v>
      </c>
    </row>
    <row r="1052" spans="1:27" x14ac:dyDescent="0.2">
      <c r="A1052" t="s">
        <v>1854</v>
      </c>
      <c r="B1052" t="s">
        <v>5643</v>
      </c>
      <c r="C1052" t="s">
        <v>1853</v>
      </c>
      <c r="D1052" t="s">
        <v>5655</v>
      </c>
      <c r="E1052" t="s">
        <v>1722</v>
      </c>
      <c r="F1052">
        <v>4</v>
      </c>
      <c r="G1052">
        <v>32</v>
      </c>
      <c r="H1052">
        <v>142</v>
      </c>
      <c r="I1052">
        <v>15.5</v>
      </c>
      <c r="J1052" s="110">
        <v>1050</v>
      </c>
      <c r="K1052" t="s">
        <v>1505</v>
      </c>
      <c r="L1052">
        <f>IF(Table_TRM_Fixtures[[#This Row],[Technology]]="LED", Table_TRM_Fixtures[[#This Row],[Fixture Watts  (TRM Data)]], Table_TRM_Fixtures[[#This Row],[Lamp Watts  (TRM Data)]])</f>
        <v>32</v>
      </c>
      <c r="M1052">
        <f>Table_TRM_Fixtures[[#This Row],[No. of Lamps  (TRM Data)]]</f>
        <v>4</v>
      </c>
      <c r="N1052">
        <v>48</v>
      </c>
      <c r="O1052" t="s">
        <v>1381</v>
      </c>
      <c r="P1052" t="s">
        <v>2640</v>
      </c>
      <c r="Q1052" t="s">
        <v>5608</v>
      </c>
      <c r="R1052" t="str">
        <f>_xlfn.CONCAT(Table_TRM_Fixtures[[#This Row],[Technology]], ", ", Table_TRM_Fixtures[[#This Row],[Ballast Code]], " Ballast")</f>
        <v>T8, Magnetic STD Ballast</v>
      </c>
      <c r="S1052" t="str">
        <f>Table_TRM_Fixtures[[#This Row],[Description  (TRM Data)]]</f>
        <v>Fluorescent, (4) 48", T-8 lamps</v>
      </c>
      <c r="T1052" t="str">
        <f>Table_TRM_Fixtures[[#This Row],[Fixture code  (TRM Data)]]</f>
        <v>F44LE</v>
      </c>
      <c r="U1052" t="s">
        <v>2882</v>
      </c>
      <c r="V1052" t="s">
        <v>186</v>
      </c>
      <c r="W1052" t="s">
        <v>3120</v>
      </c>
      <c r="X1052" t="s">
        <v>186</v>
      </c>
      <c r="Y1052" t="str">
        <f>_xlfn.CONCAT(Table_TRM_Fixtures[[#This Row],[Combined Lighting/Ballast Types]],":",Table_TRM_Fixtures[[#This Row],[No. of Lamps]], ":", Table_TRM_Fixtures[[#This Row],[Lamp Watts  (TRM Data)]])</f>
        <v>T8, Magnetic STD Ballast:4:32</v>
      </c>
      <c r="Z1052" t="s">
        <v>4815</v>
      </c>
      <c r="AA1052">
        <f>IF(Table_TRM_Fixtures[[#This Row],[Pre-EISA Baseline]]="Nominal", Table_TRM_Fixtures[[#This Row],[Fixture Watts  (TRM Data)]], Table_TRM_Fixtures[[#This Row],[Modified Baseline Fixture Watts]])</f>
        <v>142</v>
      </c>
    </row>
    <row r="1053" spans="1:27" x14ac:dyDescent="0.2">
      <c r="A1053" t="s">
        <v>1856</v>
      </c>
      <c r="B1053" t="s">
        <v>5643</v>
      </c>
      <c r="C1053" t="s">
        <v>1855</v>
      </c>
      <c r="D1053" t="s">
        <v>5655</v>
      </c>
      <c r="E1053" t="s">
        <v>187</v>
      </c>
      <c r="F1053">
        <v>4</v>
      </c>
      <c r="G1053">
        <v>32</v>
      </c>
      <c r="H1053">
        <v>118</v>
      </c>
      <c r="I1053">
        <v>15.5</v>
      </c>
      <c r="J1053" s="110">
        <v>1051</v>
      </c>
      <c r="K1053" t="s">
        <v>1505</v>
      </c>
      <c r="L1053">
        <f>IF(Table_TRM_Fixtures[[#This Row],[Technology]]="LED", Table_TRM_Fixtures[[#This Row],[Fixture Watts  (TRM Data)]], Table_TRM_Fixtures[[#This Row],[Lamp Watts  (TRM Data)]])</f>
        <v>32</v>
      </c>
      <c r="M1053">
        <f>Table_TRM_Fixtures[[#This Row],[No. of Lamps  (TRM Data)]]</f>
        <v>4</v>
      </c>
      <c r="N1053">
        <v>48</v>
      </c>
      <c r="O1053" t="s">
        <v>1381</v>
      </c>
      <c r="P1053" t="s">
        <v>187</v>
      </c>
      <c r="Q1053" t="s">
        <v>5612</v>
      </c>
      <c r="R1053" t="str">
        <f>_xlfn.CONCAT(Table_TRM_Fixtures[[#This Row],[Technology]], ", ", Table_TRM_Fixtures[[#This Row],[Ballast Code]], " Ballast")</f>
        <v>T8, Electronic STD Ballast</v>
      </c>
      <c r="S1053" t="str">
        <f>Table_TRM_Fixtures[[#This Row],[Description  (TRM Data)]]</f>
        <v>Fluorescent, (4) 48", T-8 lamps, Rapid Start Ballast, NLO (0.85 &lt; BF &lt; 0.95)</v>
      </c>
      <c r="T1053" t="str">
        <f>Table_TRM_Fixtures[[#This Row],[Fixture code  (TRM Data)]]</f>
        <v>F44LL</v>
      </c>
      <c r="U1053" t="s">
        <v>2882</v>
      </c>
      <c r="V1053" t="s">
        <v>186</v>
      </c>
      <c r="W1053" t="s">
        <v>3120</v>
      </c>
      <c r="X1053" t="s">
        <v>186</v>
      </c>
      <c r="Y1053" t="s">
        <v>4815</v>
      </c>
      <c r="Z1053" t="s">
        <v>4815</v>
      </c>
      <c r="AA1053">
        <f>IF(Table_TRM_Fixtures[[#This Row],[Pre-EISA Baseline]]="Nominal", Table_TRM_Fixtures[[#This Row],[Fixture Watts  (TRM Data)]], Table_TRM_Fixtures[[#This Row],[Modified Baseline Fixture Watts]])</f>
        <v>118</v>
      </c>
    </row>
    <row r="1054" spans="1:27" x14ac:dyDescent="0.2">
      <c r="A1054" t="s">
        <v>1858</v>
      </c>
      <c r="B1054" t="s">
        <v>5643</v>
      </c>
      <c r="C1054" t="s">
        <v>1857</v>
      </c>
      <c r="D1054" t="s">
        <v>5656</v>
      </c>
      <c r="E1054" t="s">
        <v>187</v>
      </c>
      <c r="F1054">
        <v>4</v>
      </c>
      <c r="G1054">
        <v>32</v>
      </c>
      <c r="H1054">
        <v>105</v>
      </c>
      <c r="I1054">
        <v>15.5</v>
      </c>
      <c r="J1054" s="110">
        <v>1052</v>
      </c>
      <c r="K1054" t="s">
        <v>1505</v>
      </c>
      <c r="L1054">
        <f>IF(Table_TRM_Fixtures[[#This Row],[Technology]]="LED", Table_TRM_Fixtures[[#This Row],[Fixture Watts  (TRM Data)]], Table_TRM_Fixtures[[#This Row],[Lamp Watts  (TRM Data)]])</f>
        <v>32</v>
      </c>
      <c r="M1054">
        <f>Table_TRM_Fixtures[[#This Row],[No. of Lamps  (TRM Data)]]</f>
        <v>4</v>
      </c>
      <c r="N1054">
        <v>48</v>
      </c>
      <c r="O1054" t="s">
        <v>1381</v>
      </c>
      <c r="P1054" t="s">
        <v>187</v>
      </c>
      <c r="Q1054" t="s">
        <v>5614</v>
      </c>
      <c r="R1054" t="str">
        <f>_xlfn.CONCAT(Table_TRM_Fixtures[[#This Row],[Technology]], ", ", Table_TRM_Fixtures[[#This Row],[Ballast Code]], " Ballast")</f>
        <v>T8, Electronic RLO Ballast</v>
      </c>
      <c r="S1054" t="str">
        <f>Table_TRM_Fixtures[[#This Row],[Description  (TRM Data)]]</f>
        <v>Fluorescent, (4) 48", T-8 lamps, Rapid Start Ballast, RLO (BF &lt; 0.85)</v>
      </c>
      <c r="T1054" t="str">
        <f>Table_TRM_Fixtures[[#This Row],[Fixture code  (TRM Data)]]</f>
        <v>F44LL-R</v>
      </c>
      <c r="U1054" t="s">
        <v>2882</v>
      </c>
      <c r="V1054" t="s">
        <v>186</v>
      </c>
      <c r="W1054" t="s">
        <v>3120</v>
      </c>
      <c r="X1054" t="s">
        <v>186</v>
      </c>
      <c r="Y1054" t="s">
        <v>4815</v>
      </c>
      <c r="Z1054" t="s">
        <v>4815</v>
      </c>
      <c r="AA1054">
        <f>IF(Table_TRM_Fixtures[[#This Row],[Pre-EISA Baseline]]="Nominal", Table_TRM_Fixtures[[#This Row],[Fixture Watts  (TRM Data)]], Table_TRM_Fixtures[[#This Row],[Modified Baseline Fixture Watts]])</f>
        <v>105</v>
      </c>
    </row>
    <row r="1055" spans="1:27" x14ac:dyDescent="0.2">
      <c r="A1055" t="s">
        <v>1860</v>
      </c>
      <c r="B1055" t="s">
        <v>5643</v>
      </c>
      <c r="C1055" t="s">
        <v>1859</v>
      </c>
      <c r="D1055" t="s">
        <v>5655</v>
      </c>
      <c r="E1055" t="s">
        <v>187</v>
      </c>
      <c r="F1055">
        <v>4</v>
      </c>
      <c r="G1055">
        <v>32</v>
      </c>
      <c r="H1055">
        <v>120</v>
      </c>
      <c r="I1055">
        <v>15.5</v>
      </c>
      <c r="J1055" s="110">
        <v>1053</v>
      </c>
      <c r="K1055" t="s">
        <v>1505</v>
      </c>
      <c r="L1055">
        <f>IF(Table_TRM_Fixtures[[#This Row],[Technology]]="LED", Table_TRM_Fixtures[[#This Row],[Fixture Watts  (TRM Data)]], Table_TRM_Fixtures[[#This Row],[Lamp Watts  (TRM Data)]])</f>
        <v>32</v>
      </c>
      <c r="M1055">
        <f>Table_TRM_Fixtures[[#This Row],[No. of Lamps  (TRM Data)]]</f>
        <v>4</v>
      </c>
      <c r="N1055">
        <v>48</v>
      </c>
      <c r="O1055" t="s">
        <v>1381</v>
      </c>
      <c r="P1055" t="s">
        <v>187</v>
      </c>
      <c r="Q1055" t="s">
        <v>5612</v>
      </c>
      <c r="R1055" t="str">
        <f>_xlfn.CONCAT(Table_TRM_Fixtures[[#This Row],[Technology]], ", ", Table_TRM_Fixtures[[#This Row],[Ballast Code]], " Ballast")</f>
        <v>T8, Electronic STD Ballast</v>
      </c>
      <c r="S1055" t="str">
        <f>Table_TRM_Fixtures[[#This Row],[Description  (TRM Data)]]</f>
        <v>Fluorescent, (4) 48", T-8 lamps, (2) 2-lamp Rapid Start Ballast, NLO (0.85 &lt; BF &lt; 0.95)</v>
      </c>
      <c r="T1055" t="str">
        <f>Table_TRM_Fixtures[[#This Row],[Fixture code  (TRM Data)]]</f>
        <v>F44LL/2</v>
      </c>
      <c r="U1055" t="s">
        <v>2882</v>
      </c>
      <c r="V1055" t="s">
        <v>186</v>
      </c>
      <c r="W1055" t="s">
        <v>3120</v>
      </c>
      <c r="X1055" t="s">
        <v>186</v>
      </c>
      <c r="Y1055" t="s">
        <v>4815</v>
      </c>
      <c r="Z1055" t="s">
        <v>4815</v>
      </c>
      <c r="AA1055">
        <f>IF(Table_TRM_Fixtures[[#This Row],[Pre-EISA Baseline]]="Nominal", Table_TRM_Fixtures[[#This Row],[Fixture Watts  (TRM Data)]], Table_TRM_Fixtures[[#This Row],[Modified Baseline Fixture Watts]])</f>
        <v>120</v>
      </c>
    </row>
    <row r="1056" spans="1:27" x14ac:dyDescent="0.2">
      <c r="A1056" t="s">
        <v>1862</v>
      </c>
      <c r="B1056" t="s">
        <v>5643</v>
      </c>
      <c r="C1056" t="s">
        <v>1861</v>
      </c>
      <c r="D1056" t="s">
        <v>5659</v>
      </c>
      <c r="E1056" t="s">
        <v>187</v>
      </c>
      <c r="F1056">
        <v>5</v>
      </c>
      <c r="G1056">
        <v>32</v>
      </c>
      <c r="H1056">
        <v>143</v>
      </c>
      <c r="I1056">
        <v>15.5</v>
      </c>
      <c r="J1056" s="110">
        <v>1054</v>
      </c>
      <c r="K1056" t="s">
        <v>1505</v>
      </c>
      <c r="L1056">
        <f>IF(Table_TRM_Fixtures[[#This Row],[Technology]]="LED", Table_TRM_Fixtures[[#This Row],[Fixture Watts  (TRM Data)]], Table_TRM_Fixtures[[#This Row],[Lamp Watts  (TRM Data)]])</f>
        <v>32</v>
      </c>
      <c r="M1056">
        <f>Table_TRM_Fixtures[[#This Row],[No. of Lamps  (TRM Data)]]</f>
        <v>5</v>
      </c>
      <c r="N1056">
        <v>48</v>
      </c>
      <c r="O1056" t="s">
        <v>1381</v>
      </c>
      <c r="P1056" t="s">
        <v>187</v>
      </c>
      <c r="Q1056" t="s">
        <v>5612</v>
      </c>
      <c r="R1056" t="str">
        <f>_xlfn.CONCAT(Table_TRM_Fixtures[[#This Row],[Technology]], ", ", Table_TRM_Fixtures[[#This Row],[Ballast Code]], " Ballast")</f>
        <v>T8, Electronic STD Ballast</v>
      </c>
      <c r="S1056" t="str">
        <f>Table_TRM_Fixtures[[#This Row],[Description  (TRM Data)]]</f>
        <v>Fluorescent, (5) 48", T-8 lamps, (1) 3-lamp and (1) 2-lamp IS ballast, NLO (0.85 &lt; BF &lt; 0.95)</v>
      </c>
      <c r="T1056" t="str">
        <f>Table_TRM_Fixtures[[#This Row],[Fixture code  (TRM Data)]]</f>
        <v>F45ILL/2</v>
      </c>
      <c r="U1056" t="s">
        <v>2882</v>
      </c>
      <c r="V1056" t="s">
        <v>186</v>
      </c>
      <c r="W1056" t="s">
        <v>3120</v>
      </c>
      <c r="X1056" t="s">
        <v>186</v>
      </c>
      <c r="Y1056" t="str">
        <f>_xlfn.CONCAT(Table_TRM_Fixtures[[#This Row],[Combined Lighting/Ballast Types]],":",Table_TRM_Fixtures[[#This Row],[No. of Lamps]], ":", Table_TRM_Fixtures[[#This Row],[Lamp Watts  (TRM Data)]])</f>
        <v>T8, Electronic STD Ballast:5:32</v>
      </c>
      <c r="Z1056"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T8:5:32</v>
      </c>
      <c r="AA1056">
        <f>IF(Table_TRM_Fixtures[[#This Row],[Pre-EISA Baseline]]="Nominal", Table_TRM_Fixtures[[#This Row],[Fixture Watts  (TRM Data)]], Table_TRM_Fixtures[[#This Row],[Modified Baseline Fixture Watts]])</f>
        <v>143</v>
      </c>
    </row>
    <row r="1057" spans="1:27" x14ac:dyDescent="0.2">
      <c r="A1057" t="s">
        <v>1864</v>
      </c>
      <c r="B1057" t="s">
        <v>5643</v>
      </c>
      <c r="C1057" t="s">
        <v>1863</v>
      </c>
      <c r="D1057" t="s">
        <v>5660</v>
      </c>
      <c r="E1057" t="s">
        <v>187</v>
      </c>
      <c r="F1057">
        <v>5</v>
      </c>
      <c r="G1057">
        <v>32</v>
      </c>
      <c r="H1057">
        <v>182</v>
      </c>
      <c r="I1057">
        <v>15.5</v>
      </c>
      <c r="J1057" s="110">
        <v>1055</v>
      </c>
      <c r="K1057" t="s">
        <v>1505</v>
      </c>
      <c r="L1057">
        <f>IF(Table_TRM_Fixtures[[#This Row],[Technology]]="LED", Table_TRM_Fixtures[[#This Row],[Fixture Watts  (TRM Data)]], Table_TRM_Fixtures[[#This Row],[Lamp Watts  (TRM Data)]])</f>
        <v>32</v>
      </c>
      <c r="M1057">
        <f>Table_TRM_Fixtures[[#This Row],[No. of Lamps  (TRM Data)]]</f>
        <v>5</v>
      </c>
      <c r="N1057">
        <v>48</v>
      </c>
      <c r="O1057" t="s">
        <v>1381</v>
      </c>
      <c r="P1057" t="s">
        <v>187</v>
      </c>
      <c r="Q1057" t="s">
        <v>5616</v>
      </c>
      <c r="R1057" t="str">
        <f>_xlfn.CONCAT(Table_TRM_Fixtures[[#This Row],[Technology]], ", ", Table_TRM_Fixtures[[#This Row],[Ballast Code]], " Ballast")</f>
        <v>T8, Electronic VHLO Ballast</v>
      </c>
      <c r="S1057" t="str">
        <f>Table_TRM_Fixtures[[#This Row],[Description  (TRM Data)]]</f>
        <v>Fluorescent, (5) 48", T-8 lamps, (1) 3-lamp and (1) 2-lamp Prog. Start Ballast, VHLO (BF &gt; 1.1)</v>
      </c>
      <c r="T1057" t="str">
        <f>Table_TRM_Fixtures[[#This Row],[Fixture code  (TRM Data)]]</f>
        <v>F45GLL/2-V</v>
      </c>
      <c r="U1057" t="s">
        <v>2882</v>
      </c>
      <c r="V1057" t="s">
        <v>186</v>
      </c>
      <c r="W1057" t="s">
        <v>3120</v>
      </c>
      <c r="X1057" t="s">
        <v>186</v>
      </c>
      <c r="Y1057" t="str">
        <f>_xlfn.CONCAT(Table_TRM_Fixtures[[#This Row],[Combined Lighting/Ballast Types]],":",Table_TRM_Fixtures[[#This Row],[No. of Lamps]], ":", Table_TRM_Fixtures[[#This Row],[Lamp Watts  (TRM Data)]])</f>
        <v>T8, Electronic VHLO Ballast:5:32</v>
      </c>
      <c r="Z1057" t="s">
        <v>4815</v>
      </c>
      <c r="AA1057">
        <f>IF(Table_TRM_Fixtures[[#This Row],[Pre-EISA Baseline]]="Nominal", Table_TRM_Fixtures[[#This Row],[Fixture Watts  (TRM Data)]], Table_TRM_Fixtures[[#This Row],[Modified Baseline Fixture Watts]])</f>
        <v>182</v>
      </c>
    </row>
    <row r="1058" spans="1:27" x14ac:dyDescent="0.2">
      <c r="A1058" t="s">
        <v>1866</v>
      </c>
      <c r="B1058" t="s">
        <v>5643</v>
      </c>
      <c r="C1058" t="s">
        <v>1865</v>
      </c>
      <c r="D1058" t="s">
        <v>5661</v>
      </c>
      <c r="E1058" t="s">
        <v>1386</v>
      </c>
      <c r="F1058">
        <v>6</v>
      </c>
      <c r="G1058">
        <v>32</v>
      </c>
      <c r="H1058">
        <v>175</v>
      </c>
      <c r="I1058">
        <v>15.5</v>
      </c>
      <c r="J1058" s="110">
        <v>1056</v>
      </c>
      <c r="K1058" t="s">
        <v>1505</v>
      </c>
      <c r="L1058">
        <f>IF(Table_TRM_Fixtures[[#This Row],[Technology]]="LED", Table_TRM_Fixtures[[#This Row],[Fixture Watts  (TRM Data)]], Table_TRM_Fixtures[[#This Row],[Lamp Watts  (TRM Data)]])</f>
        <v>32</v>
      </c>
      <c r="M1058">
        <f>Table_TRM_Fixtures[[#This Row],[No. of Lamps  (TRM Data)]]</f>
        <v>6</v>
      </c>
      <c r="N1058">
        <v>48</v>
      </c>
      <c r="O1058" t="s">
        <v>1381</v>
      </c>
      <c r="P1058" t="s">
        <v>187</v>
      </c>
      <c r="Q1058" t="s">
        <v>5612</v>
      </c>
      <c r="R1058" t="str">
        <f>_xlfn.CONCAT(Table_TRM_Fixtures[[#This Row],[Technology]], ", ", Table_TRM_Fixtures[[#This Row],[Ballast Code]], " Ballast")</f>
        <v>T8, Electronic STD Ballast</v>
      </c>
      <c r="S1058" t="str">
        <f>Table_TRM_Fixtures[[#This Row],[Description  (TRM Data)]]</f>
        <v>Fluorescent (6) 48" T-8 lamps, (2) Prog. Start or PRS Ballasts, NLO (0.85 &lt; BF &lt; 0.95)</v>
      </c>
      <c r="T1058" t="str">
        <f>Table_TRM_Fixtures[[#This Row],[Fixture code  (TRM Data)]]</f>
        <v>F46GLL/2</v>
      </c>
      <c r="U1058" t="s">
        <v>2882</v>
      </c>
      <c r="V1058" t="s">
        <v>186</v>
      </c>
      <c r="W1058" t="s">
        <v>3120</v>
      </c>
      <c r="X1058" t="s">
        <v>186</v>
      </c>
      <c r="Y1058" t="s">
        <v>4815</v>
      </c>
      <c r="Z1058" t="s">
        <v>4815</v>
      </c>
      <c r="AA1058">
        <f>IF(Table_TRM_Fixtures[[#This Row],[Pre-EISA Baseline]]="Nominal", Table_TRM_Fixtures[[#This Row],[Fixture Watts  (TRM Data)]], Table_TRM_Fixtures[[#This Row],[Modified Baseline Fixture Watts]])</f>
        <v>175</v>
      </c>
    </row>
    <row r="1059" spans="1:27" x14ac:dyDescent="0.2">
      <c r="A1059" t="s">
        <v>1868</v>
      </c>
      <c r="B1059" t="s">
        <v>5643</v>
      </c>
      <c r="C1059" t="s">
        <v>1867</v>
      </c>
      <c r="D1059" t="s">
        <v>5662</v>
      </c>
      <c r="E1059" t="s">
        <v>1386</v>
      </c>
      <c r="F1059">
        <v>6</v>
      </c>
      <c r="G1059">
        <v>32</v>
      </c>
      <c r="H1059">
        <v>142</v>
      </c>
      <c r="I1059">
        <v>15.5</v>
      </c>
      <c r="J1059" s="110">
        <v>1057</v>
      </c>
      <c r="K1059" t="s">
        <v>1505</v>
      </c>
      <c r="L1059">
        <f>IF(Table_TRM_Fixtures[[#This Row],[Technology]]="LED", Table_TRM_Fixtures[[#This Row],[Fixture Watts  (TRM Data)]], Table_TRM_Fixtures[[#This Row],[Lamp Watts  (TRM Data)]])</f>
        <v>32</v>
      </c>
      <c r="M1059">
        <f>Table_TRM_Fixtures[[#This Row],[No. of Lamps  (TRM Data)]]</f>
        <v>6</v>
      </c>
      <c r="N1059">
        <v>48</v>
      </c>
      <c r="O1059" t="s">
        <v>1381</v>
      </c>
      <c r="P1059" t="s">
        <v>187</v>
      </c>
      <c r="Q1059" t="s">
        <v>5614</v>
      </c>
      <c r="R1059" t="str">
        <f>_xlfn.CONCAT(Table_TRM_Fixtures[[#This Row],[Technology]], ", ", Table_TRM_Fixtures[[#This Row],[Ballast Code]], " Ballast")</f>
        <v>T8, Electronic RLO Ballast</v>
      </c>
      <c r="S1059" t="str">
        <f>Table_TRM_Fixtures[[#This Row],[Description  (TRM Data)]]</f>
        <v>Fluorescent (6) 48" T-8 lamps, (2) Prog. Start or PRS Ballasts, RLO (BF &lt; 0.85)</v>
      </c>
      <c r="T1059" t="str">
        <f>Table_TRM_Fixtures[[#This Row],[Fixture code  (TRM Data)]]</f>
        <v>F46GLL/2-R</v>
      </c>
      <c r="U1059" t="s">
        <v>2882</v>
      </c>
      <c r="V1059" t="s">
        <v>186</v>
      </c>
      <c r="W1059" t="s">
        <v>3120</v>
      </c>
      <c r="X1059" t="s">
        <v>186</v>
      </c>
      <c r="Y1059" t="s">
        <v>4815</v>
      </c>
      <c r="Z1059" t="s">
        <v>4815</v>
      </c>
      <c r="AA1059">
        <f>IF(Table_TRM_Fixtures[[#This Row],[Pre-EISA Baseline]]="Nominal", Table_TRM_Fixtures[[#This Row],[Fixture Watts  (TRM Data)]], Table_TRM_Fixtures[[#This Row],[Modified Baseline Fixture Watts]])</f>
        <v>142</v>
      </c>
    </row>
    <row r="1060" spans="1:27" x14ac:dyDescent="0.2">
      <c r="A1060" t="s">
        <v>1870</v>
      </c>
      <c r="B1060" t="s">
        <v>5643</v>
      </c>
      <c r="C1060" t="s">
        <v>1869</v>
      </c>
      <c r="D1060" t="s">
        <v>5663</v>
      </c>
      <c r="E1060" t="s">
        <v>1386</v>
      </c>
      <c r="F1060">
        <v>6</v>
      </c>
      <c r="G1060">
        <v>32</v>
      </c>
      <c r="H1060">
        <v>217</v>
      </c>
      <c r="I1060">
        <v>15.5</v>
      </c>
      <c r="J1060" s="110">
        <v>1058</v>
      </c>
      <c r="K1060" t="s">
        <v>1505</v>
      </c>
      <c r="L1060">
        <f>IF(Table_TRM_Fixtures[[#This Row],[Technology]]="LED", Table_TRM_Fixtures[[#This Row],[Fixture Watts  (TRM Data)]], Table_TRM_Fixtures[[#This Row],[Lamp Watts  (TRM Data)]])</f>
        <v>32</v>
      </c>
      <c r="M1060">
        <f>Table_TRM_Fixtures[[#This Row],[No. of Lamps  (TRM Data)]]</f>
        <v>6</v>
      </c>
      <c r="N1060">
        <v>48</v>
      </c>
      <c r="O1060" t="s">
        <v>1381</v>
      </c>
      <c r="P1060" t="s">
        <v>187</v>
      </c>
      <c r="Q1060" t="s">
        <v>5616</v>
      </c>
      <c r="R1060" t="str">
        <f>_xlfn.CONCAT(Table_TRM_Fixtures[[#This Row],[Technology]], ", ", Table_TRM_Fixtures[[#This Row],[Ballast Code]], " Ballast")</f>
        <v>T8, Electronic VHLO Ballast</v>
      </c>
      <c r="S1060" t="str">
        <f>Table_TRM_Fixtures[[#This Row],[Description  (TRM Data)]]</f>
        <v>Fluorescent (6) 48" T-8 lamps, (2) Prog. Start or PRS Ballasts, VHLO (BF &gt; 1.1)</v>
      </c>
      <c r="T1060" t="str">
        <f>Table_TRM_Fixtures[[#This Row],[Fixture code  (TRM Data)]]</f>
        <v>F46GLL/2-V</v>
      </c>
      <c r="U1060" t="s">
        <v>2882</v>
      </c>
      <c r="V1060" t="s">
        <v>186</v>
      </c>
      <c r="W1060" t="s">
        <v>3120</v>
      </c>
      <c r="X1060" t="s">
        <v>186</v>
      </c>
      <c r="Y1060" t="s">
        <v>4815</v>
      </c>
      <c r="Z1060" t="s">
        <v>4815</v>
      </c>
      <c r="AA1060">
        <f>IF(Table_TRM_Fixtures[[#This Row],[Pre-EISA Baseline]]="Nominal", Table_TRM_Fixtures[[#This Row],[Fixture Watts  (TRM Data)]], Table_TRM_Fixtures[[#This Row],[Modified Baseline Fixture Watts]])</f>
        <v>217</v>
      </c>
    </row>
    <row r="1061" spans="1:27" x14ac:dyDescent="0.2">
      <c r="A1061" t="s">
        <v>1872</v>
      </c>
      <c r="B1061" t="s">
        <v>5643</v>
      </c>
      <c r="C1061" t="s">
        <v>1871</v>
      </c>
      <c r="D1061" t="s">
        <v>5661</v>
      </c>
      <c r="E1061" t="s">
        <v>187</v>
      </c>
      <c r="F1061">
        <v>6</v>
      </c>
      <c r="G1061">
        <v>32</v>
      </c>
      <c r="H1061">
        <v>170</v>
      </c>
      <c r="I1061">
        <v>15.5</v>
      </c>
      <c r="J1061" s="110">
        <v>1059</v>
      </c>
      <c r="K1061" t="s">
        <v>1505</v>
      </c>
      <c r="L1061">
        <f>IF(Table_TRM_Fixtures[[#This Row],[Technology]]="LED", Table_TRM_Fixtures[[#This Row],[Fixture Watts  (TRM Data)]], Table_TRM_Fixtures[[#This Row],[Lamp Watts  (TRM Data)]])</f>
        <v>32</v>
      </c>
      <c r="M1061">
        <f>Table_TRM_Fixtures[[#This Row],[No. of Lamps  (TRM Data)]]</f>
        <v>6</v>
      </c>
      <c r="N1061">
        <v>48</v>
      </c>
      <c r="O1061" t="s">
        <v>1381</v>
      </c>
      <c r="P1061" t="s">
        <v>187</v>
      </c>
      <c r="Q1061" t="s">
        <v>5612</v>
      </c>
      <c r="R1061" t="str">
        <f>_xlfn.CONCAT(Table_TRM_Fixtures[[#This Row],[Technology]], ", ", Table_TRM_Fixtures[[#This Row],[Ballast Code]], " Ballast")</f>
        <v>T8, Electronic STD Ballast</v>
      </c>
      <c r="S1061" t="str">
        <f>Table_TRM_Fixtures[[#This Row],[Description  (TRM Data)]]</f>
        <v>Fluorescent, (6) 48", T-8 lamps, (2) IS Ballasts, NLO (0.85 &lt; BF &lt; 0.95)</v>
      </c>
      <c r="T1061" t="str">
        <f>Table_TRM_Fixtures[[#This Row],[Fixture code  (TRM Data)]]</f>
        <v>F46ILL/2</v>
      </c>
      <c r="U1061" t="s">
        <v>2882</v>
      </c>
      <c r="V1061" t="s">
        <v>186</v>
      </c>
      <c r="W1061" t="s">
        <v>3120</v>
      </c>
      <c r="X1061" t="s">
        <v>186</v>
      </c>
      <c r="Y1061" t="str">
        <f>_xlfn.CONCAT(Table_TRM_Fixtures[[#This Row],[Combined Lighting/Ballast Types]],":",Table_TRM_Fixtures[[#This Row],[No. of Lamps]], ":", Table_TRM_Fixtures[[#This Row],[Lamp Watts  (TRM Data)]])</f>
        <v>T8, Electronic STD Ballast:6:32</v>
      </c>
      <c r="Z1061"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T8:6:32</v>
      </c>
      <c r="AA1061">
        <f>IF(Table_TRM_Fixtures[[#This Row],[Pre-EISA Baseline]]="Nominal", Table_TRM_Fixtures[[#This Row],[Fixture Watts  (TRM Data)]], Table_TRM_Fixtures[[#This Row],[Modified Baseline Fixture Watts]])</f>
        <v>170</v>
      </c>
    </row>
    <row r="1062" spans="1:27" x14ac:dyDescent="0.2">
      <c r="A1062" t="s">
        <v>1874</v>
      </c>
      <c r="B1062" t="s">
        <v>5643</v>
      </c>
      <c r="C1062" t="s">
        <v>1873</v>
      </c>
      <c r="D1062" t="s">
        <v>5662</v>
      </c>
      <c r="E1062" t="s">
        <v>187</v>
      </c>
      <c r="F1062">
        <v>6</v>
      </c>
      <c r="G1062">
        <v>32</v>
      </c>
      <c r="H1062">
        <v>151</v>
      </c>
      <c r="I1062">
        <v>15.5</v>
      </c>
      <c r="J1062" s="110">
        <v>1060</v>
      </c>
      <c r="K1062" t="s">
        <v>1505</v>
      </c>
      <c r="L1062">
        <f>IF(Table_TRM_Fixtures[[#This Row],[Technology]]="LED", Table_TRM_Fixtures[[#This Row],[Fixture Watts  (TRM Data)]], Table_TRM_Fixtures[[#This Row],[Lamp Watts  (TRM Data)]])</f>
        <v>32</v>
      </c>
      <c r="M1062">
        <f>Table_TRM_Fixtures[[#This Row],[No. of Lamps  (TRM Data)]]</f>
        <v>6</v>
      </c>
      <c r="N1062">
        <v>48</v>
      </c>
      <c r="O1062" t="s">
        <v>1381</v>
      </c>
      <c r="P1062" t="s">
        <v>187</v>
      </c>
      <c r="Q1062" t="s">
        <v>5614</v>
      </c>
      <c r="R1062" t="str">
        <f>_xlfn.CONCAT(Table_TRM_Fixtures[[#This Row],[Technology]], ", ", Table_TRM_Fixtures[[#This Row],[Ballast Code]], " Ballast")</f>
        <v>T8, Electronic RLO Ballast</v>
      </c>
      <c r="S1062" t="str">
        <f>Table_TRM_Fixtures[[#This Row],[Description  (TRM Data)]]</f>
        <v>Fluorescent, (6) 48", T-8 lamps, (2) IS Ballasts, RLO (BF &lt; 0.85)</v>
      </c>
      <c r="T1062" t="str">
        <f>Table_TRM_Fixtures[[#This Row],[Fixture code  (TRM Data)]]</f>
        <v>F46ILL/2-R</v>
      </c>
      <c r="U1062" t="s">
        <v>2882</v>
      </c>
      <c r="V1062" t="s">
        <v>186</v>
      </c>
      <c r="W1062" t="s">
        <v>3120</v>
      </c>
      <c r="X1062" t="s">
        <v>186</v>
      </c>
      <c r="Y1062" t="str">
        <f>_xlfn.CONCAT(Table_TRM_Fixtures[[#This Row],[Combined Lighting/Ballast Types]],":",Table_TRM_Fixtures[[#This Row],[No. of Lamps]], ":", Table_TRM_Fixtures[[#This Row],[Lamp Watts  (TRM Data)]])</f>
        <v>T8, Electronic RLO Ballast:6:32</v>
      </c>
      <c r="Z1062" t="s">
        <v>4815</v>
      </c>
      <c r="AA1062">
        <f>IF(Table_TRM_Fixtures[[#This Row],[Pre-EISA Baseline]]="Nominal", Table_TRM_Fixtures[[#This Row],[Fixture Watts  (TRM Data)]], Table_TRM_Fixtures[[#This Row],[Modified Baseline Fixture Watts]])</f>
        <v>151</v>
      </c>
    </row>
    <row r="1063" spans="1:27" x14ac:dyDescent="0.2">
      <c r="A1063" t="s">
        <v>1876</v>
      </c>
      <c r="B1063" t="s">
        <v>5643</v>
      </c>
      <c r="C1063" t="s">
        <v>1875</v>
      </c>
      <c r="D1063" t="s">
        <v>5663</v>
      </c>
      <c r="E1063" t="s">
        <v>187</v>
      </c>
      <c r="F1063">
        <v>6</v>
      </c>
      <c r="G1063">
        <v>32</v>
      </c>
      <c r="H1063">
        <v>226</v>
      </c>
      <c r="I1063">
        <v>15.5</v>
      </c>
      <c r="J1063" s="110">
        <v>1061</v>
      </c>
      <c r="K1063" t="s">
        <v>1505</v>
      </c>
      <c r="L1063">
        <f>IF(Table_TRM_Fixtures[[#This Row],[Technology]]="LED", Table_TRM_Fixtures[[#This Row],[Fixture Watts  (TRM Data)]], Table_TRM_Fixtures[[#This Row],[Lamp Watts  (TRM Data)]])</f>
        <v>32</v>
      </c>
      <c r="M1063">
        <f>Table_TRM_Fixtures[[#This Row],[No. of Lamps  (TRM Data)]]</f>
        <v>6</v>
      </c>
      <c r="N1063">
        <v>48</v>
      </c>
      <c r="O1063" t="s">
        <v>1381</v>
      </c>
      <c r="P1063" t="s">
        <v>187</v>
      </c>
      <c r="Q1063" t="s">
        <v>5616</v>
      </c>
      <c r="R1063" t="str">
        <f>_xlfn.CONCAT(Table_TRM_Fixtures[[#This Row],[Technology]], ", ", Table_TRM_Fixtures[[#This Row],[Ballast Code]], " Ballast")</f>
        <v>T8, Electronic VHLO Ballast</v>
      </c>
      <c r="S1063" t="str">
        <f>Table_TRM_Fixtures[[#This Row],[Description  (TRM Data)]]</f>
        <v>Fluorescent (6) 48" T-8 lamps, (2) IS Ballasts, VHLO (BF &gt; 1.1)</v>
      </c>
      <c r="T1063" t="str">
        <f>Table_TRM_Fixtures[[#This Row],[Fixture code  (TRM Data)]]</f>
        <v>F46ILL/2-V</v>
      </c>
      <c r="U1063" t="s">
        <v>2882</v>
      </c>
      <c r="V1063" t="s">
        <v>186</v>
      </c>
      <c r="W1063" t="s">
        <v>3120</v>
      </c>
      <c r="X1063" t="s">
        <v>186</v>
      </c>
      <c r="Y1063" t="str">
        <f>_xlfn.CONCAT(Table_TRM_Fixtures[[#This Row],[Combined Lighting/Ballast Types]],":",Table_TRM_Fixtures[[#This Row],[No. of Lamps]], ":", Table_TRM_Fixtures[[#This Row],[Lamp Watts  (TRM Data)]])</f>
        <v>T8, Electronic VHLO Ballast:6:32</v>
      </c>
      <c r="Z1063" t="s">
        <v>4815</v>
      </c>
      <c r="AA1063">
        <f>IF(Table_TRM_Fixtures[[#This Row],[Pre-EISA Baseline]]="Nominal", Table_TRM_Fixtures[[#This Row],[Fixture Watts  (TRM Data)]], Table_TRM_Fixtures[[#This Row],[Modified Baseline Fixture Watts]])</f>
        <v>226</v>
      </c>
    </row>
    <row r="1064" spans="1:27" x14ac:dyDescent="0.2">
      <c r="A1064" t="s">
        <v>1878</v>
      </c>
      <c r="B1064" t="s">
        <v>5643</v>
      </c>
      <c r="C1064" t="s">
        <v>1877</v>
      </c>
      <c r="D1064" t="s">
        <v>5661</v>
      </c>
      <c r="E1064" t="s">
        <v>187</v>
      </c>
      <c r="F1064">
        <v>6</v>
      </c>
      <c r="G1064">
        <v>32</v>
      </c>
      <c r="H1064">
        <v>162</v>
      </c>
      <c r="I1064">
        <v>15.5</v>
      </c>
      <c r="J1064" s="110">
        <v>1062</v>
      </c>
      <c r="K1064" t="s">
        <v>1505</v>
      </c>
      <c r="L1064">
        <f>IF(Table_TRM_Fixtures[[#This Row],[Technology]]="LED", Table_TRM_Fixtures[[#This Row],[Fixture Watts  (TRM Data)]], Table_TRM_Fixtures[[#This Row],[Lamp Watts  (TRM Data)]])</f>
        <v>32</v>
      </c>
      <c r="M1064">
        <f>Table_TRM_Fixtures[[#This Row],[No. of Lamps  (TRM Data)]]</f>
        <v>6</v>
      </c>
      <c r="N1064">
        <v>48</v>
      </c>
      <c r="O1064" t="s">
        <v>1381</v>
      </c>
      <c r="P1064" t="s">
        <v>187</v>
      </c>
      <c r="Q1064" t="s">
        <v>5612</v>
      </c>
      <c r="R1064" t="str">
        <f>_xlfn.CONCAT(Table_TRM_Fixtures[[#This Row],[Technology]], ", ", Table_TRM_Fixtures[[#This Row],[Ballast Code]], " Ballast")</f>
        <v>T8, Electronic STD Ballast</v>
      </c>
      <c r="S1064" t="str">
        <f>Table_TRM_Fixtures[[#This Row],[Description  (TRM Data)]]</f>
        <v>Fluorescent (6) 48" T-8 lamps, (2) IS Ballasts, NLO (0.85 &lt; BF &lt; 0.95)</v>
      </c>
      <c r="T1064" t="str">
        <f>Table_TRM_Fixtures[[#This Row],[Fixture code  (TRM Data)]]</f>
        <v>F46ILU/2</v>
      </c>
      <c r="U1064" t="s">
        <v>2882</v>
      </c>
      <c r="V1064" t="s">
        <v>186</v>
      </c>
      <c r="W1064" t="s">
        <v>3120</v>
      </c>
      <c r="X1064" t="s">
        <v>186</v>
      </c>
      <c r="Y1064" t="s">
        <v>4815</v>
      </c>
      <c r="Z1064" t="s">
        <v>4815</v>
      </c>
      <c r="AA1064">
        <f>IF(Table_TRM_Fixtures[[#This Row],[Pre-EISA Baseline]]="Nominal", Table_TRM_Fixtures[[#This Row],[Fixture Watts  (TRM Data)]], Table_TRM_Fixtures[[#This Row],[Modified Baseline Fixture Watts]])</f>
        <v>162</v>
      </c>
    </row>
    <row r="1065" spans="1:27" x14ac:dyDescent="0.2">
      <c r="A1065" t="s">
        <v>1880</v>
      </c>
      <c r="B1065" t="s">
        <v>5643</v>
      </c>
      <c r="C1065" t="s">
        <v>1879</v>
      </c>
      <c r="D1065" t="s">
        <v>5662</v>
      </c>
      <c r="E1065" t="s">
        <v>187</v>
      </c>
      <c r="F1065">
        <v>6</v>
      </c>
      <c r="G1065">
        <v>32</v>
      </c>
      <c r="H1065">
        <v>144</v>
      </c>
      <c r="I1065">
        <v>15.5</v>
      </c>
      <c r="J1065" s="110">
        <v>1063</v>
      </c>
      <c r="K1065" t="s">
        <v>1505</v>
      </c>
      <c r="L1065">
        <f>IF(Table_TRM_Fixtures[[#This Row],[Technology]]="LED", Table_TRM_Fixtures[[#This Row],[Fixture Watts  (TRM Data)]], Table_TRM_Fixtures[[#This Row],[Lamp Watts  (TRM Data)]])</f>
        <v>32</v>
      </c>
      <c r="M1065">
        <f>Table_TRM_Fixtures[[#This Row],[No. of Lamps  (TRM Data)]]</f>
        <v>6</v>
      </c>
      <c r="N1065">
        <v>48</v>
      </c>
      <c r="O1065" t="s">
        <v>1381</v>
      </c>
      <c r="P1065" t="s">
        <v>187</v>
      </c>
      <c r="Q1065" t="s">
        <v>5614</v>
      </c>
      <c r="R1065" t="str">
        <f>_xlfn.CONCAT(Table_TRM_Fixtures[[#This Row],[Technology]], ", ", Table_TRM_Fixtures[[#This Row],[Ballast Code]], " Ballast")</f>
        <v>T8, Electronic RLO Ballast</v>
      </c>
      <c r="S1065" t="str">
        <f>Table_TRM_Fixtures[[#This Row],[Description  (TRM Data)]]</f>
        <v>Fluorescent (6) 48" T-8 lamps, (2) IS Ballasts, RLO (BF &lt; 0.85)</v>
      </c>
      <c r="T1065" t="str">
        <f>Table_TRM_Fixtures[[#This Row],[Fixture code  (TRM Data)]]</f>
        <v>F46ILU/2-R</v>
      </c>
      <c r="U1065" t="s">
        <v>2882</v>
      </c>
      <c r="V1065" t="s">
        <v>186</v>
      </c>
      <c r="W1065" t="s">
        <v>3120</v>
      </c>
      <c r="X1065" t="s">
        <v>186</v>
      </c>
      <c r="Y1065" t="s">
        <v>4815</v>
      </c>
      <c r="Z1065" t="s">
        <v>4815</v>
      </c>
      <c r="AA1065">
        <f>IF(Table_TRM_Fixtures[[#This Row],[Pre-EISA Baseline]]="Nominal", Table_TRM_Fixtures[[#This Row],[Fixture Watts  (TRM Data)]], Table_TRM_Fixtures[[#This Row],[Modified Baseline Fixture Watts]])</f>
        <v>144</v>
      </c>
    </row>
    <row r="1066" spans="1:27" x14ac:dyDescent="0.2">
      <c r="A1066" t="s">
        <v>1881</v>
      </c>
      <c r="B1066" t="s">
        <v>5643</v>
      </c>
      <c r="C1066" t="s">
        <v>1875</v>
      </c>
      <c r="D1066" t="s">
        <v>5663</v>
      </c>
      <c r="E1066" t="s">
        <v>187</v>
      </c>
      <c r="F1066">
        <v>6</v>
      </c>
      <c r="G1066">
        <v>32</v>
      </c>
      <c r="H1066">
        <v>218</v>
      </c>
      <c r="I1066">
        <v>15.5</v>
      </c>
      <c r="J1066" s="110">
        <v>1064</v>
      </c>
      <c r="K1066" t="s">
        <v>1505</v>
      </c>
      <c r="L1066">
        <f>IF(Table_TRM_Fixtures[[#This Row],[Technology]]="LED", Table_TRM_Fixtures[[#This Row],[Fixture Watts  (TRM Data)]], Table_TRM_Fixtures[[#This Row],[Lamp Watts  (TRM Data)]])</f>
        <v>32</v>
      </c>
      <c r="M1066">
        <f>Table_TRM_Fixtures[[#This Row],[No. of Lamps  (TRM Data)]]</f>
        <v>6</v>
      </c>
      <c r="N1066">
        <v>48</v>
      </c>
      <c r="O1066" t="s">
        <v>1381</v>
      </c>
      <c r="P1066" t="s">
        <v>187</v>
      </c>
      <c r="Q1066" t="s">
        <v>5616</v>
      </c>
      <c r="R1066" t="str">
        <f>_xlfn.CONCAT(Table_TRM_Fixtures[[#This Row],[Technology]], ", ", Table_TRM_Fixtures[[#This Row],[Ballast Code]], " Ballast")</f>
        <v>T8, Electronic VHLO Ballast</v>
      </c>
      <c r="S1066" t="str">
        <f>Table_TRM_Fixtures[[#This Row],[Description  (TRM Data)]]</f>
        <v>Fluorescent (6) 48" T-8 lamps, (2) IS Ballasts, VHLO (BF &gt; 1.1)</v>
      </c>
      <c r="T1066" t="str">
        <f>Table_TRM_Fixtures[[#This Row],[Fixture code  (TRM Data)]]</f>
        <v>F46ILU/2-V</v>
      </c>
      <c r="U1066" t="s">
        <v>2882</v>
      </c>
      <c r="V1066" t="s">
        <v>186</v>
      </c>
      <c r="W1066" t="s">
        <v>3120</v>
      </c>
      <c r="X1066" t="s">
        <v>186</v>
      </c>
      <c r="Y1066" t="s">
        <v>4815</v>
      </c>
      <c r="Z1066" t="s">
        <v>4815</v>
      </c>
      <c r="AA1066">
        <f>IF(Table_TRM_Fixtures[[#This Row],[Pre-EISA Baseline]]="Nominal", Table_TRM_Fixtures[[#This Row],[Fixture Watts  (TRM Data)]], Table_TRM_Fixtures[[#This Row],[Modified Baseline Fixture Watts]])</f>
        <v>218</v>
      </c>
    </row>
    <row r="1067" spans="1:27" x14ac:dyDescent="0.2">
      <c r="A1067" t="s">
        <v>1883</v>
      </c>
      <c r="B1067" t="s">
        <v>5643</v>
      </c>
      <c r="C1067" t="s">
        <v>1882</v>
      </c>
      <c r="D1067" t="s">
        <v>5661</v>
      </c>
      <c r="E1067" t="s">
        <v>187</v>
      </c>
      <c r="F1067">
        <v>6</v>
      </c>
      <c r="G1067">
        <v>32</v>
      </c>
      <c r="H1067">
        <v>182</v>
      </c>
      <c r="I1067">
        <v>15.5</v>
      </c>
      <c r="J1067" s="110">
        <v>1065</v>
      </c>
      <c r="K1067" t="s">
        <v>1505</v>
      </c>
      <c r="L1067">
        <f>IF(Table_TRM_Fixtures[[#This Row],[Technology]]="LED", Table_TRM_Fixtures[[#This Row],[Fixture Watts  (TRM Data)]], Table_TRM_Fixtures[[#This Row],[Lamp Watts  (TRM Data)]])</f>
        <v>32</v>
      </c>
      <c r="M1067">
        <f>Table_TRM_Fixtures[[#This Row],[No. of Lamps  (TRM Data)]]</f>
        <v>6</v>
      </c>
      <c r="N1067">
        <v>48</v>
      </c>
      <c r="O1067" t="s">
        <v>1381</v>
      </c>
      <c r="P1067" t="s">
        <v>187</v>
      </c>
      <c r="Q1067" t="s">
        <v>5612</v>
      </c>
      <c r="R1067" t="str">
        <f>_xlfn.CONCAT(Table_TRM_Fixtures[[#This Row],[Technology]], ", ", Table_TRM_Fixtures[[#This Row],[Ballast Code]], " Ballast")</f>
        <v>T8, Electronic STD Ballast</v>
      </c>
      <c r="S1067" t="str">
        <f>Table_TRM_Fixtures[[#This Row],[Description  (TRM Data)]]</f>
        <v>Fluorescent, (6) 48", T-8 lamps, (2) Rapid Start Ballasts, NLO (0.85 &lt; BF &lt; 0.95)</v>
      </c>
      <c r="T1067" t="str">
        <f>Table_TRM_Fixtures[[#This Row],[Fixture code  (TRM Data)]]</f>
        <v>F465LL/2</v>
      </c>
      <c r="U1067" t="s">
        <v>2882</v>
      </c>
      <c r="V1067" t="s">
        <v>186</v>
      </c>
      <c r="W1067" t="s">
        <v>3120</v>
      </c>
      <c r="X1067" t="s">
        <v>186</v>
      </c>
      <c r="Y1067" t="s">
        <v>4815</v>
      </c>
      <c r="Z1067" t="s">
        <v>4815</v>
      </c>
      <c r="AA1067">
        <f>IF(Table_TRM_Fixtures[[#This Row],[Pre-EISA Baseline]]="Nominal", Table_TRM_Fixtures[[#This Row],[Fixture Watts  (TRM Data)]], Table_TRM_Fixtures[[#This Row],[Modified Baseline Fixture Watts]])</f>
        <v>182</v>
      </c>
    </row>
    <row r="1068" spans="1:27" x14ac:dyDescent="0.2">
      <c r="A1068" t="s">
        <v>1885</v>
      </c>
      <c r="B1068" t="s">
        <v>5643</v>
      </c>
      <c r="C1068" t="s">
        <v>1884</v>
      </c>
      <c r="D1068" t="s">
        <v>5664</v>
      </c>
      <c r="E1068" t="s">
        <v>1386</v>
      </c>
      <c r="F1068">
        <v>8</v>
      </c>
      <c r="G1068">
        <v>32</v>
      </c>
      <c r="H1068">
        <v>230</v>
      </c>
      <c r="I1068">
        <v>15.5</v>
      </c>
      <c r="J1068" s="110">
        <v>1066</v>
      </c>
      <c r="K1068" t="s">
        <v>1505</v>
      </c>
      <c r="L1068">
        <f>IF(Table_TRM_Fixtures[[#This Row],[Technology]]="LED", Table_TRM_Fixtures[[#This Row],[Fixture Watts  (TRM Data)]], Table_TRM_Fixtures[[#This Row],[Lamp Watts  (TRM Data)]])</f>
        <v>32</v>
      </c>
      <c r="M1068">
        <f>Table_TRM_Fixtures[[#This Row],[No. of Lamps  (TRM Data)]]</f>
        <v>8</v>
      </c>
      <c r="N1068">
        <v>48</v>
      </c>
      <c r="O1068" t="s">
        <v>1381</v>
      </c>
      <c r="P1068" t="s">
        <v>187</v>
      </c>
      <c r="Q1068" t="s">
        <v>5612</v>
      </c>
      <c r="R1068" t="str">
        <f>_xlfn.CONCAT(Table_TRM_Fixtures[[#This Row],[Technology]], ", ", Table_TRM_Fixtures[[#This Row],[Ballast Code]], " Ballast")</f>
        <v>T8, Electronic STD Ballast</v>
      </c>
      <c r="S1068" t="str">
        <f>Table_TRM_Fixtures[[#This Row],[Description  (TRM Data)]]</f>
        <v>Fluorescent (8) 48" T-8 lamps, (2) Prog. Start or PRS Ballasts, NLO (0.85 &lt; BF &lt; 0.95)</v>
      </c>
      <c r="T1068" t="str">
        <f>Table_TRM_Fixtures[[#This Row],[Fixture code  (TRM Data)]]</f>
        <v>F48GLL/2</v>
      </c>
      <c r="U1068" t="s">
        <v>2882</v>
      </c>
      <c r="V1068" t="s">
        <v>186</v>
      </c>
      <c r="W1068" t="s">
        <v>3120</v>
      </c>
      <c r="X1068" t="s">
        <v>186</v>
      </c>
      <c r="Y1068" t="str">
        <f>_xlfn.CONCAT(Table_TRM_Fixtures[[#This Row],[Combined Lighting/Ballast Types]],":",Table_TRM_Fixtures[[#This Row],[No. of Lamps]], ":", Table_TRM_Fixtures[[#This Row],[Lamp Watts  (TRM Data)]])</f>
        <v>T8, Electronic STD Ballast:8:32</v>
      </c>
      <c r="Z1068"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T8:8:32</v>
      </c>
      <c r="AA1068">
        <f>IF(Table_TRM_Fixtures[[#This Row],[Pre-EISA Baseline]]="Nominal", Table_TRM_Fixtures[[#This Row],[Fixture Watts  (TRM Data)]], Table_TRM_Fixtures[[#This Row],[Modified Baseline Fixture Watts]])</f>
        <v>230</v>
      </c>
    </row>
    <row r="1069" spans="1:27" x14ac:dyDescent="0.2">
      <c r="A1069" t="s">
        <v>1887</v>
      </c>
      <c r="B1069" t="s">
        <v>5643</v>
      </c>
      <c r="C1069" t="s">
        <v>1886</v>
      </c>
      <c r="D1069" t="s">
        <v>5665</v>
      </c>
      <c r="E1069" t="s">
        <v>1386</v>
      </c>
      <c r="F1069">
        <v>8</v>
      </c>
      <c r="G1069">
        <v>32</v>
      </c>
      <c r="H1069">
        <v>184</v>
      </c>
      <c r="I1069">
        <v>15.5</v>
      </c>
      <c r="J1069" s="110">
        <v>1067</v>
      </c>
      <c r="K1069" t="s">
        <v>1505</v>
      </c>
      <c r="L1069">
        <f>IF(Table_TRM_Fixtures[[#This Row],[Technology]]="LED", Table_TRM_Fixtures[[#This Row],[Fixture Watts  (TRM Data)]], Table_TRM_Fixtures[[#This Row],[Lamp Watts  (TRM Data)]])</f>
        <v>32</v>
      </c>
      <c r="M1069">
        <f>Table_TRM_Fixtures[[#This Row],[No. of Lamps  (TRM Data)]]</f>
        <v>8</v>
      </c>
      <c r="N1069">
        <v>48</v>
      </c>
      <c r="O1069" t="s">
        <v>1381</v>
      </c>
      <c r="P1069" t="s">
        <v>187</v>
      </c>
      <c r="Q1069" t="s">
        <v>5614</v>
      </c>
      <c r="R1069" t="str">
        <f>_xlfn.CONCAT(Table_TRM_Fixtures[[#This Row],[Technology]], ", ", Table_TRM_Fixtures[[#This Row],[Ballast Code]], " Ballast")</f>
        <v>T8, Electronic RLO Ballast</v>
      </c>
      <c r="S1069" t="str">
        <f>Table_TRM_Fixtures[[#This Row],[Description  (TRM Data)]]</f>
        <v>Fluorescent (8) 48" T-8 lamps, (2) Prog. Start or PRS Ballasts, RLO (BF &lt; 0.85)</v>
      </c>
      <c r="T1069" t="str">
        <f>Table_TRM_Fixtures[[#This Row],[Fixture code  (TRM Data)]]</f>
        <v>F48GLL/2-R</v>
      </c>
      <c r="U1069" t="s">
        <v>2882</v>
      </c>
      <c r="V1069" t="s">
        <v>186</v>
      </c>
      <c r="W1069" t="s">
        <v>3120</v>
      </c>
      <c r="X1069" t="s">
        <v>186</v>
      </c>
      <c r="Y1069" t="s">
        <v>4815</v>
      </c>
      <c r="Z1069" t="s">
        <v>4815</v>
      </c>
      <c r="AA1069">
        <f>IF(Table_TRM_Fixtures[[#This Row],[Pre-EISA Baseline]]="Nominal", Table_TRM_Fixtures[[#This Row],[Fixture Watts  (TRM Data)]], Table_TRM_Fixtures[[#This Row],[Modified Baseline Fixture Watts]])</f>
        <v>184</v>
      </c>
    </row>
    <row r="1070" spans="1:27" x14ac:dyDescent="0.2">
      <c r="A1070" t="s">
        <v>1889</v>
      </c>
      <c r="B1070" t="s">
        <v>5643</v>
      </c>
      <c r="C1070" t="s">
        <v>1888</v>
      </c>
      <c r="D1070" t="s">
        <v>5666</v>
      </c>
      <c r="E1070" t="s">
        <v>1386</v>
      </c>
      <c r="F1070">
        <v>8</v>
      </c>
      <c r="G1070">
        <v>32</v>
      </c>
      <c r="H1070">
        <v>288</v>
      </c>
      <c r="I1070">
        <v>15.5</v>
      </c>
      <c r="J1070" s="110">
        <v>1068</v>
      </c>
      <c r="K1070" t="s">
        <v>1505</v>
      </c>
      <c r="L1070">
        <f>IF(Table_TRM_Fixtures[[#This Row],[Technology]]="LED", Table_TRM_Fixtures[[#This Row],[Fixture Watts  (TRM Data)]], Table_TRM_Fixtures[[#This Row],[Lamp Watts  (TRM Data)]])</f>
        <v>32</v>
      </c>
      <c r="M1070">
        <f>Table_TRM_Fixtures[[#This Row],[No. of Lamps  (TRM Data)]]</f>
        <v>8</v>
      </c>
      <c r="N1070">
        <v>48</v>
      </c>
      <c r="O1070" t="s">
        <v>1381</v>
      </c>
      <c r="P1070" t="s">
        <v>187</v>
      </c>
      <c r="Q1070" t="s">
        <v>5616</v>
      </c>
      <c r="R1070" t="str">
        <f>_xlfn.CONCAT(Table_TRM_Fixtures[[#This Row],[Technology]], ", ", Table_TRM_Fixtures[[#This Row],[Ballast Code]], " Ballast")</f>
        <v>T8, Electronic VHLO Ballast</v>
      </c>
      <c r="S1070" t="str">
        <f>Table_TRM_Fixtures[[#This Row],[Description  (TRM Data)]]</f>
        <v>Fluorescent (8) 48" T-8 lamps, (2) Prog. Start or PRS Ballasts, VHLO (BF &gt; 1.1)</v>
      </c>
      <c r="T1070" t="str">
        <f>Table_TRM_Fixtures[[#This Row],[Fixture code  (TRM Data)]]</f>
        <v>F48GLL/2-V</v>
      </c>
      <c r="U1070" t="s">
        <v>2882</v>
      </c>
      <c r="V1070" t="s">
        <v>186</v>
      </c>
      <c r="W1070" t="s">
        <v>3120</v>
      </c>
      <c r="X1070" t="s">
        <v>186</v>
      </c>
      <c r="Y1070" t="s">
        <v>4815</v>
      </c>
      <c r="Z1070" t="s">
        <v>4815</v>
      </c>
      <c r="AA1070">
        <f>IF(Table_TRM_Fixtures[[#This Row],[Pre-EISA Baseline]]="Nominal", Table_TRM_Fixtures[[#This Row],[Fixture Watts  (TRM Data)]], Table_TRM_Fixtures[[#This Row],[Modified Baseline Fixture Watts]])</f>
        <v>288</v>
      </c>
    </row>
    <row r="1071" spans="1:27" x14ac:dyDescent="0.2">
      <c r="A1071" t="s">
        <v>1891</v>
      </c>
      <c r="B1071" t="s">
        <v>5643</v>
      </c>
      <c r="C1071" t="s">
        <v>1890</v>
      </c>
      <c r="D1071" t="s">
        <v>5664</v>
      </c>
      <c r="E1071" t="s">
        <v>187</v>
      </c>
      <c r="F1071">
        <v>8</v>
      </c>
      <c r="G1071">
        <v>32</v>
      </c>
      <c r="H1071">
        <v>224</v>
      </c>
      <c r="I1071">
        <v>15.5</v>
      </c>
      <c r="J1071" s="110">
        <v>1069</v>
      </c>
      <c r="K1071" t="s">
        <v>1505</v>
      </c>
      <c r="L1071">
        <f>IF(Table_TRM_Fixtures[[#This Row],[Technology]]="LED", Table_TRM_Fixtures[[#This Row],[Fixture Watts  (TRM Data)]], Table_TRM_Fixtures[[#This Row],[Lamp Watts  (TRM Data)]])</f>
        <v>32</v>
      </c>
      <c r="M1071">
        <f>Table_TRM_Fixtures[[#This Row],[No. of Lamps  (TRM Data)]]</f>
        <v>8</v>
      </c>
      <c r="N1071">
        <v>48</v>
      </c>
      <c r="O1071" t="s">
        <v>1381</v>
      </c>
      <c r="P1071" t="s">
        <v>187</v>
      </c>
      <c r="Q1071" t="s">
        <v>5612</v>
      </c>
      <c r="R1071" t="str">
        <f>_xlfn.CONCAT(Table_TRM_Fixtures[[#This Row],[Technology]], ", ", Table_TRM_Fixtures[[#This Row],[Ballast Code]], " Ballast")</f>
        <v>T8, Electronic STD Ballast</v>
      </c>
      <c r="S1071" t="str">
        <f>Table_TRM_Fixtures[[#This Row],[Description  (TRM Data)]]</f>
        <v>Fluorescent, (8) 48", T-8 lamps, (2) 4-lamp IS Ballasts, NLO (0.85 &lt; BF &lt; 0.95)</v>
      </c>
      <c r="T1071" t="str">
        <f>Table_TRM_Fixtures[[#This Row],[Fixture code  (TRM Data)]]</f>
        <v>F48ILL/2</v>
      </c>
      <c r="U1071" t="s">
        <v>2882</v>
      </c>
      <c r="V1071" t="s">
        <v>186</v>
      </c>
      <c r="W1071" t="s">
        <v>3120</v>
      </c>
      <c r="X1071" t="s">
        <v>186</v>
      </c>
      <c r="Y1071" t="s">
        <v>4815</v>
      </c>
      <c r="Z1071" t="s">
        <v>4815</v>
      </c>
      <c r="AA1071">
        <f>IF(Table_TRM_Fixtures[[#This Row],[Pre-EISA Baseline]]="Nominal", Table_TRM_Fixtures[[#This Row],[Fixture Watts  (TRM Data)]], Table_TRM_Fixtures[[#This Row],[Modified Baseline Fixture Watts]])</f>
        <v>224</v>
      </c>
    </row>
    <row r="1072" spans="1:27" x14ac:dyDescent="0.2">
      <c r="A1072" t="s">
        <v>1893</v>
      </c>
      <c r="B1072" t="s">
        <v>5643</v>
      </c>
      <c r="C1072" t="s">
        <v>1892</v>
      </c>
      <c r="D1072" t="s">
        <v>5665</v>
      </c>
      <c r="E1072" t="s">
        <v>187</v>
      </c>
      <c r="F1072">
        <v>8</v>
      </c>
      <c r="G1072">
        <v>32</v>
      </c>
      <c r="H1072">
        <v>196</v>
      </c>
      <c r="I1072">
        <v>15.5</v>
      </c>
      <c r="J1072" s="110">
        <v>1070</v>
      </c>
      <c r="K1072" t="s">
        <v>1505</v>
      </c>
      <c r="L1072">
        <f>IF(Table_TRM_Fixtures[[#This Row],[Technology]]="LED", Table_TRM_Fixtures[[#This Row],[Fixture Watts  (TRM Data)]], Table_TRM_Fixtures[[#This Row],[Lamp Watts  (TRM Data)]])</f>
        <v>32</v>
      </c>
      <c r="M1072">
        <f>Table_TRM_Fixtures[[#This Row],[No. of Lamps  (TRM Data)]]</f>
        <v>8</v>
      </c>
      <c r="N1072">
        <v>48</v>
      </c>
      <c r="O1072" t="s">
        <v>1381</v>
      </c>
      <c r="P1072" t="s">
        <v>187</v>
      </c>
      <c r="Q1072" t="s">
        <v>5614</v>
      </c>
      <c r="R1072" t="str">
        <f>_xlfn.CONCAT(Table_TRM_Fixtures[[#This Row],[Technology]], ", ", Table_TRM_Fixtures[[#This Row],[Ballast Code]], " Ballast")</f>
        <v>T8, Electronic RLO Ballast</v>
      </c>
      <c r="S1072" t="str">
        <f>Table_TRM_Fixtures[[#This Row],[Description  (TRM Data)]]</f>
        <v>Fluorescent, (8) 48", T-8 lamps, (2) 4-lamp IS Ballasts, RLO (BF &lt; 0.85)</v>
      </c>
      <c r="T1072" t="str">
        <f>Table_TRM_Fixtures[[#This Row],[Fixture code  (TRM Data)]]</f>
        <v>F48ILL/2-R</v>
      </c>
      <c r="U1072" t="s">
        <v>2882</v>
      </c>
      <c r="V1072" t="s">
        <v>186</v>
      </c>
      <c r="W1072" t="s">
        <v>3120</v>
      </c>
      <c r="X1072" t="s">
        <v>186</v>
      </c>
      <c r="Y1072" t="str">
        <f>_xlfn.CONCAT(Table_TRM_Fixtures[[#This Row],[Combined Lighting/Ballast Types]],":",Table_TRM_Fixtures[[#This Row],[No. of Lamps]], ":", Table_TRM_Fixtures[[#This Row],[Lamp Watts  (TRM Data)]])</f>
        <v>T8, Electronic RLO Ballast:8:32</v>
      </c>
      <c r="Z1072" t="s">
        <v>4815</v>
      </c>
      <c r="AA1072">
        <f>IF(Table_TRM_Fixtures[[#This Row],[Pre-EISA Baseline]]="Nominal", Table_TRM_Fixtures[[#This Row],[Fixture Watts  (TRM Data)]], Table_TRM_Fixtures[[#This Row],[Modified Baseline Fixture Watts]])</f>
        <v>196</v>
      </c>
    </row>
    <row r="1073" spans="1:27" x14ac:dyDescent="0.2">
      <c r="A1073" t="s">
        <v>1894</v>
      </c>
      <c r="B1073" t="s">
        <v>5643</v>
      </c>
      <c r="C1073" t="s">
        <v>1890</v>
      </c>
      <c r="D1073" t="s">
        <v>5664</v>
      </c>
      <c r="E1073" t="s">
        <v>187</v>
      </c>
      <c r="F1073">
        <v>8</v>
      </c>
      <c r="G1073">
        <v>32</v>
      </c>
      <c r="H1073">
        <v>214</v>
      </c>
      <c r="I1073">
        <v>15.5</v>
      </c>
      <c r="J1073" s="110">
        <v>1071</v>
      </c>
      <c r="K1073" t="s">
        <v>1505</v>
      </c>
      <c r="L1073">
        <f>IF(Table_TRM_Fixtures[[#This Row],[Technology]]="LED", Table_TRM_Fixtures[[#This Row],[Fixture Watts  (TRM Data)]], Table_TRM_Fixtures[[#This Row],[Lamp Watts  (TRM Data)]])</f>
        <v>32</v>
      </c>
      <c r="M1073">
        <f>Table_TRM_Fixtures[[#This Row],[No. of Lamps  (TRM Data)]]</f>
        <v>8</v>
      </c>
      <c r="N1073">
        <v>48</v>
      </c>
      <c r="O1073" t="s">
        <v>1381</v>
      </c>
      <c r="P1073" t="s">
        <v>187</v>
      </c>
      <c r="Q1073" t="s">
        <v>5612</v>
      </c>
      <c r="R1073" t="str">
        <f>_xlfn.CONCAT(Table_TRM_Fixtures[[#This Row],[Technology]], ", ", Table_TRM_Fixtures[[#This Row],[Ballast Code]], " Ballast")</f>
        <v>T8, Electronic STD Ballast</v>
      </c>
      <c r="S1073" t="str">
        <f>Table_TRM_Fixtures[[#This Row],[Description  (TRM Data)]]</f>
        <v>Fluorescent, (8) 48", T-8 lamps, (2) 4-lamp IS Ballasts, NLO (0.85 &lt; BF &lt; 0.95)</v>
      </c>
      <c r="T1073" t="str">
        <f>Table_TRM_Fixtures[[#This Row],[Fixture code  (TRM Data)]]</f>
        <v>F48ILU/2</v>
      </c>
      <c r="U1073" t="s">
        <v>2882</v>
      </c>
      <c r="V1073" t="s">
        <v>186</v>
      </c>
      <c r="W1073" t="s">
        <v>3120</v>
      </c>
      <c r="X1073" t="s">
        <v>186</v>
      </c>
      <c r="Y1073" t="s">
        <v>4815</v>
      </c>
      <c r="Z1073" t="s">
        <v>4815</v>
      </c>
      <c r="AA1073">
        <f>IF(Table_TRM_Fixtures[[#This Row],[Pre-EISA Baseline]]="Nominal", Table_TRM_Fixtures[[#This Row],[Fixture Watts  (TRM Data)]], Table_TRM_Fixtures[[#This Row],[Modified Baseline Fixture Watts]])</f>
        <v>214</v>
      </c>
    </row>
    <row r="1074" spans="1:27" x14ac:dyDescent="0.2">
      <c r="A1074" t="s">
        <v>1895</v>
      </c>
      <c r="B1074" t="s">
        <v>5643</v>
      </c>
      <c r="C1074" t="s">
        <v>1892</v>
      </c>
      <c r="D1074" t="s">
        <v>5665</v>
      </c>
      <c r="E1074" t="s">
        <v>187</v>
      </c>
      <c r="F1074">
        <v>8</v>
      </c>
      <c r="G1074">
        <v>32</v>
      </c>
      <c r="H1074">
        <v>190</v>
      </c>
      <c r="I1074">
        <v>15.5</v>
      </c>
      <c r="J1074" s="110">
        <v>1072</v>
      </c>
      <c r="K1074" t="s">
        <v>1505</v>
      </c>
      <c r="L1074">
        <f>IF(Table_TRM_Fixtures[[#This Row],[Technology]]="LED", Table_TRM_Fixtures[[#This Row],[Fixture Watts  (TRM Data)]], Table_TRM_Fixtures[[#This Row],[Lamp Watts  (TRM Data)]])</f>
        <v>32</v>
      </c>
      <c r="M1074">
        <f>Table_TRM_Fixtures[[#This Row],[No. of Lamps  (TRM Data)]]</f>
        <v>8</v>
      </c>
      <c r="N1074">
        <v>48</v>
      </c>
      <c r="O1074" t="s">
        <v>1381</v>
      </c>
      <c r="P1074" t="s">
        <v>187</v>
      </c>
      <c r="Q1074" t="s">
        <v>5614</v>
      </c>
      <c r="R1074" t="str">
        <f>_xlfn.CONCAT(Table_TRM_Fixtures[[#This Row],[Technology]], ", ", Table_TRM_Fixtures[[#This Row],[Ballast Code]], " Ballast")</f>
        <v>T8, Electronic RLO Ballast</v>
      </c>
      <c r="S1074" t="str">
        <f>Table_TRM_Fixtures[[#This Row],[Description  (TRM Data)]]</f>
        <v>Fluorescent, (8) 48", T-8 lamps, (2) 4-lamp IS Ballasts, RLO (BF &lt; 0.85)</v>
      </c>
      <c r="T1074" t="str">
        <f>Table_TRM_Fixtures[[#This Row],[Fixture code  (TRM Data)]]</f>
        <v>F48ILU/2-R</v>
      </c>
      <c r="U1074" t="s">
        <v>2882</v>
      </c>
      <c r="V1074" t="s">
        <v>186</v>
      </c>
      <c r="W1074" t="s">
        <v>3120</v>
      </c>
      <c r="X1074" t="s">
        <v>186</v>
      </c>
      <c r="Y1074" t="s">
        <v>4815</v>
      </c>
      <c r="Z1074" t="s">
        <v>4815</v>
      </c>
      <c r="AA1074">
        <f>IF(Table_TRM_Fixtures[[#This Row],[Pre-EISA Baseline]]="Nominal", Table_TRM_Fixtures[[#This Row],[Fixture Watts  (TRM Data)]], Table_TRM_Fixtures[[#This Row],[Modified Baseline Fixture Watts]])</f>
        <v>190</v>
      </c>
    </row>
    <row r="1075" spans="1:27" x14ac:dyDescent="0.2">
      <c r="A1075" t="s">
        <v>1897</v>
      </c>
      <c r="B1075" t="s">
        <v>5643</v>
      </c>
      <c r="C1075" t="s">
        <v>1896</v>
      </c>
      <c r="D1075" t="s">
        <v>5666</v>
      </c>
      <c r="E1075" t="s">
        <v>187</v>
      </c>
      <c r="F1075">
        <v>8</v>
      </c>
      <c r="G1075">
        <v>32</v>
      </c>
      <c r="H1075">
        <v>292</v>
      </c>
      <c r="I1075">
        <v>15.5</v>
      </c>
      <c r="J1075" s="110">
        <v>1073</v>
      </c>
      <c r="K1075" t="s">
        <v>1505</v>
      </c>
      <c r="L1075">
        <f>IF(Table_TRM_Fixtures[[#This Row],[Technology]]="LED", Table_TRM_Fixtures[[#This Row],[Fixture Watts  (TRM Data)]], Table_TRM_Fixtures[[#This Row],[Lamp Watts  (TRM Data)]])</f>
        <v>32</v>
      </c>
      <c r="M1075">
        <f>Table_TRM_Fixtures[[#This Row],[No. of Lamps  (TRM Data)]]</f>
        <v>8</v>
      </c>
      <c r="N1075">
        <v>48</v>
      </c>
      <c r="O1075" t="s">
        <v>1381</v>
      </c>
      <c r="P1075" t="s">
        <v>187</v>
      </c>
      <c r="Q1075" t="s">
        <v>5616</v>
      </c>
      <c r="R1075" t="str">
        <f>_xlfn.CONCAT(Table_TRM_Fixtures[[#This Row],[Technology]], ", ", Table_TRM_Fixtures[[#This Row],[Ballast Code]], " Ballast")</f>
        <v>T8, Electronic VHLO Ballast</v>
      </c>
      <c r="S1075" t="str">
        <f>Table_TRM_Fixtures[[#This Row],[Description  (TRM Data)]]</f>
        <v>Fluorescent, (8) 48", T-8 lamps, (2) 4-lamp IS Ballasts, VHLO (BF &gt; 1.1)</v>
      </c>
      <c r="T1075" t="str">
        <f>Table_TRM_Fixtures[[#This Row],[Fixture code  (TRM Data)]]</f>
        <v>F48ILU/2-V</v>
      </c>
      <c r="U1075" t="s">
        <v>2882</v>
      </c>
      <c r="V1075" t="s">
        <v>186</v>
      </c>
      <c r="W1075" t="s">
        <v>3120</v>
      </c>
      <c r="X1075" t="s">
        <v>186</v>
      </c>
      <c r="Y1075" t="str">
        <f>_xlfn.CONCAT(Table_TRM_Fixtures[[#This Row],[Combined Lighting/Ballast Types]],":",Table_TRM_Fixtures[[#This Row],[No. of Lamps]], ":", Table_TRM_Fixtures[[#This Row],[Lamp Watts  (TRM Data)]])</f>
        <v>T8, Electronic VHLO Ballast:8:32</v>
      </c>
      <c r="Z1075" t="s">
        <v>4815</v>
      </c>
      <c r="AA1075">
        <f>IF(Table_TRM_Fixtures[[#This Row],[Pre-EISA Baseline]]="Nominal", Table_TRM_Fixtures[[#This Row],[Fixture Watts  (TRM Data)]], Table_TRM_Fixtures[[#This Row],[Modified Baseline Fixture Watts]])</f>
        <v>292</v>
      </c>
    </row>
    <row r="1076" spans="1:27" x14ac:dyDescent="0.2">
      <c r="A1076" t="s">
        <v>1899</v>
      </c>
      <c r="B1076" t="s">
        <v>5667</v>
      </c>
      <c r="C1076" t="s">
        <v>1898</v>
      </c>
      <c r="D1076" t="s">
        <v>5668</v>
      </c>
      <c r="E1076" t="s">
        <v>1386</v>
      </c>
      <c r="F1076">
        <v>1</v>
      </c>
      <c r="G1076">
        <v>25</v>
      </c>
      <c r="H1076">
        <v>24</v>
      </c>
      <c r="I1076">
        <v>15.5</v>
      </c>
      <c r="J1076" s="110">
        <v>1074</v>
      </c>
      <c r="K1076" t="s">
        <v>1505</v>
      </c>
      <c r="L1076">
        <f>IF(Table_TRM_Fixtures[[#This Row],[Technology]]="LED", Table_TRM_Fixtures[[#This Row],[Fixture Watts  (TRM Data)]], Table_TRM_Fixtures[[#This Row],[Lamp Watts  (TRM Data)]])</f>
        <v>25</v>
      </c>
      <c r="M1076">
        <f>Table_TRM_Fixtures[[#This Row],[No. of Lamps  (TRM Data)]]</f>
        <v>1</v>
      </c>
      <c r="N1076">
        <v>48</v>
      </c>
      <c r="O1076" t="s">
        <v>1381</v>
      </c>
      <c r="P1076" t="s">
        <v>187</v>
      </c>
      <c r="Q1076" t="s">
        <v>5612</v>
      </c>
      <c r="R1076" t="str">
        <f>_xlfn.CONCAT(Table_TRM_Fixtures[[#This Row],[Technology]], ", ", Table_TRM_Fixtures[[#This Row],[Ballast Code]], " Ballast")</f>
        <v>T8, Electronic STD Ballast</v>
      </c>
      <c r="S1076" t="str">
        <f>Table_TRM_Fixtures[[#This Row],[Description  (TRM Data)]]</f>
        <v>Fluorescent (1) 48" T-8 @ 25W lamp, Prog. Start or PRS Ballast, NLO (0.85 &lt; BF &lt; 0.95)</v>
      </c>
      <c r="T1076" t="str">
        <f>Table_TRM_Fixtures[[#This Row],[Fixture code  (TRM Data)]]</f>
        <v>F41GNLL</v>
      </c>
      <c r="U1076" t="s">
        <v>2882</v>
      </c>
      <c r="V1076" t="s">
        <v>186</v>
      </c>
      <c r="W1076" t="s">
        <v>3120</v>
      </c>
      <c r="X1076" t="s">
        <v>186</v>
      </c>
      <c r="Y1076" t="s">
        <v>4815</v>
      </c>
      <c r="Z1076" t="s">
        <v>4815</v>
      </c>
      <c r="AA1076">
        <f>IF(Table_TRM_Fixtures[[#This Row],[Pre-EISA Baseline]]="Nominal", Table_TRM_Fixtures[[#This Row],[Fixture Watts  (TRM Data)]], Table_TRM_Fixtures[[#This Row],[Modified Baseline Fixture Watts]])</f>
        <v>24</v>
      </c>
    </row>
    <row r="1077" spans="1:27" x14ac:dyDescent="0.2">
      <c r="A1077" t="s">
        <v>1901</v>
      </c>
      <c r="B1077" t="s">
        <v>5667</v>
      </c>
      <c r="C1077" t="s">
        <v>1900</v>
      </c>
      <c r="D1077" t="s">
        <v>5669</v>
      </c>
      <c r="E1077" t="s">
        <v>1386</v>
      </c>
      <c r="F1077">
        <v>1</v>
      </c>
      <c r="G1077">
        <v>25</v>
      </c>
      <c r="H1077">
        <v>21</v>
      </c>
      <c r="I1077">
        <v>15.5</v>
      </c>
      <c r="J1077" s="110">
        <v>1075</v>
      </c>
      <c r="K1077" t="s">
        <v>1505</v>
      </c>
      <c r="L1077">
        <f>IF(Table_TRM_Fixtures[[#This Row],[Technology]]="LED", Table_TRM_Fixtures[[#This Row],[Fixture Watts  (TRM Data)]], Table_TRM_Fixtures[[#This Row],[Lamp Watts  (TRM Data)]])</f>
        <v>25</v>
      </c>
      <c r="M1077">
        <f>Table_TRM_Fixtures[[#This Row],[No. of Lamps  (TRM Data)]]</f>
        <v>1</v>
      </c>
      <c r="N1077">
        <v>48</v>
      </c>
      <c r="O1077" t="s">
        <v>1381</v>
      </c>
      <c r="P1077" t="s">
        <v>187</v>
      </c>
      <c r="Q1077" t="s">
        <v>5614</v>
      </c>
      <c r="R1077" t="str">
        <f>_xlfn.CONCAT(Table_TRM_Fixtures[[#This Row],[Technology]], ", ", Table_TRM_Fixtures[[#This Row],[Ballast Code]], " Ballast")</f>
        <v>T8, Electronic RLO Ballast</v>
      </c>
      <c r="S1077" t="str">
        <f>Table_TRM_Fixtures[[#This Row],[Description  (TRM Data)]]</f>
        <v>Fluorescent (1) 48" T-8 @ 25W lamp, Prog. Start or PRS Ballast, RLO (BF&lt; 0.85)</v>
      </c>
      <c r="T1077" t="str">
        <f>Table_TRM_Fixtures[[#This Row],[Fixture code  (TRM Data)]]</f>
        <v>F41GNLL-R</v>
      </c>
      <c r="U1077" t="s">
        <v>2882</v>
      </c>
      <c r="V1077" t="s">
        <v>186</v>
      </c>
      <c r="W1077" t="s">
        <v>3120</v>
      </c>
      <c r="X1077" t="s">
        <v>186</v>
      </c>
      <c r="Y1077" t="s">
        <v>4815</v>
      </c>
      <c r="Z1077" t="s">
        <v>4815</v>
      </c>
      <c r="AA1077">
        <f>IF(Table_TRM_Fixtures[[#This Row],[Pre-EISA Baseline]]="Nominal", Table_TRM_Fixtures[[#This Row],[Fixture Watts  (TRM Data)]], Table_TRM_Fixtures[[#This Row],[Modified Baseline Fixture Watts]])</f>
        <v>21</v>
      </c>
    </row>
    <row r="1078" spans="1:27" x14ac:dyDescent="0.2">
      <c r="A1078" t="s">
        <v>1903</v>
      </c>
      <c r="B1078" t="s">
        <v>5667</v>
      </c>
      <c r="C1078" t="s">
        <v>1902</v>
      </c>
      <c r="D1078" t="s">
        <v>5668</v>
      </c>
      <c r="E1078" t="s">
        <v>187</v>
      </c>
      <c r="F1078">
        <v>1</v>
      </c>
      <c r="G1078">
        <v>25</v>
      </c>
      <c r="H1078">
        <v>24</v>
      </c>
      <c r="I1078">
        <v>15.5</v>
      </c>
      <c r="J1078" s="110">
        <v>1076</v>
      </c>
      <c r="K1078" t="s">
        <v>1505</v>
      </c>
      <c r="L1078">
        <f>IF(Table_TRM_Fixtures[[#This Row],[Technology]]="LED", Table_TRM_Fixtures[[#This Row],[Fixture Watts  (TRM Data)]], Table_TRM_Fixtures[[#This Row],[Lamp Watts  (TRM Data)]])</f>
        <v>25</v>
      </c>
      <c r="M1078">
        <f>Table_TRM_Fixtures[[#This Row],[No. of Lamps  (TRM Data)]]</f>
        <v>1</v>
      </c>
      <c r="N1078">
        <v>48</v>
      </c>
      <c r="O1078" t="s">
        <v>1381</v>
      </c>
      <c r="P1078" t="s">
        <v>187</v>
      </c>
      <c r="Q1078" t="s">
        <v>5612</v>
      </c>
      <c r="R1078" t="str">
        <f>_xlfn.CONCAT(Table_TRM_Fixtures[[#This Row],[Technology]], ", ", Table_TRM_Fixtures[[#This Row],[Ballast Code]], " Ballast")</f>
        <v>T8, Electronic STD Ballast</v>
      </c>
      <c r="S1078" t="str">
        <f>Table_TRM_Fixtures[[#This Row],[Description  (TRM Data)]]</f>
        <v>Fluorescent, (1) 48", T-8 @ 25W lamps, Instant Start Ballast, NLO (0.85 &lt; BF &lt; 0.95)</v>
      </c>
      <c r="T1078" t="str">
        <f>Table_TRM_Fixtures[[#This Row],[Fixture code  (TRM Data)]]</f>
        <v>F41INLL</v>
      </c>
      <c r="U1078" t="s">
        <v>2882</v>
      </c>
      <c r="V1078" t="s">
        <v>186</v>
      </c>
      <c r="W1078" t="s">
        <v>3120</v>
      </c>
      <c r="X1078" t="s">
        <v>186</v>
      </c>
      <c r="Y1078" t="str">
        <f>_xlfn.CONCAT(Table_TRM_Fixtures[[#This Row],[Combined Lighting/Ballast Types]],":",Table_TRM_Fixtures[[#This Row],[No. of Lamps]], ":", Table_TRM_Fixtures[[#This Row],[Lamp Watts  (TRM Data)]])</f>
        <v>T8, Electronic STD Ballast:1:25</v>
      </c>
      <c r="Z1078"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T8:1:25</v>
      </c>
      <c r="AA1078">
        <f>IF(Table_TRM_Fixtures[[#This Row],[Pre-EISA Baseline]]="Nominal", Table_TRM_Fixtures[[#This Row],[Fixture Watts  (TRM Data)]], Table_TRM_Fixtures[[#This Row],[Modified Baseline Fixture Watts]])</f>
        <v>24</v>
      </c>
    </row>
    <row r="1079" spans="1:27" x14ac:dyDescent="0.2">
      <c r="A1079" t="s">
        <v>1905</v>
      </c>
      <c r="B1079" t="s">
        <v>5667</v>
      </c>
      <c r="C1079" t="s">
        <v>1904</v>
      </c>
      <c r="D1079" t="s">
        <v>5668</v>
      </c>
      <c r="E1079" t="s">
        <v>187</v>
      </c>
      <c r="F1079">
        <v>1</v>
      </c>
      <c r="G1079">
        <v>25</v>
      </c>
      <c r="H1079">
        <v>23</v>
      </c>
      <c r="I1079">
        <v>15.5</v>
      </c>
      <c r="J1079" s="110">
        <v>1077</v>
      </c>
      <c r="K1079" t="s">
        <v>1505</v>
      </c>
      <c r="L1079">
        <f>IF(Table_TRM_Fixtures[[#This Row],[Technology]]="LED", Table_TRM_Fixtures[[#This Row],[Fixture Watts  (TRM Data)]], Table_TRM_Fixtures[[#This Row],[Lamp Watts  (TRM Data)]])</f>
        <v>25</v>
      </c>
      <c r="M1079">
        <f>Table_TRM_Fixtures[[#This Row],[No. of Lamps  (TRM Data)]]</f>
        <v>1</v>
      </c>
      <c r="N1079">
        <v>48</v>
      </c>
      <c r="O1079" t="s">
        <v>1381</v>
      </c>
      <c r="P1079" t="s">
        <v>187</v>
      </c>
      <c r="Q1079" t="s">
        <v>5612</v>
      </c>
      <c r="R1079" t="str">
        <f>_xlfn.CONCAT(Table_TRM_Fixtures[[#This Row],[Technology]], ", ", Table_TRM_Fixtures[[#This Row],[Ballast Code]], " Ballast")</f>
        <v>T8, Electronic STD Ballast</v>
      </c>
      <c r="S1079" t="str">
        <f>Table_TRM_Fixtures[[#This Row],[Description  (TRM Data)]]</f>
        <v>Fluorescent, (1), T-8 @ 25W lamp, Instant Start Ballast, NLO (0.85 &lt; BF &lt; 0.95)</v>
      </c>
      <c r="T1079" t="str">
        <f>Table_TRM_Fixtures[[#This Row],[Fixture code  (TRM Data)]]</f>
        <v>F41INLU</v>
      </c>
      <c r="U1079" t="s">
        <v>2882</v>
      </c>
      <c r="V1079" t="s">
        <v>186</v>
      </c>
      <c r="W1079" t="s">
        <v>3120</v>
      </c>
      <c r="X1079" t="s">
        <v>186</v>
      </c>
      <c r="Y1079" t="s">
        <v>4815</v>
      </c>
      <c r="Z1079" t="s">
        <v>4815</v>
      </c>
      <c r="AA1079">
        <f>IF(Table_TRM_Fixtures[[#This Row],[Pre-EISA Baseline]]="Nominal", Table_TRM_Fixtures[[#This Row],[Fixture Watts  (TRM Data)]], Table_TRM_Fixtures[[#This Row],[Modified Baseline Fixture Watts]])</f>
        <v>23</v>
      </c>
    </row>
    <row r="1080" spans="1:27" x14ac:dyDescent="0.2">
      <c r="A1080" t="s">
        <v>1907</v>
      </c>
      <c r="B1080" t="s">
        <v>5667</v>
      </c>
      <c r="C1080" t="s">
        <v>1906</v>
      </c>
      <c r="D1080" t="s">
        <v>5669</v>
      </c>
      <c r="E1080" t="s">
        <v>187</v>
      </c>
      <c r="F1080">
        <v>1</v>
      </c>
      <c r="G1080">
        <v>25</v>
      </c>
      <c r="H1080">
        <v>21</v>
      </c>
      <c r="I1080">
        <v>15.5</v>
      </c>
      <c r="J1080" s="110">
        <v>1078</v>
      </c>
      <c r="K1080" t="s">
        <v>1505</v>
      </c>
      <c r="L1080">
        <f>IF(Table_TRM_Fixtures[[#This Row],[Technology]]="LED", Table_TRM_Fixtures[[#This Row],[Fixture Watts  (TRM Data)]], Table_TRM_Fixtures[[#This Row],[Lamp Watts  (TRM Data)]])</f>
        <v>25</v>
      </c>
      <c r="M1080">
        <f>Table_TRM_Fixtures[[#This Row],[No. of Lamps  (TRM Data)]]</f>
        <v>1</v>
      </c>
      <c r="N1080">
        <v>48</v>
      </c>
      <c r="O1080" t="s">
        <v>1381</v>
      </c>
      <c r="P1080" t="s">
        <v>187</v>
      </c>
      <c r="Q1080" t="s">
        <v>5614</v>
      </c>
      <c r="R1080" t="str">
        <f>_xlfn.CONCAT(Table_TRM_Fixtures[[#This Row],[Technology]], ", ", Table_TRM_Fixtures[[#This Row],[Ballast Code]], " Ballast")</f>
        <v>T8, Electronic RLO Ballast</v>
      </c>
      <c r="S1080" t="str">
        <f>Table_TRM_Fixtures[[#This Row],[Description  (TRM Data)]]</f>
        <v>Fluorescent, (1), T-8 @ 25W lamp, Instant Start Ballast, RLO (BF&lt; 0.85)</v>
      </c>
      <c r="T1080" t="str">
        <f>Table_TRM_Fixtures[[#This Row],[Fixture code  (TRM Data)]]</f>
        <v>F41INLU-R</v>
      </c>
      <c r="U1080" t="s">
        <v>2882</v>
      </c>
      <c r="V1080" t="s">
        <v>186</v>
      </c>
      <c r="W1080" t="s">
        <v>3120</v>
      </c>
      <c r="X1080" t="s">
        <v>186</v>
      </c>
      <c r="Y1080" t="str">
        <f>_xlfn.CONCAT(Table_TRM_Fixtures[[#This Row],[Combined Lighting/Ballast Types]],":",Table_TRM_Fixtures[[#This Row],[No. of Lamps]], ":", Table_TRM_Fixtures[[#This Row],[Lamp Watts  (TRM Data)]])</f>
        <v>T8, Electronic RLO Ballast:1:25</v>
      </c>
      <c r="Z1080" t="s">
        <v>4815</v>
      </c>
      <c r="AA1080">
        <f>IF(Table_TRM_Fixtures[[#This Row],[Pre-EISA Baseline]]="Nominal", Table_TRM_Fixtures[[#This Row],[Fixture Watts  (TRM Data)]], Table_TRM_Fixtures[[#This Row],[Modified Baseline Fixture Watts]])</f>
        <v>21</v>
      </c>
    </row>
    <row r="1081" spans="1:27" x14ac:dyDescent="0.2">
      <c r="A1081" t="s">
        <v>1909</v>
      </c>
      <c r="B1081" t="s">
        <v>5667</v>
      </c>
      <c r="C1081" t="s">
        <v>1908</v>
      </c>
      <c r="D1081" t="s">
        <v>5670</v>
      </c>
      <c r="E1081" t="s">
        <v>187</v>
      </c>
      <c r="F1081">
        <v>1</v>
      </c>
      <c r="G1081">
        <v>25</v>
      </c>
      <c r="H1081">
        <v>32</v>
      </c>
      <c r="I1081">
        <v>15.5</v>
      </c>
      <c r="J1081" s="110">
        <v>1079</v>
      </c>
      <c r="K1081" t="s">
        <v>1505</v>
      </c>
      <c r="L1081">
        <f>IF(Table_TRM_Fixtures[[#This Row],[Technology]]="LED", Table_TRM_Fixtures[[#This Row],[Fixture Watts  (TRM Data)]], Table_TRM_Fixtures[[#This Row],[Lamp Watts  (TRM Data)]])</f>
        <v>25</v>
      </c>
      <c r="M1081">
        <f>Table_TRM_Fixtures[[#This Row],[No. of Lamps  (TRM Data)]]</f>
        <v>1</v>
      </c>
      <c r="N1081">
        <v>48</v>
      </c>
      <c r="O1081" t="s">
        <v>1381</v>
      </c>
      <c r="P1081" t="s">
        <v>187</v>
      </c>
      <c r="Q1081" t="s">
        <v>5616</v>
      </c>
      <c r="R1081" t="str">
        <f>_xlfn.CONCAT(Table_TRM_Fixtures[[#This Row],[Technology]], ", ", Table_TRM_Fixtures[[#This Row],[Ballast Code]], " Ballast")</f>
        <v>T8, Electronic VHLO Ballast</v>
      </c>
      <c r="S1081" t="str">
        <f>Table_TRM_Fixtures[[#This Row],[Description  (TRM Data)]]</f>
        <v>Fluorescent, (1), T-8 @ 25W lamp, Instant Start Ballast, VHLO (BF &gt; 1.1)</v>
      </c>
      <c r="T1081" t="str">
        <f>Table_TRM_Fixtures[[#This Row],[Fixture code  (TRM Data)]]</f>
        <v>F41INLU-V</v>
      </c>
      <c r="U1081" t="s">
        <v>2882</v>
      </c>
      <c r="V1081" t="s">
        <v>186</v>
      </c>
      <c r="W1081" t="s">
        <v>3120</v>
      </c>
      <c r="X1081" t="s">
        <v>186</v>
      </c>
      <c r="Y1081" t="str">
        <f>_xlfn.CONCAT(Table_TRM_Fixtures[[#This Row],[Combined Lighting/Ballast Types]],":",Table_TRM_Fixtures[[#This Row],[No. of Lamps]], ":", Table_TRM_Fixtures[[#This Row],[Lamp Watts  (TRM Data)]])</f>
        <v>T8, Electronic VHLO Ballast:1:25</v>
      </c>
      <c r="Z1081" t="s">
        <v>4815</v>
      </c>
      <c r="AA1081">
        <f>IF(Table_TRM_Fixtures[[#This Row],[Pre-EISA Baseline]]="Nominal", Table_TRM_Fixtures[[#This Row],[Fixture Watts  (TRM Data)]], Table_TRM_Fixtures[[#This Row],[Modified Baseline Fixture Watts]])</f>
        <v>32</v>
      </c>
    </row>
    <row r="1082" spans="1:27" x14ac:dyDescent="0.2">
      <c r="A1082" t="s">
        <v>1911</v>
      </c>
      <c r="B1082" t="s">
        <v>5667</v>
      </c>
      <c r="C1082" t="s">
        <v>1910</v>
      </c>
      <c r="D1082" t="s">
        <v>5669</v>
      </c>
      <c r="E1082" t="s">
        <v>187</v>
      </c>
      <c r="F1082">
        <v>1</v>
      </c>
      <c r="G1082">
        <v>25</v>
      </c>
      <c r="H1082">
        <v>19</v>
      </c>
      <c r="I1082">
        <v>15.5</v>
      </c>
      <c r="J1082" s="110">
        <v>1080</v>
      </c>
      <c r="K1082" t="s">
        <v>1505</v>
      </c>
      <c r="L1082">
        <f>IF(Table_TRM_Fixtures[[#This Row],[Technology]]="LED", Table_TRM_Fixtures[[#This Row],[Fixture Watts  (TRM Data)]], Table_TRM_Fixtures[[#This Row],[Lamp Watts  (TRM Data)]])</f>
        <v>25</v>
      </c>
      <c r="M1082">
        <f>Table_TRM_Fixtures[[#This Row],[No. of Lamps  (TRM Data)]]</f>
        <v>1</v>
      </c>
      <c r="N1082">
        <v>48</v>
      </c>
      <c r="O1082" t="s">
        <v>1381</v>
      </c>
      <c r="P1082" t="s">
        <v>187</v>
      </c>
      <c r="Q1082" t="s">
        <v>5614</v>
      </c>
      <c r="R1082" t="str">
        <f>_xlfn.CONCAT(Table_TRM_Fixtures[[#This Row],[Technology]], ", ", Table_TRM_Fixtures[[#This Row],[Ballast Code]], " Ballast")</f>
        <v>T8, Electronic RLO Ballast</v>
      </c>
      <c r="S1082" t="str">
        <f>Table_TRM_Fixtures[[#This Row],[Description  (TRM Data)]]</f>
        <v>Fluorescent, (1) 48", T-8 @ 25W lamp, Tandem 3-lamp IS Ballast, RLO (BF&lt; 0.85)</v>
      </c>
      <c r="T1082" t="str">
        <f>Table_TRM_Fixtures[[#This Row],[Fixture code  (TRM Data)]]</f>
        <v>F41INLU/T3-R</v>
      </c>
      <c r="U1082" t="s">
        <v>2882</v>
      </c>
      <c r="V1082" t="s">
        <v>186</v>
      </c>
      <c r="W1082" t="s">
        <v>3120</v>
      </c>
      <c r="X1082" t="s">
        <v>186</v>
      </c>
      <c r="Y1082" t="s">
        <v>4815</v>
      </c>
      <c r="Z1082" t="s">
        <v>4815</v>
      </c>
      <c r="AA1082">
        <f>IF(Table_TRM_Fixtures[[#This Row],[Pre-EISA Baseline]]="Nominal", Table_TRM_Fixtures[[#This Row],[Fixture Watts  (TRM Data)]], Table_TRM_Fixtures[[#This Row],[Modified Baseline Fixture Watts]])</f>
        <v>19</v>
      </c>
    </row>
    <row r="1083" spans="1:27" x14ac:dyDescent="0.2">
      <c r="A1083" t="s">
        <v>1913</v>
      </c>
      <c r="B1083" t="s">
        <v>5667</v>
      </c>
      <c r="C1083" t="s">
        <v>1912</v>
      </c>
      <c r="D1083" t="s">
        <v>5669</v>
      </c>
      <c r="E1083" t="s">
        <v>187</v>
      </c>
      <c r="F1083">
        <v>1</v>
      </c>
      <c r="G1083">
        <v>25</v>
      </c>
      <c r="H1083">
        <v>19</v>
      </c>
      <c r="I1083">
        <v>15.5</v>
      </c>
      <c r="J1083" s="110">
        <v>1081</v>
      </c>
      <c r="K1083" t="s">
        <v>1505</v>
      </c>
      <c r="L1083">
        <f>IF(Table_TRM_Fixtures[[#This Row],[Technology]]="LED", Table_TRM_Fixtures[[#This Row],[Fixture Watts  (TRM Data)]], Table_TRM_Fixtures[[#This Row],[Lamp Watts  (TRM Data)]])</f>
        <v>25</v>
      </c>
      <c r="M1083">
        <f>Table_TRM_Fixtures[[#This Row],[No. of Lamps  (TRM Data)]]</f>
        <v>1</v>
      </c>
      <c r="N1083">
        <v>48</v>
      </c>
      <c r="O1083" t="s">
        <v>1381</v>
      </c>
      <c r="P1083" t="s">
        <v>187</v>
      </c>
      <c r="Q1083" t="s">
        <v>5614</v>
      </c>
      <c r="R1083" t="str">
        <f>_xlfn.CONCAT(Table_TRM_Fixtures[[#This Row],[Technology]], ", ", Table_TRM_Fixtures[[#This Row],[Ballast Code]], " Ballast")</f>
        <v>T8, Electronic RLO Ballast</v>
      </c>
      <c r="S1083" t="str">
        <f>Table_TRM_Fixtures[[#This Row],[Description  (TRM Data)]]</f>
        <v>Fluorescent, (1) 48", T-8 @ 25W lamp, Tandem 4-lamp IS Ballast, RLO (BF&lt; 0.85)</v>
      </c>
      <c r="T1083" t="str">
        <f>Table_TRM_Fixtures[[#This Row],[Fixture code  (TRM Data)]]</f>
        <v>F41INLU/T4-R</v>
      </c>
      <c r="U1083" t="s">
        <v>2882</v>
      </c>
      <c r="V1083" t="s">
        <v>186</v>
      </c>
      <c r="W1083" t="s">
        <v>3120</v>
      </c>
      <c r="X1083" t="s">
        <v>186</v>
      </c>
      <c r="Y1083" t="s">
        <v>4815</v>
      </c>
      <c r="Z1083" t="s">
        <v>4815</v>
      </c>
      <c r="AA1083">
        <f>IF(Table_TRM_Fixtures[[#This Row],[Pre-EISA Baseline]]="Nominal", Table_TRM_Fixtures[[#This Row],[Fixture Watts  (TRM Data)]], Table_TRM_Fixtures[[#This Row],[Modified Baseline Fixture Watts]])</f>
        <v>19</v>
      </c>
    </row>
    <row r="1084" spans="1:27" x14ac:dyDescent="0.2">
      <c r="A1084" t="s">
        <v>1915</v>
      </c>
      <c r="B1084" t="s">
        <v>5667</v>
      </c>
      <c r="C1084" t="s">
        <v>1914</v>
      </c>
      <c r="D1084" t="s">
        <v>5671</v>
      </c>
      <c r="E1084" t="s">
        <v>1386</v>
      </c>
      <c r="F1084">
        <v>2</v>
      </c>
      <c r="G1084">
        <v>25</v>
      </c>
      <c r="H1084">
        <v>44</v>
      </c>
      <c r="I1084">
        <v>15.5</v>
      </c>
      <c r="J1084" s="110">
        <v>1082</v>
      </c>
      <c r="K1084" t="s">
        <v>1505</v>
      </c>
      <c r="L1084">
        <f>IF(Table_TRM_Fixtures[[#This Row],[Technology]]="LED", Table_TRM_Fixtures[[#This Row],[Fixture Watts  (TRM Data)]], Table_TRM_Fixtures[[#This Row],[Lamp Watts  (TRM Data)]])</f>
        <v>25</v>
      </c>
      <c r="M1084">
        <f>Table_TRM_Fixtures[[#This Row],[No. of Lamps  (TRM Data)]]</f>
        <v>2</v>
      </c>
      <c r="N1084">
        <v>48</v>
      </c>
      <c r="O1084" t="s">
        <v>1381</v>
      </c>
      <c r="P1084" t="s">
        <v>187</v>
      </c>
      <c r="Q1084" t="s">
        <v>5612</v>
      </c>
      <c r="R1084" t="str">
        <f>_xlfn.CONCAT(Table_TRM_Fixtures[[#This Row],[Technology]], ", ", Table_TRM_Fixtures[[#This Row],[Ballast Code]], " Ballast")</f>
        <v>T8, Electronic STD Ballast</v>
      </c>
      <c r="S1084" t="str">
        <f>Table_TRM_Fixtures[[#This Row],[Description  (TRM Data)]]</f>
        <v>Fluorescent (2) 48" T-8 @ 25W lamps, Prog. Start or PRS Ballast, NLO (0.85 &lt; BF &lt; 0.95)</v>
      </c>
      <c r="T1084" t="str">
        <f>Table_TRM_Fixtures[[#This Row],[Fixture code  (TRM Data)]]</f>
        <v>F42GNLL</v>
      </c>
      <c r="U1084" t="s">
        <v>2882</v>
      </c>
      <c r="V1084" t="s">
        <v>186</v>
      </c>
      <c r="W1084" t="s">
        <v>3120</v>
      </c>
      <c r="X1084" t="s">
        <v>186</v>
      </c>
      <c r="Y1084" t="s">
        <v>4815</v>
      </c>
      <c r="Z1084" t="s">
        <v>4815</v>
      </c>
      <c r="AA1084">
        <f>IF(Table_TRM_Fixtures[[#This Row],[Pre-EISA Baseline]]="Nominal", Table_TRM_Fixtures[[#This Row],[Fixture Watts  (TRM Data)]], Table_TRM_Fixtures[[#This Row],[Modified Baseline Fixture Watts]])</f>
        <v>44</v>
      </c>
    </row>
    <row r="1085" spans="1:27" x14ac:dyDescent="0.2">
      <c r="A1085" t="s">
        <v>1917</v>
      </c>
      <c r="B1085" t="s">
        <v>5667</v>
      </c>
      <c r="C1085" t="s">
        <v>1916</v>
      </c>
      <c r="D1085" t="s">
        <v>5672</v>
      </c>
      <c r="E1085" t="s">
        <v>1386</v>
      </c>
      <c r="F1085">
        <v>2</v>
      </c>
      <c r="G1085">
        <v>25</v>
      </c>
      <c r="H1085">
        <v>38</v>
      </c>
      <c r="I1085">
        <v>15.5</v>
      </c>
      <c r="J1085" s="110">
        <v>1083</v>
      </c>
      <c r="K1085" t="s">
        <v>1505</v>
      </c>
      <c r="L1085">
        <f>IF(Table_TRM_Fixtures[[#This Row],[Technology]]="LED", Table_TRM_Fixtures[[#This Row],[Fixture Watts  (TRM Data)]], Table_TRM_Fixtures[[#This Row],[Lamp Watts  (TRM Data)]])</f>
        <v>25</v>
      </c>
      <c r="M1085">
        <f>Table_TRM_Fixtures[[#This Row],[No. of Lamps  (TRM Data)]]</f>
        <v>2</v>
      </c>
      <c r="N1085">
        <v>48</v>
      </c>
      <c r="O1085" t="s">
        <v>1381</v>
      </c>
      <c r="P1085" t="s">
        <v>187</v>
      </c>
      <c r="Q1085" t="s">
        <v>5614</v>
      </c>
      <c r="R1085" t="str">
        <f>_xlfn.CONCAT(Table_TRM_Fixtures[[#This Row],[Technology]], ", ", Table_TRM_Fixtures[[#This Row],[Ballast Code]], " Ballast")</f>
        <v>T8, Electronic RLO Ballast</v>
      </c>
      <c r="S1085" t="str">
        <f>Table_TRM_Fixtures[[#This Row],[Description  (TRM Data)]]</f>
        <v>Fluorescent (2) 48" T-8 @ 25W lamps, Prog. Start or PRS Ballast, RLO (BF&lt; 0.85)</v>
      </c>
      <c r="T1085" t="str">
        <f>Table_TRM_Fixtures[[#This Row],[Fixture code  (TRM Data)]]</f>
        <v>F42GNLL-R</v>
      </c>
      <c r="U1085" t="s">
        <v>2882</v>
      </c>
      <c r="V1085" t="s">
        <v>186</v>
      </c>
      <c r="W1085" t="s">
        <v>3120</v>
      </c>
      <c r="X1085" t="s">
        <v>186</v>
      </c>
      <c r="Y1085" t="s">
        <v>4815</v>
      </c>
      <c r="Z1085" t="s">
        <v>4815</v>
      </c>
      <c r="AA1085">
        <f>IF(Table_TRM_Fixtures[[#This Row],[Pre-EISA Baseline]]="Nominal", Table_TRM_Fixtures[[#This Row],[Fixture Watts  (TRM Data)]], Table_TRM_Fixtures[[#This Row],[Modified Baseline Fixture Watts]])</f>
        <v>38</v>
      </c>
    </row>
    <row r="1086" spans="1:27" x14ac:dyDescent="0.2">
      <c r="A1086" t="s">
        <v>1919</v>
      </c>
      <c r="B1086" t="s">
        <v>5667</v>
      </c>
      <c r="C1086" t="s">
        <v>1918</v>
      </c>
      <c r="D1086" t="s">
        <v>5671</v>
      </c>
      <c r="E1086" t="s">
        <v>187</v>
      </c>
      <c r="F1086">
        <v>2</v>
      </c>
      <c r="G1086">
        <v>25</v>
      </c>
      <c r="H1086">
        <v>46</v>
      </c>
      <c r="I1086">
        <v>15.5</v>
      </c>
      <c r="J1086" s="110">
        <v>1084</v>
      </c>
      <c r="K1086" t="s">
        <v>1505</v>
      </c>
      <c r="L1086">
        <f>IF(Table_TRM_Fixtures[[#This Row],[Technology]]="LED", Table_TRM_Fixtures[[#This Row],[Fixture Watts  (TRM Data)]], Table_TRM_Fixtures[[#This Row],[Lamp Watts  (TRM Data)]])</f>
        <v>25</v>
      </c>
      <c r="M1086">
        <f>Table_TRM_Fixtures[[#This Row],[No. of Lamps  (TRM Data)]]</f>
        <v>2</v>
      </c>
      <c r="N1086">
        <v>48</v>
      </c>
      <c r="O1086" t="s">
        <v>1381</v>
      </c>
      <c r="P1086" t="s">
        <v>187</v>
      </c>
      <c r="Q1086" t="s">
        <v>5612</v>
      </c>
      <c r="R1086" t="str">
        <f>_xlfn.CONCAT(Table_TRM_Fixtures[[#This Row],[Technology]], ", ", Table_TRM_Fixtures[[#This Row],[Ballast Code]], " Ballast")</f>
        <v>T8, Electronic STD Ballast</v>
      </c>
      <c r="S1086" t="str">
        <f>Table_TRM_Fixtures[[#This Row],[Description  (TRM Data)]]</f>
        <v>Fluorescent, (2) 48", T-8 @ 25W lamps, Instant Start Ballast, NLO (0.85 &lt; BF &lt; 0.95)</v>
      </c>
      <c r="T1086" t="str">
        <f>Table_TRM_Fixtures[[#This Row],[Fixture code  (TRM Data)]]</f>
        <v>F42INLL</v>
      </c>
      <c r="U1086" t="s">
        <v>2882</v>
      </c>
      <c r="V1086" t="s">
        <v>186</v>
      </c>
      <c r="W1086" t="s">
        <v>3120</v>
      </c>
      <c r="X1086" t="s">
        <v>186</v>
      </c>
      <c r="Y1086" t="str">
        <f>_xlfn.CONCAT(Table_TRM_Fixtures[[#This Row],[Combined Lighting/Ballast Types]],":",Table_TRM_Fixtures[[#This Row],[No. of Lamps]], ":", Table_TRM_Fixtures[[#This Row],[Lamp Watts  (TRM Data)]])</f>
        <v>T8, Electronic STD Ballast:2:25</v>
      </c>
      <c r="Z1086"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T8:2:25</v>
      </c>
      <c r="AA1086">
        <f>IF(Table_TRM_Fixtures[[#This Row],[Pre-EISA Baseline]]="Nominal", Table_TRM_Fixtures[[#This Row],[Fixture Watts  (TRM Data)]], Table_TRM_Fixtures[[#This Row],[Modified Baseline Fixture Watts]])</f>
        <v>46</v>
      </c>
    </row>
    <row r="1087" spans="1:27" x14ac:dyDescent="0.2">
      <c r="A1087" t="s">
        <v>1921</v>
      </c>
      <c r="B1087" t="s">
        <v>5667</v>
      </c>
      <c r="C1087" t="s">
        <v>1920</v>
      </c>
      <c r="D1087" t="s">
        <v>5673</v>
      </c>
      <c r="E1087" t="s">
        <v>187</v>
      </c>
      <c r="F1087">
        <v>2</v>
      </c>
      <c r="G1087">
        <v>25</v>
      </c>
      <c r="H1087">
        <v>65</v>
      </c>
      <c r="I1087">
        <v>15.5</v>
      </c>
      <c r="J1087" s="110">
        <v>1085</v>
      </c>
      <c r="K1087" t="s">
        <v>1505</v>
      </c>
      <c r="L1087">
        <f>IF(Table_TRM_Fixtures[[#This Row],[Technology]]="LED", Table_TRM_Fixtures[[#This Row],[Fixture Watts  (TRM Data)]], Table_TRM_Fixtures[[#This Row],[Lamp Watts  (TRM Data)]])</f>
        <v>25</v>
      </c>
      <c r="M1087">
        <f>Table_TRM_Fixtures[[#This Row],[No. of Lamps  (TRM Data)]]</f>
        <v>2</v>
      </c>
      <c r="N1087">
        <v>48</v>
      </c>
      <c r="O1087" t="s">
        <v>1381</v>
      </c>
      <c r="P1087" t="s">
        <v>187</v>
      </c>
      <c r="Q1087" t="s">
        <v>5616</v>
      </c>
      <c r="R1087" t="str">
        <f>_xlfn.CONCAT(Table_TRM_Fixtures[[#This Row],[Technology]], ", ", Table_TRM_Fixtures[[#This Row],[Ballast Code]], " Ballast")</f>
        <v>T8, Electronic VHLO Ballast</v>
      </c>
      <c r="S1087" t="str">
        <f>Table_TRM_Fixtures[[#This Row],[Description  (TRM Data)]]</f>
        <v>Fluorescent, (2) 48" T-8 @ 25W lamps, Instant Start Ballast, VHLO (BF &gt; 1.1)</v>
      </c>
      <c r="T1087" t="str">
        <f>Table_TRM_Fixtures[[#This Row],[Fixture code  (TRM Data)]]</f>
        <v>F42INLL-V</v>
      </c>
      <c r="U1087" t="s">
        <v>2882</v>
      </c>
      <c r="V1087" t="s">
        <v>186</v>
      </c>
      <c r="W1087" t="s">
        <v>3120</v>
      </c>
      <c r="X1087" t="s">
        <v>186</v>
      </c>
      <c r="Y1087" t="str">
        <f>_xlfn.CONCAT(Table_TRM_Fixtures[[#This Row],[Combined Lighting/Ballast Types]],":",Table_TRM_Fixtures[[#This Row],[No. of Lamps]], ":", Table_TRM_Fixtures[[#This Row],[Lamp Watts  (TRM Data)]])</f>
        <v>T8, Electronic VHLO Ballast:2:25</v>
      </c>
      <c r="Z1087" t="s">
        <v>4815</v>
      </c>
      <c r="AA1087">
        <f>IF(Table_TRM_Fixtures[[#This Row],[Pre-EISA Baseline]]="Nominal", Table_TRM_Fixtures[[#This Row],[Fixture Watts  (TRM Data)]], Table_TRM_Fixtures[[#This Row],[Modified Baseline Fixture Watts]])</f>
        <v>65</v>
      </c>
    </row>
    <row r="1088" spans="1:27" x14ac:dyDescent="0.2">
      <c r="A1088" t="s">
        <v>1923</v>
      </c>
      <c r="B1088" t="s">
        <v>5667</v>
      </c>
      <c r="C1088" t="s">
        <v>1922</v>
      </c>
      <c r="D1088" t="s">
        <v>5671</v>
      </c>
      <c r="E1088" t="s">
        <v>187</v>
      </c>
      <c r="F1088">
        <v>2</v>
      </c>
      <c r="G1088">
        <v>25</v>
      </c>
      <c r="H1088">
        <v>43</v>
      </c>
      <c r="I1088">
        <v>15.5</v>
      </c>
      <c r="J1088" s="110">
        <v>1086</v>
      </c>
      <c r="K1088" t="s">
        <v>1505</v>
      </c>
      <c r="L1088">
        <f>IF(Table_TRM_Fixtures[[#This Row],[Technology]]="LED", Table_TRM_Fixtures[[#This Row],[Fixture Watts  (TRM Data)]], Table_TRM_Fixtures[[#This Row],[Lamp Watts  (TRM Data)]])</f>
        <v>25</v>
      </c>
      <c r="M1088">
        <f>Table_TRM_Fixtures[[#This Row],[No. of Lamps  (TRM Data)]]</f>
        <v>2</v>
      </c>
      <c r="N1088">
        <v>48</v>
      </c>
      <c r="O1088" t="s">
        <v>1381</v>
      </c>
      <c r="P1088" t="s">
        <v>187</v>
      </c>
      <c r="Q1088" t="s">
        <v>5612</v>
      </c>
      <c r="R1088" t="str">
        <f>_xlfn.CONCAT(Table_TRM_Fixtures[[#This Row],[Technology]], ", ", Table_TRM_Fixtures[[#This Row],[Ballast Code]], " Ballast")</f>
        <v>T8, Electronic STD Ballast</v>
      </c>
      <c r="S1088" t="str">
        <f>Table_TRM_Fixtures[[#This Row],[Description  (TRM Data)]]</f>
        <v>Fluorescent, (2), T-8 @ 25W lamps, Instant Start Ballast, NLO (0.85 &lt; BF &lt; 0.95)</v>
      </c>
      <c r="T1088" t="str">
        <f>Table_TRM_Fixtures[[#This Row],[Fixture code  (TRM Data)]]</f>
        <v>F42INLU</v>
      </c>
      <c r="U1088" t="s">
        <v>2882</v>
      </c>
      <c r="V1088" t="s">
        <v>186</v>
      </c>
      <c r="W1088" t="s">
        <v>3120</v>
      </c>
      <c r="X1088" t="s">
        <v>186</v>
      </c>
      <c r="Y1088" t="s">
        <v>4815</v>
      </c>
      <c r="Z1088" t="s">
        <v>4815</v>
      </c>
      <c r="AA1088">
        <f>IF(Table_TRM_Fixtures[[#This Row],[Pre-EISA Baseline]]="Nominal", Table_TRM_Fixtures[[#This Row],[Fixture Watts  (TRM Data)]], Table_TRM_Fixtures[[#This Row],[Modified Baseline Fixture Watts]])</f>
        <v>43</v>
      </c>
    </row>
    <row r="1089" spans="1:27" x14ac:dyDescent="0.2">
      <c r="A1089" t="s">
        <v>1925</v>
      </c>
      <c r="B1089" t="s">
        <v>5667</v>
      </c>
      <c r="C1089" t="s">
        <v>1924</v>
      </c>
      <c r="D1089" t="s">
        <v>5672</v>
      </c>
      <c r="E1089" t="s">
        <v>187</v>
      </c>
      <c r="F1089">
        <v>2</v>
      </c>
      <c r="G1089">
        <v>25</v>
      </c>
      <c r="H1089">
        <v>38</v>
      </c>
      <c r="I1089">
        <v>15.5</v>
      </c>
      <c r="J1089" s="110">
        <v>1087</v>
      </c>
      <c r="K1089" t="s">
        <v>1505</v>
      </c>
      <c r="L1089">
        <f>IF(Table_TRM_Fixtures[[#This Row],[Technology]]="LED", Table_TRM_Fixtures[[#This Row],[Fixture Watts  (TRM Data)]], Table_TRM_Fixtures[[#This Row],[Lamp Watts  (TRM Data)]])</f>
        <v>25</v>
      </c>
      <c r="M1089">
        <f>Table_TRM_Fixtures[[#This Row],[No. of Lamps  (TRM Data)]]</f>
        <v>2</v>
      </c>
      <c r="N1089">
        <v>48</v>
      </c>
      <c r="O1089" t="s">
        <v>1381</v>
      </c>
      <c r="P1089" t="s">
        <v>187</v>
      </c>
      <c r="Q1089" t="s">
        <v>5614</v>
      </c>
      <c r="R1089" t="str">
        <f>_xlfn.CONCAT(Table_TRM_Fixtures[[#This Row],[Technology]], ", ", Table_TRM_Fixtures[[#This Row],[Ballast Code]], " Ballast")</f>
        <v>T8, Electronic RLO Ballast</v>
      </c>
      <c r="S1089" t="str">
        <f>Table_TRM_Fixtures[[#This Row],[Description  (TRM Data)]]</f>
        <v>Fluorescent (2) 48" T8 @ 25W lamps, Instant Start Ballast, RLO (BF&lt; 0.85)</v>
      </c>
      <c r="T1089" t="str">
        <f>Table_TRM_Fixtures[[#This Row],[Fixture code  (TRM Data)]]</f>
        <v>F42INLU-R</v>
      </c>
      <c r="U1089" t="s">
        <v>2882</v>
      </c>
      <c r="V1089" t="s">
        <v>186</v>
      </c>
      <c r="W1089" t="s">
        <v>3120</v>
      </c>
      <c r="X1089" t="s">
        <v>186</v>
      </c>
      <c r="Y1089" t="str">
        <f>_xlfn.CONCAT(Table_TRM_Fixtures[[#This Row],[Combined Lighting/Ballast Types]],":",Table_TRM_Fixtures[[#This Row],[No. of Lamps]], ":", Table_TRM_Fixtures[[#This Row],[Lamp Watts  (TRM Data)]])</f>
        <v>T8, Electronic RLO Ballast:2:25</v>
      </c>
      <c r="Z1089" t="s">
        <v>4815</v>
      </c>
      <c r="AA1089">
        <f>IF(Table_TRM_Fixtures[[#This Row],[Pre-EISA Baseline]]="Nominal", Table_TRM_Fixtures[[#This Row],[Fixture Watts  (TRM Data)]], Table_TRM_Fixtures[[#This Row],[Modified Baseline Fixture Watts]])</f>
        <v>38</v>
      </c>
    </row>
    <row r="1090" spans="1:27" x14ac:dyDescent="0.2">
      <c r="A1090" t="s">
        <v>1927</v>
      </c>
      <c r="B1090" t="s">
        <v>5667</v>
      </c>
      <c r="C1090" t="s">
        <v>1926</v>
      </c>
      <c r="D1090" t="s">
        <v>5673</v>
      </c>
      <c r="E1090" t="s">
        <v>187</v>
      </c>
      <c r="F1090">
        <v>2</v>
      </c>
      <c r="G1090">
        <v>25</v>
      </c>
      <c r="H1090">
        <v>60</v>
      </c>
      <c r="I1090">
        <v>15.5</v>
      </c>
      <c r="J1090" s="110">
        <v>1088</v>
      </c>
      <c r="K1090" t="s">
        <v>1505</v>
      </c>
      <c r="L1090">
        <f>IF(Table_TRM_Fixtures[[#This Row],[Technology]]="LED", Table_TRM_Fixtures[[#This Row],[Fixture Watts  (TRM Data)]], Table_TRM_Fixtures[[#This Row],[Lamp Watts  (TRM Data)]])</f>
        <v>25</v>
      </c>
      <c r="M1090">
        <f>Table_TRM_Fixtures[[#This Row],[No. of Lamps  (TRM Data)]]</f>
        <v>2</v>
      </c>
      <c r="N1090">
        <v>48</v>
      </c>
      <c r="O1090" t="s">
        <v>1381</v>
      </c>
      <c r="P1090" t="s">
        <v>187</v>
      </c>
      <c r="Q1090" t="s">
        <v>5616</v>
      </c>
      <c r="R1090" t="str">
        <f>_xlfn.CONCAT(Table_TRM_Fixtures[[#This Row],[Technology]], ", ", Table_TRM_Fixtures[[#This Row],[Ballast Code]], " Ballast")</f>
        <v>T8, Electronic VHLO Ballast</v>
      </c>
      <c r="S1090" t="str">
        <f>Table_TRM_Fixtures[[#This Row],[Description  (TRM Data)]]</f>
        <v>Fluorescent, (2) 48", T-8 @ 25W lamps, Instant Start Ballast, VHLO (BF &gt; 1.1)</v>
      </c>
      <c r="T1090" t="str">
        <f>Table_TRM_Fixtures[[#This Row],[Fixture code  (TRM Data)]]</f>
        <v>F42INLU-V</v>
      </c>
      <c r="U1090" t="s">
        <v>2882</v>
      </c>
      <c r="V1090" t="s">
        <v>186</v>
      </c>
      <c r="W1090" t="s">
        <v>3120</v>
      </c>
      <c r="X1090" t="s">
        <v>186</v>
      </c>
      <c r="Y1090" t="s">
        <v>4815</v>
      </c>
      <c r="Z1090" t="s">
        <v>4815</v>
      </c>
      <c r="AA1090">
        <f>IF(Table_TRM_Fixtures[[#This Row],[Pre-EISA Baseline]]="Nominal", Table_TRM_Fixtures[[#This Row],[Fixture Watts  (TRM Data)]], Table_TRM_Fixtures[[#This Row],[Modified Baseline Fixture Watts]])</f>
        <v>60</v>
      </c>
    </row>
    <row r="1091" spans="1:27" x14ac:dyDescent="0.2">
      <c r="A1091" t="s">
        <v>1929</v>
      </c>
      <c r="B1091" t="s">
        <v>5667</v>
      </c>
      <c r="C1091" t="s">
        <v>1928</v>
      </c>
      <c r="D1091" t="s">
        <v>5672</v>
      </c>
      <c r="E1091" t="s">
        <v>187</v>
      </c>
      <c r="F1091">
        <v>2</v>
      </c>
      <c r="G1091">
        <v>25</v>
      </c>
      <c r="H1091">
        <v>38</v>
      </c>
      <c r="I1091">
        <v>15.5</v>
      </c>
      <c r="J1091" s="110">
        <v>1089</v>
      </c>
      <c r="K1091" t="s">
        <v>1505</v>
      </c>
      <c r="L1091">
        <f>IF(Table_TRM_Fixtures[[#This Row],[Technology]]="LED", Table_TRM_Fixtures[[#This Row],[Fixture Watts  (TRM Data)]], Table_TRM_Fixtures[[#This Row],[Lamp Watts  (TRM Data)]])</f>
        <v>25</v>
      </c>
      <c r="M1091">
        <f>Table_TRM_Fixtures[[#This Row],[No. of Lamps  (TRM Data)]]</f>
        <v>2</v>
      </c>
      <c r="N1091">
        <v>48</v>
      </c>
      <c r="O1091" t="s">
        <v>1381</v>
      </c>
      <c r="P1091" t="s">
        <v>187</v>
      </c>
      <c r="Q1091" t="s">
        <v>5614</v>
      </c>
      <c r="R1091" t="str">
        <f>_xlfn.CONCAT(Table_TRM_Fixtures[[#This Row],[Technology]], ", ", Table_TRM_Fixtures[[#This Row],[Ballast Code]], " Ballast")</f>
        <v>T8, Electronic RLO Ballast</v>
      </c>
      <c r="S1091" t="str">
        <f>Table_TRM_Fixtures[[#This Row],[Description  (TRM Data)]]</f>
        <v>Fluorescent, (2) 48", T-8 @ 25W lamps, Tandem 4-lamp IS Ballast, RLO (BF&lt; 0.85)</v>
      </c>
      <c r="T1091" t="str">
        <f>Table_TRM_Fixtures[[#This Row],[Fixture code  (TRM Data)]]</f>
        <v>F42INLU/T4-R</v>
      </c>
      <c r="U1091" t="s">
        <v>2882</v>
      </c>
      <c r="V1091" t="s">
        <v>186</v>
      </c>
      <c r="W1091" t="s">
        <v>3120</v>
      </c>
      <c r="X1091" t="s">
        <v>186</v>
      </c>
      <c r="Y1091" t="s">
        <v>4815</v>
      </c>
      <c r="Z1091" t="s">
        <v>4815</v>
      </c>
      <c r="AA1091">
        <f>IF(Table_TRM_Fixtures[[#This Row],[Pre-EISA Baseline]]="Nominal", Table_TRM_Fixtures[[#This Row],[Fixture Watts  (TRM Data)]], Table_TRM_Fixtures[[#This Row],[Modified Baseline Fixture Watts]])</f>
        <v>38</v>
      </c>
    </row>
    <row r="1092" spans="1:27" x14ac:dyDescent="0.2">
      <c r="A1092" t="s">
        <v>1931</v>
      </c>
      <c r="B1092" t="s">
        <v>5667</v>
      </c>
      <c r="C1092" t="s">
        <v>1930</v>
      </c>
      <c r="D1092" t="s">
        <v>5674</v>
      </c>
      <c r="E1092" t="s">
        <v>1386</v>
      </c>
      <c r="F1092">
        <v>3</v>
      </c>
      <c r="G1092">
        <v>25</v>
      </c>
      <c r="H1092">
        <v>66</v>
      </c>
      <c r="I1092">
        <v>15.5</v>
      </c>
      <c r="J1092" s="110">
        <v>1090</v>
      </c>
      <c r="K1092" t="s">
        <v>1505</v>
      </c>
      <c r="L1092">
        <f>IF(Table_TRM_Fixtures[[#This Row],[Technology]]="LED", Table_TRM_Fixtures[[#This Row],[Fixture Watts  (TRM Data)]], Table_TRM_Fixtures[[#This Row],[Lamp Watts  (TRM Data)]])</f>
        <v>25</v>
      </c>
      <c r="M1092">
        <f>Table_TRM_Fixtures[[#This Row],[No. of Lamps  (TRM Data)]]</f>
        <v>3</v>
      </c>
      <c r="N1092">
        <v>48</v>
      </c>
      <c r="O1092" t="s">
        <v>1381</v>
      </c>
      <c r="P1092" t="s">
        <v>187</v>
      </c>
      <c r="Q1092" t="s">
        <v>5612</v>
      </c>
      <c r="R1092" t="str">
        <f>_xlfn.CONCAT(Table_TRM_Fixtures[[#This Row],[Technology]], ", ", Table_TRM_Fixtures[[#This Row],[Ballast Code]], " Ballast")</f>
        <v>T8, Electronic STD Ballast</v>
      </c>
      <c r="S1092" t="str">
        <f>Table_TRM_Fixtures[[#This Row],[Description  (TRM Data)]]</f>
        <v>Fluorescent (3) 48" T-8 @ 25W lamps, Prog. Start or PRS Ballast, NLO (0.85 &lt; BF &lt; 0.95)</v>
      </c>
      <c r="T1092" t="str">
        <f>Table_TRM_Fixtures[[#This Row],[Fixture code  (TRM Data)]]</f>
        <v>F43GNLL</v>
      </c>
      <c r="U1092" t="s">
        <v>2882</v>
      </c>
      <c r="V1092" t="s">
        <v>186</v>
      </c>
      <c r="W1092" t="s">
        <v>3120</v>
      </c>
      <c r="X1092" t="s">
        <v>186</v>
      </c>
      <c r="Y1092" t="s">
        <v>4815</v>
      </c>
      <c r="Z1092" t="s">
        <v>4815</v>
      </c>
      <c r="AA1092">
        <f>IF(Table_TRM_Fixtures[[#This Row],[Pre-EISA Baseline]]="Nominal", Table_TRM_Fixtures[[#This Row],[Fixture Watts  (TRM Data)]], Table_TRM_Fixtures[[#This Row],[Modified Baseline Fixture Watts]])</f>
        <v>66</v>
      </c>
    </row>
    <row r="1093" spans="1:27" x14ac:dyDescent="0.2">
      <c r="A1093" t="s">
        <v>1933</v>
      </c>
      <c r="B1093" t="s">
        <v>5667</v>
      </c>
      <c r="C1093" t="s">
        <v>1932</v>
      </c>
      <c r="D1093" t="s">
        <v>5675</v>
      </c>
      <c r="E1093" t="s">
        <v>1386</v>
      </c>
      <c r="F1093">
        <v>3</v>
      </c>
      <c r="G1093">
        <v>25</v>
      </c>
      <c r="H1093">
        <v>56</v>
      </c>
      <c r="I1093">
        <v>15.5</v>
      </c>
      <c r="J1093" s="110">
        <v>1091</v>
      </c>
      <c r="K1093" t="s">
        <v>1505</v>
      </c>
      <c r="L1093">
        <f>IF(Table_TRM_Fixtures[[#This Row],[Technology]]="LED", Table_TRM_Fixtures[[#This Row],[Fixture Watts  (TRM Data)]], Table_TRM_Fixtures[[#This Row],[Lamp Watts  (TRM Data)]])</f>
        <v>25</v>
      </c>
      <c r="M1093">
        <f>Table_TRM_Fixtures[[#This Row],[No. of Lamps  (TRM Data)]]</f>
        <v>3</v>
      </c>
      <c r="N1093">
        <v>48</v>
      </c>
      <c r="O1093" t="s">
        <v>1381</v>
      </c>
      <c r="P1093" t="s">
        <v>187</v>
      </c>
      <c r="Q1093" t="s">
        <v>5614</v>
      </c>
      <c r="R1093" t="str">
        <f>_xlfn.CONCAT(Table_TRM_Fixtures[[#This Row],[Technology]], ", ", Table_TRM_Fixtures[[#This Row],[Ballast Code]], " Ballast")</f>
        <v>T8, Electronic RLO Ballast</v>
      </c>
      <c r="S1093" t="str">
        <f>Table_TRM_Fixtures[[#This Row],[Description  (TRM Data)]]</f>
        <v>Fluorescent, (3) 48" T-8 @ 25W lamps, Prog. Start or PRS Ballast, RLO (BF &lt; 0.85)</v>
      </c>
      <c r="T1093" t="str">
        <f>Table_TRM_Fixtures[[#This Row],[Fixture code  (TRM Data)]]</f>
        <v>F43GNLL-R</v>
      </c>
      <c r="U1093" t="s">
        <v>2882</v>
      </c>
      <c r="V1093" t="s">
        <v>186</v>
      </c>
      <c r="W1093" t="s">
        <v>3120</v>
      </c>
      <c r="X1093" t="s">
        <v>186</v>
      </c>
      <c r="Y1093" t="s">
        <v>4815</v>
      </c>
      <c r="Z1093" t="s">
        <v>4815</v>
      </c>
      <c r="AA1093">
        <f>IF(Table_TRM_Fixtures[[#This Row],[Pre-EISA Baseline]]="Nominal", Table_TRM_Fixtures[[#This Row],[Fixture Watts  (TRM Data)]], Table_TRM_Fixtures[[#This Row],[Modified Baseline Fixture Watts]])</f>
        <v>56</v>
      </c>
    </row>
    <row r="1094" spans="1:27" x14ac:dyDescent="0.2">
      <c r="A1094" t="s">
        <v>1935</v>
      </c>
      <c r="B1094" t="s">
        <v>5667</v>
      </c>
      <c r="C1094" t="s">
        <v>1934</v>
      </c>
      <c r="D1094" t="s">
        <v>5674</v>
      </c>
      <c r="E1094" t="s">
        <v>187</v>
      </c>
      <c r="F1094">
        <v>3</v>
      </c>
      <c r="G1094">
        <v>25</v>
      </c>
      <c r="H1094">
        <v>66</v>
      </c>
      <c r="I1094">
        <v>15.5</v>
      </c>
      <c r="J1094" s="110">
        <v>1092</v>
      </c>
      <c r="K1094" t="s">
        <v>1505</v>
      </c>
      <c r="L1094">
        <f>IF(Table_TRM_Fixtures[[#This Row],[Technology]]="LED", Table_TRM_Fixtures[[#This Row],[Fixture Watts  (TRM Data)]], Table_TRM_Fixtures[[#This Row],[Lamp Watts  (TRM Data)]])</f>
        <v>25</v>
      </c>
      <c r="M1094">
        <f>Table_TRM_Fixtures[[#This Row],[No. of Lamps  (TRM Data)]]</f>
        <v>3</v>
      </c>
      <c r="N1094">
        <v>48</v>
      </c>
      <c r="O1094" t="s">
        <v>1381</v>
      </c>
      <c r="P1094" t="s">
        <v>187</v>
      </c>
      <c r="Q1094" t="s">
        <v>5612</v>
      </c>
      <c r="R1094" t="str">
        <f>_xlfn.CONCAT(Table_TRM_Fixtures[[#This Row],[Technology]], ", ", Table_TRM_Fixtures[[#This Row],[Ballast Code]], " Ballast")</f>
        <v>T8, Electronic STD Ballast</v>
      </c>
      <c r="S1094" t="str">
        <f>Table_TRM_Fixtures[[#This Row],[Description  (TRM Data)]]</f>
        <v>Fluorescent, (3) 48" T-8 @ 25W lamps, Instant Start Ballast, NLO (0.85 &lt; BF &lt; 0.95)</v>
      </c>
      <c r="T1094" t="str">
        <f>Table_TRM_Fixtures[[#This Row],[Fixture code  (TRM Data)]]</f>
        <v>F43INLL</v>
      </c>
      <c r="U1094" t="s">
        <v>2882</v>
      </c>
      <c r="V1094" t="s">
        <v>186</v>
      </c>
      <c r="W1094" t="s">
        <v>3120</v>
      </c>
      <c r="X1094" t="s">
        <v>186</v>
      </c>
      <c r="Y1094" t="str">
        <f>_xlfn.CONCAT(Table_TRM_Fixtures[[#This Row],[Combined Lighting/Ballast Types]],":",Table_TRM_Fixtures[[#This Row],[No. of Lamps]], ":", Table_TRM_Fixtures[[#This Row],[Lamp Watts  (TRM Data)]])</f>
        <v>T8, Electronic STD Ballast:3:25</v>
      </c>
      <c r="Z1094"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T8:3:25</v>
      </c>
      <c r="AA1094">
        <f>IF(Table_TRM_Fixtures[[#This Row],[Pre-EISA Baseline]]="Nominal", Table_TRM_Fixtures[[#This Row],[Fixture Watts  (TRM Data)]], Table_TRM_Fixtures[[#This Row],[Modified Baseline Fixture Watts]])</f>
        <v>66</v>
      </c>
    </row>
    <row r="1095" spans="1:27" x14ac:dyDescent="0.2">
      <c r="A1095" t="s">
        <v>1937</v>
      </c>
      <c r="B1095" t="s">
        <v>5667</v>
      </c>
      <c r="C1095" t="s">
        <v>1936</v>
      </c>
      <c r="D1095" t="s">
        <v>5676</v>
      </c>
      <c r="E1095" t="s">
        <v>187</v>
      </c>
      <c r="F1095">
        <v>3</v>
      </c>
      <c r="G1095">
        <v>25</v>
      </c>
      <c r="H1095">
        <v>95</v>
      </c>
      <c r="I1095">
        <v>15.5</v>
      </c>
      <c r="J1095" s="110">
        <v>1093</v>
      </c>
      <c r="K1095" t="s">
        <v>1505</v>
      </c>
      <c r="L1095">
        <f>IF(Table_TRM_Fixtures[[#This Row],[Technology]]="LED", Table_TRM_Fixtures[[#This Row],[Fixture Watts  (TRM Data)]], Table_TRM_Fixtures[[#This Row],[Lamp Watts  (TRM Data)]])</f>
        <v>25</v>
      </c>
      <c r="M1095">
        <f>Table_TRM_Fixtures[[#This Row],[No. of Lamps  (TRM Data)]]</f>
        <v>3</v>
      </c>
      <c r="N1095">
        <v>48</v>
      </c>
      <c r="O1095" t="s">
        <v>1381</v>
      </c>
      <c r="P1095" t="s">
        <v>187</v>
      </c>
      <c r="Q1095" t="s">
        <v>5616</v>
      </c>
      <c r="R1095" t="str">
        <f>_xlfn.CONCAT(Table_TRM_Fixtures[[#This Row],[Technology]], ", ", Table_TRM_Fixtures[[#This Row],[Ballast Code]], " Ballast")</f>
        <v>T8, Electronic VHLO Ballast</v>
      </c>
      <c r="S1095" t="str">
        <f>Table_TRM_Fixtures[[#This Row],[Description  (TRM Data)]]</f>
        <v>Fluorescent, (3) 48" T-8 @ 25W lamps, Instant Start Ballast, VHLO (BF &gt; 1.1)</v>
      </c>
      <c r="T1095" t="str">
        <f>Table_TRM_Fixtures[[#This Row],[Fixture code  (TRM Data)]]</f>
        <v>F43INLL-V</v>
      </c>
      <c r="U1095" t="s">
        <v>2882</v>
      </c>
      <c r="V1095" t="s">
        <v>186</v>
      </c>
      <c r="W1095" t="s">
        <v>3120</v>
      </c>
      <c r="X1095" t="s">
        <v>186</v>
      </c>
      <c r="Y1095" t="str">
        <f>_xlfn.CONCAT(Table_TRM_Fixtures[[#This Row],[Combined Lighting/Ballast Types]],":",Table_TRM_Fixtures[[#This Row],[No. of Lamps]], ":", Table_TRM_Fixtures[[#This Row],[Lamp Watts  (TRM Data)]])</f>
        <v>T8, Electronic VHLO Ballast:3:25</v>
      </c>
      <c r="Z1095" t="s">
        <v>4815</v>
      </c>
      <c r="AA1095">
        <f>IF(Table_TRM_Fixtures[[#This Row],[Pre-EISA Baseline]]="Nominal", Table_TRM_Fixtures[[#This Row],[Fixture Watts  (TRM Data)]], Table_TRM_Fixtures[[#This Row],[Modified Baseline Fixture Watts]])</f>
        <v>95</v>
      </c>
    </row>
    <row r="1096" spans="1:27" x14ac:dyDescent="0.2">
      <c r="A1096" t="s">
        <v>1939</v>
      </c>
      <c r="B1096" t="s">
        <v>5667</v>
      </c>
      <c r="C1096" t="s">
        <v>1938</v>
      </c>
      <c r="D1096" t="s">
        <v>5674</v>
      </c>
      <c r="E1096" t="s">
        <v>187</v>
      </c>
      <c r="F1096">
        <v>3</v>
      </c>
      <c r="G1096">
        <v>25</v>
      </c>
      <c r="H1096">
        <v>64</v>
      </c>
      <c r="I1096">
        <v>15.5</v>
      </c>
      <c r="J1096" s="110">
        <v>1094</v>
      </c>
      <c r="K1096" t="s">
        <v>1505</v>
      </c>
      <c r="L1096">
        <f>IF(Table_TRM_Fixtures[[#This Row],[Technology]]="LED", Table_TRM_Fixtures[[#This Row],[Fixture Watts  (TRM Data)]], Table_TRM_Fixtures[[#This Row],[Lamp Watts  (TRM Data)]])</f>
        <v>25</v>
      </c>
      <c r="M1096">
        <f>Table_TRM_Fixtures[[#This Row],[No. of Lamps  (TRM Data)]]</f>
        <v>3</v>
      </c>
      <c r="N1096">
        <v>48</v>
      </c>
      <c r="O1096" t="s">
        <v>1381</v>
      </c>
      <c r="P1096" t="s">
        <v>187</v>
      </c>
      <c r="Q1096" t="s">
        <v>5612</v>
      </c>
      <c r="R1096" t="str">
        <f>_xlfn.CONCAT(Table_TRM_Fixtures[[#This Row],[Technology]], ", ", Table_TRM_Fixtures[[#This Row],[Ballast Code]], " Ballast")</f>
        <v>T8, Electronic STD Ballast</v>
      </c>
      <c r="S1096" t="str">
        <f>Table_TRM_Fixtures[[#This Row],[Description  (TRM Data)]]</f>
        <v>Fluorescent, (3) 48" T-8 lamps @ 25W, Instant Start Ballast, NLO (0.85 &lt; BF &lt; 0.95)</v>
      </c>
      <c r="T1096" t="str">
        <f>Table_TRM_Fixtures[[#This Row],[Fixture code  (TRM Data)]]</f>
        <v>F43INLU</v>
      </c>
      <c r="U1096" t="s">
        <v>2882</v>
      </c>
      <c r="V1096" t="s">
        <v>186</v>
      </c>
      <c r="W1096" t="s">
        <v>3120</v>
      </c>
      <c r="X1096" t="s">
        <v>186</v>
      </c>
      <c r="Y1096" t="s">
        <v>4815</v>
      </c>
      <c r="Z1096" t="s">
        <v>4815</v>
      </c>
      <c r="AA1096">
        <f>IF(Table_TRM_Fixtures[[#This Row],[Pre-EISA Baseline]]="Nominal", Table_TRM_Fixtures[[#This Row],[Fixture Watts  (TRM Data)]], Table_TRM_Fixtures[[#This Row],[Modified Baseline Fixture Watts]])</f>
        <v>64</v>
      </c>
    </row>
    <row r="1097" spans="1:27" x14ac:dyDescent="0.2">
      <c r="A1097" t="s">
        <v>1941</v>
      </c>
      <c r="B1097" t="s">
        <v>5667</v>
      </c>
      <c r="C1097" t="s">
        <v>1940</v>
      </c>
      <c r="D1097" t="s">
        <v>5675</v>
      </c>
      <c r="E1097" t="s">
        <v>187</v>
      </c>
      <c r="F1097">
        <v>3</v>
      </c>
      <c r="G1097">
        <v>25</v>
      </c>
      <c r="H1097">
        <v>57</v>
      </c>
      <c r="I1097">
        <v>15.5</v>
      </c>
      <c r="J1097" s="110">
        <v>1095</v>
      </c>
      <c r="K1097" t="s">
        <v>1505</v>
      </c>
      <c r="L1097">
        <f>IF(Table_TRM_Fixtures[[#This Row],[Technology]]="LED", Table_TRM_Fixtures[[#This Row],[Fixture Watts  (TRM Data)]], Table_TRM_Fixtures[[#This Row],[Lamp Watts  (TRM Data)]])</f>
        <v>25</v>
      </c>
      <c r="M1097">
        <f>Table_TRM_Fixtures[[#This Row],[No. of Lamps  (TRM Data)]]</f>
        <v>3</v>
      </c>
      <c r="N1097">
        <v>48</v>
      </c>
      <c r="O1097" t="s">
        <v>1381</v>
      </c>
      <c r="P1097" t="s">
        <v>187</v>
      </c>
      <c r="Q1097" t="s">
        <v>5614</v>
      </c>
      <c r="R1097" t="str">
        <f>_xlfn.CONCAT(Table_TRM_Fixtures[[#This Row],[Technology]], ", ", Table_TRM_Fixtures[[#This Row],[Ballast Code]], " Ballast")</f>
        <v>T8, Electronic RLO Ballast</v>
      </c>
      <c r="S1097" t="str">
        <f>Table_TRM_Fixtures[[#This Row],[Description  (TRM Data)]]</f>
        <v>Fluorescent, (3) 48" T-8 @ 25W lamps, Instant Start Ballast, RLO (BF &lt; 0.85)</v>
      </c>
      <c r="T1097" t="str">
        <f>Table_TRM_Fixtures[[#This Row],[Fixture code  (TRM Data)]]</f>
        <v>F43INLU-R</v>
      </c>
      <c r="U1097" t="s">
        <v>2882</v>
      </c>
      <c r="V1097" t="s">
        <v>186</v>
      </c>
      <c r="W1097" t="s">
        <v>3120</v>
      </c>
      <c r="X1097" t="s">
        <v>186</v>
      </c>
      <c r="Y1097" t="str">
        <f>_xlfn.CONCAT(Table_TRM_Fixtures[[#This Row],[Combined Lighting/Ballast Types]],":",Table_TRM_Fixtures[[#This Row],[No. of Lamps]], ":", Table_TRM_Fixtures[[#This Row],[Lamp Watts  (TRM Data)]])</f>
        <v>T8, Electronic RLO Ballast:3:25</v>
      </c>
      <c r="Z1097" t="s">
        <v>4815</v>
      </c>
      <c r="AA1097">
        <f>IF(Table_TRM_Fixtures[[#This Row],[Pre-EISA Baseline]]="Nominal", Table_TRM_Fixtures[[#This Row],[Fixture Watts  (TRM Data)]], Table_TRM_Fixtures[[#This Row],[Modified Baseline Fixture Watts]])</f>
        <v>57</v>
      </c>
    </row>
    <row r="1098" spans="1:27" x14ac:dyDescent="0.2">
      <c r="A1098" t="s">
        <v>1942</v>
      </c>
      <c r="B1098" t="s">
        <v>5667</v>
      </c>
      <c r="C1098" t="s">
        <v>1936</v>
      </c>
      <c r="D1098" t="s">
        <v>5676</v>
      </c>
      <c r="E1098" t="s">
        <v>187</v>
      </c>
      <c r="F1098">
        <v>3</v>
      </c>
      <c r="G1098">
        <v>25</v>
      </c>
      <c r="H1098">
        <v>93</v>
      </c>
      <c r="I1098">
        <v>15.5</v>
      </c>
      <c r="J1098" s="110">
        <v>1096</v>
      </c>
      <c r="K1098" t="s">
        <v>1505</v>
      </c>
      <c r="L1098">
        <f>IF(Table_TRM_Fixtures[[#This Row],[Technology]]="LED", Table_TRM_Fixtures[[#This Row],[Fixture Watts  (TRM Data)]], Table_TRM_Fixtures[[#This Row],[Lamp Watts  (TRM Data)]])</f>
        <v>25</v>
      </c>
      <c r="M1098">
        <f>Table_TRM_Fixtures[[#This Row],[No. of Lamps  (TRM Data)]]</f>
        <v>3</v>
      </c>
      <c r="N1098">
        <v>48</v>
      </c>
      <c r="O1098" t="s">
        <v>1381</v>
      </c>
      <c r="P1098" t="s">
        <v>187</v>
      </c>
      <c r="Q1098" t="s">
        <v>5616</v>
      </c>
      <c r="R1098" t="str">
        <f>_xlfn.CONCAT(Table_TRM_Fixtures[[#This Row],[Technology]], ", ", Table_TRM_Fixtures[[#This Row],[Ballast Code]], " Ballast")</f>
        <v>T8, Electronic VHLO Ballast</v>
      </c>
      <c r="S1098" t="str">
        <f>Table_TRM_Fixtures[[#This Row],[Description  (TRM Data)]]</f>
        <v>Fluorescent, (3) 48" T-8 @ 25W lamps, Instant Start Ballast, VHLO (BF &gt; 1.1)</v>
      </c>
      <c r="T1098" t="str">
        <f>Table_TRM_Fixtures[[#This Row],[Fixture code  (TRM Data)]]</f>
        <v>F43INLU-V</v>
      </c>
      <c r="U1098" t="s">
        <v>2882</v>
      </c>
      <c r="V1098" t="s">
        <v>186</v>
      </c>
      <c r="W1098" t="s">
        <v>3120</v>
      </c>
      <c r="X1098" t="s">
        <v>186</v>
      </c>
      <c r="Y1098" t="s">
        <v>4815</v>
      </c>
      <c r="Z1098" t="s">
        <v>4815</v>
      </c>
      <c r="AA1098">
        <f>IF(Table_TRM_Fixtures[[#This Row],[Pre-EISA Baseline]]="Nominal", Table_TRM_Fixtures[[#This Row],[Fixture Watts  (TRM Data)]], Table_TRM_Fixtures[[#This Row],[Modified Baseline Fixture Watts]])</f>
        <v>93</v>
      </c>
    </row>
    <row r="1099" spans="1:27" x14ac:dyDescent="0.2">
      <c r="A1099" t="s">
        <v>1944</v>
      </c>
      <c r="B1099" t="s">
        <v>5667</v>
      </c>
      <c r="C1099" t="s">
        <v>1943</v>
      </c>
      <c r="D1099" t="s">
        <v>5677</v>
      </c>
      <c r="E1099" t="s">
        <v>1386</v>
      </c>
      <c r="F1099">
        <v>4</v>
      </c>
      <c r="G1099">
        <v>25</v>
      </c>
      <c r="H1099">
        <v>85</v>
      </c>
      <c r="I1099">
        <v>15.5</v>
      </c>
      <c r="J1099" s="110">
        <v>1097</v>
      </c>
      <c r="K1099" t="s">
        <v>1505</v>
      </c>
      <c r="L1099">
        <f>IF(Table_TRM_Fixtures[[#This Row],[Technology]]="LED", Table_TRM_Fixtures[[#This Row],[Fixture Watts  (TRM Data)]], Table_TRM_Fixtures[[#This Row],[Lamp Watts  (TRM Data)]])</f>
        <v>25</v>
      </c>
      <c r="M1099">
        <f>Table_TRM_Fixtures[[#This Row],[No. of Lamps  (TRM Data)]]</f>
        <v>4</v>
      </c>
      <c r="N1099">
        <v>48</v>
      </c>
      <c r="O1099" t="s">
        <v>1381</v>
      </c>
      <c r="P1099" t="s">
        <v>187</v>
      </c>
      <c r="Q1099" t="s">
        <v>5612</v>
      </c>
      <c r="R1099" t="str">
        <f>_xlfn.CONCAT(Table_TRM_Fixtures[[#This Row],[Technology]], ", ", Table_TRM_Fixtures[[#This Row],[Ballast Code]], " Ballast")</f>
        <v>T8, Electronic STD Ballast</v>
      </c>
      <c r="S1099" t="str">
        <f>Table_TRM_Fixtures[[#This Row],[Description  (TRM Data)]]</f>
        <v>Fluorescent (4) 48" T-8 @ 25W lamps, Prog. Start or PRS Ballast, NLO (0.85 &lt; BF &lt; 0.95)</v>
      </c>
      <c r="T1099" t="str">
        <f>Table_TRM_Fixtures[[#This Row],[Fixture code  (TRM Data)]]</f>
        <v>F44GNLL</v>
      </c>
      <c r="U1099" t="s">
        <v>2882</v>
      </c>
      <c r="V1099" t="s">
        <v>186</v>
      </c>
      <c r="W1099" t="s">
        <v>3120</v>
      </c>
      <c r="X1099" t="s">
        <v>186</v>
      </c>
      <c r="Y1099" t="s">
        <v>4815</v>
      </c>
      <c r="Z1099" t="s">
        <v>4815</v>
      </c>
      <c r="AA1099">
        <f>IF(Table_TRM_Fixtures[[#This Row],[Pre-EISA Baseline]]="Nominal", Table_TRM_Fixtures[[#This Row],[Fixture Watts  (TRM Data)]], Table_TRM_Fixtures[[#This Row],[Modified Baseline Fixture Watts]])</f>
        <v>85</v>
      </c>
    </row>
    <row r="1100" spans="1:27" x14ac:dyDescent="0.2">
      <c r="A1100" t="s">
        <v>1946</v>
      </c>
      <c r="B1100" t="s">
        <v>5667</v>
      </c>
      <c r="C1100" t="s">
        <v>1945</v>
      </c>
      <c r="D1100" t="s">
        <v>5678</v>
      </c>
      <c r="E1100" t="s">
        <v>1386</v>
      </c>
      <c r="F1100">
        <v>4</v>
      </c>
      <c r="G1100">
        <v>25</v>
      </c>
      <c r="H1100">
        <v>73</v>
      </c>
      <c r="I1100">
        <v>15.5</v>
      </c>
      <c r="J1100" s="110">
        <v>1098</v>
      </c>
      <c r="K1100" t="s">
        <v>1505</v>
      </c>
      <c r="L1100">
        <f>IF(Table_TRM_Fixtures[[#This Row],[Technology]]="LED", Table_TRM_Fixtures[[#This Row],[Fixture Watts  (TRM Data)]], Table_TRM_Fixtures[[#This Row],[Lamp Watts  (TRM Data)]])</f>
        <v>25</v>
      </c>
      <c r="M1100">
        <f>Table_TRM_Fixtures[[#This Row],[No. of Lamps  (TRM Data)]]</f>
        <v>4</v>
      </c>
      <c r="N1100">
        <v>48</v>
      </c>
      <c r="O1100" t="s">
        <v>1381</v>
      </c>
      <c r="P1100" t="s">
        <v>187</v>
      </c>
      <c r="Q1100" t="s">
        <v>5614</v>
      </c>
      <c r="R1100" t="str">
        <f>_xlfn.CONCAT(Table_TRM_Fixtures[[#This Row],[Technology]], ", ", Table_TRM_Fixtures[[#This Row],[Ballast Code]], " Ballast")</f>
        <v>T8, Electronic RLO Ballast</v>
      </c>
      <c r="S1100" t="str">
        <f>Table_TRM_Fixtures[[#This Row],[Description  (TRM Data)]]</f>
        <v>Fluorescent (4) 48" T-8 @ 25W lamps, Prog. Start or PRS Ballast, RLO (BF &lt; 0.85)</v>
      </c>
      <c r="T1100" t="str">
        <f>Table_TRM_Fixtures[[#This Row],[Fixture code  (TRM Data)]]</f>
        <v>F44GNLL-R</v>
      </c>
      <c r="U1100" t="s">
        <v>2882</v>
      </c>
      <c r="V1100" t="s">
        <v>186</v>
      </c>
      <c r="W1100" t="s">
        <v>3120</v>
      </c>
      <c r="X1100" t="s">
        <v>186</v>
      </c>
      <c r="Y1100" t="s">
        <v>4815</v>
      </c>
      <c r="Z1100" t="s">
        <v>4815</v>
      </c>
      <c r="AA1100">
        <f>IF(Table_TRM_Fixtures[[#This Row],[Pre-EISA Baseline]]="Nominal", Table_TRM_Fixtures[[#This Row],[Fixture Watts  (TRM Data)]], Table_TRM_Fixtures[[#This Row],[Modified Baseline Fixture Watts]])</f>
        <v>73</v>
      </c>
    </row>
    <row r="1101" spans="1:27" x14ac:dyDescent="0.2">
      <c r="A1101" t="s">
        <v>1948</v>
      </c>
      <c r="B1101" t="s">
        <v>5667</v>
      </c>
      <c r="C1101" t="s">
        <v>1947</v>
      </c>
      <c r="D1101" t="s">
        <v>5677</v>
      </c>
      <c r="E1101" t="s">
        <v>187</v>
      </c>
      <c r="F1101">
        <v>4</v>
      </c>
      <c r="G1101">
        <v>25</v>
      </c>
      <c r="H1101">
        <v>86</v>
      </c>
      <c r="I1101">
        <v>15.5</v>
      </c>
      <c r="J1101" s="110">
        <v>1099</v>
      </c>
      <c r="K1101" t="s">
        <v>1505</v>
      </c>
      <c r="L1101">
        <f>IF(Table_TRM_Fixtures[[#This Row],[Technology]]="LED", Table_TRM_Fixtures[[#This Row],[Fixture Watts  (TRM Data)]], Table_TRM_Fixtures[[#This Row],[Lamp Watts  (TRM Data)]])</f>
        <v>25</v>
      </c>
      <c r="M1101">
        <f>Table_TRM_Fixtures[[#This Row],[No. of Lamps  (TRM Data)]]</f>
        <v>4</v>
      </c>
      <c r="N1101">
        <v>48</v>
      </c>
      <c r="O1101" t="s">
        <v>1381</v>
      </c>
      <c r="P1101" t="s">
        <v>187</v>
      </c>
      <c r="Q1101" t="s">
        <v>5612</v>
      </c>
      <c r="R1101" t="str">
        <f>_xlfn.CONCAT(Table_TRM_Fixtures[[#This Row],[Technology]], ", ", Table_TRM_Fixtures[[#This Row],[Ballast Code]], " Ballast")</f>
        <v>T8, Electronic STD Ballast</v>
      </c>
      <c r="S1101" t="str">
        <f>Table_TRM_Fixtures[[#This Row],[Description  (TRM Data)]]</f>
        <v>Fluorescent, (4) 48", T-8 @ 25W lamps, Instant Start Ballast, NLO (0.85 &lt; BF &lt; 0.95)</v>
      </c>
      <c r="T1101" t="str">
        <f>Table_TRM_Fixtures[[#This Row],[Fixture code  (TRM Data)]]</f>
        <v>F44INLL</v>
      </c>
      <c r="U1101" t="s">
        <v>2882</v>
      </c>
      <c r="V1101" t="s">
        <v>186</v>
      </c>
      <c r="W1101" t="s">
        <v>3120</v>
      </c>
      <c r="X1101" t="s">
        <v>186</v>
      </c>
      <c r="Y1101" t="str">
        <f>_xlfn.CONCAT(Table_TRM_Fixtures[[#This Row],[Combined Lighting/Ballast Types]],":",Table_TRM_Fixtures[[#This Row],[No. of Lamps]], ":", Table_TRM_Fixtures[[#This Row],[Lamp Watts  (TRM Data)]])</f>
        <v>T8, Electronic STD Ballast:4:25</v>
      </c>
      <c r="Z1101"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T8:4:25</v>
      </c>
      <c r="AA1101">
        <f>IF(Table_TRM_Fixtures[[#This Row],[Pre-EISA Baseline]]="Nominal", Table_TRM_Fixtures[[#This Row],[Fixture Watts  (TRM Data)]], Table_TRM_Fixtures[[#This Row],[Modified Baseline Fixture Watts]])</f>
        <v>86</v>
      </c>
    </row>
    <row r="1102" spans="1:27" x14ac:dyDescent="0.2">
      <c r="A1102" t="s">
        <v>1949</v>
      </c>
      <c r="B1102" t="s">
        <v>5667</v>
      </c>
      <c r="C1102" t="s">
        <v>1947</v>
      </c>
      <c r="D1102" t="s">
        <v>5677</v>
      </c>
      <c r="E1102" t="s">
        <v>187</v>
      </c>
      <c r="F1102">
        <v>4</v>
      </c>
      <c r="G1102">
        <v>25</v>
      </c>
      <c r="H1102">
        <v>85</v>
      </c>
      <c r="I1102">
        <v>15.5</v>
      </c>
      <c r="J1102" s="110">
        <v>1100</v>
      </c>
      <c r="K1102" t="s">
        <v>1505</v>
      </c>
      <c r="L1102">
        <f>IF(Table_TRM_Fixtures[[#This Row],[Technology]]="LED", Table_TRM_Fixtures[[#This Row],[Fixture Watts  (TRM Data)]], Table_TRM_Fixtures[[#This Row],[Lamp Watts  (TRM Data)]])</f>
        <v>25</v>
      </c>
      <c r="M1102">
        <f>Table_TRM_Fixtures[[#This Row],[No. of Lamps  (TRM Data)]]</f>
        <v>4</v>
      </c>
      <c r="N1102">
        <v>48</v>
      </c>
      <c r="O1102" t="s">
        <v>1381</v>
      </c>
      <c r="P1102" t="s">
        <v>187</v>
      </c>
      <c r="Q1102" t="s">
        <v>5612</v>
      </c>
      <c r="R1102" t="str">
        <f>_xlfn.CONCAT(Table_TRM_Fixtures[[#This Row],[Technology]], ", ", Table_TRM_Fixtures[[#This Row],[Ballast Code]], " Ballast")</f>
        <v>T8, Electronic STD Ballast</v>
      </c>
      <c r="S1102" t="str">
        <f>Table_TRM_Fixtures[[#This Row],[Description  (TRM Data)]]</f>
        <v>Fluorescent, (4) 48", T-8 @ 25W lamps, Instant Start Ballast, NLO (0.85 &lt; BF &lt; 0.95)</v>
      </c>
      <c r="T1102" t="str">
        <f>Table_TRM_Fixtures[[#This Row],[Fixture code  (TRM Data)]]</f>
        <v>F44INLU</v>
      </c>
      <c r="U1102" t="s">
        <v>2882</v>
      </c>
      <c r="V1102" t="s">
        <v>186</v>
      </c>
      <c r="W1102" t="s">
        <v>3120</v>
      </c>
      <c r="X1102" t="s">
        <v>186</v>
      </c>
      <c r="Y1102" t="s">
        <v>4815</v>
      </c>
      <c r="Z1102" t="s">
        <v>4815</v>
      </c>
      <c r="AA1102">
        <f>IF(Table_TRM_Fixtures[[#This Row],[Pre-EISA Baseline]]="Nominal", Table_TRM_Fixtures[[#This Row],[Fixture Watts  (TRM Data)]], Table_TRM_Fixtures[[#This Row],[Modified Baseline Fixture Watts]])</f>
        <v>85</v>
      </c>
    </row>
    <row r="1103" spans="1:27" x14ac:dyDescent="0.2">
      <c r="A1103" t="s">
        <v>1951</v>
      </c>
      <c r="B1103" t="s">
        <v>5667</v>
      </c>
      <c r="C1103" t="s">
        <v>1950</v>
      </c>
      <c r="D1103" t="s">
        <v>5678</v>
      </c>
      <c r="E1103" t="s">
        <v>187</v>
      </c>
      <c r="F1103">
        <v>4</v>
      </c>
      <c r="G1103">
        <v>25</v>
      </c>
      <c r="H1103">
        <v>75</v>
      </c>
      <c r="I1103">
        <v>15.5</v>
      </c>
      <c r="J1103" s="110">
        <v>1101</v>
      </c>
      <c r="K1103" t="s">
        <v>1505</v>
      </c>
      <c r="L1103">
        <f>IF(Table_TRM_Fixtures[[#This Row],[Technology]]="LED", Table_TRM_Fixtures[[#This Row],[Fixture Watts  (TRM Data)]], Table_TRM_Fixtures[[#This Row],[Lamp Watts  (TRM Data)]])</f>
        <v>25</v>
      </c>
      <c r="M1103">
        <f>Table_TRM_Fixtures[[#This Row],[No. of Lamps  (TRM Data)]]</f>
        <v>4</v>
      </c>
      <c r="N1103">
        <v>48</v>
      </c>
      <c r="O1103" t="s">
        <v>1381</v>
      </c>
      <c r="P1103" t="s">
        <v>187</v>
      </c>
      <c r="Q1103" t="s">
        <v>5614</v>
      </c>
      <c r="R1103" t="str">
        <f>_xlfn.CONCAT(Table_TRM_Fixtures[[#This Row],[Technology]], ", ", Table_TRM_Fixtures[[#This Row],[Ballast Code]], " Ballast")</f>
        <v>T8, Electronic RLO Ballast</v>
      </c>
      <c r="S1103" t="str">
        <f>Table_TRM_Fixtures[[#This Row],[Description  (TRM Data)]]</f>
        <v>Fluorescent, (4) 48" T-8 @ 25W lamps, Instant Start Ballast, RLO (BF &lt; 0.85)</v>
      </c>
      <c r="T1103" t="str">
        <f>Table_TRM_Fixtures[[#This Row],[Fixture code  (TRM Data)]]</f>
        <v>F44INLU-R</v>
      </c>
      <c r="U1103" t="s">
        <v>2882</v>
      </c>
      <c r="V1103" t="s">
        <v>186</v>
      </c>
      <c r="W1103" t="s">
        <v>3120</v>
      </c>
      <c r="X1103" t="s">
        <v>186</v>
      </c>
      <c r="Y1103" t="str">
        <f>_xlfn.CONCAT(Table_TRM_Fixtures[[#This Row],[Combined Lighting/Ballast Types]],":",Table_TRM_Fixtures[[#This Row],[No. of Lamps]], ":", Table_TRM_Fixtures[[#This Row],[Lamp Watts  (TRM Data)]])</f>
        <v>T8, Electronic RLO Ballast:4:25</v>
      </c>
      <c r="Z1103" t="s">
        <v>4815</v>
      </c>
      <c r="AA1103">
        <f>IF(Table_TRM_Fixtures[[#This Row],[Pre-EISA Baseline]]="Nominal", Table_TRM_Fixtures[[#This Row],[Fixture Watts  (TRM Data)]], Table_TRM_Fixtures[[#This Row],[Modified Baseline Fixture Watts]])</f>
        <v>75</v>
      </c>
    </row>
    <row r="1104" spans="1:27" x14ac:dyDescent="0.2">
      <c r="A1104" t="s">
        <v>1953</v>
      </c>
      <c r="B1104" t="s">
        <v>5667</v>
      </c>
      <c r="C1104" t="s">
        <v>1952</v>
      </c>
      <c r="D1104" t="s">
        <v>5679</v>
      </c>
      <c r="E1104" t="s">
        <v>187</v>
      </c>
      <c r="F1104">
        <v>4</v>
      </c>
      <c r="G1104">
        <v>25</v>
      </c>
      <c r="H1104">
        <v>122</v>
      </c>
      <c r="I1104">
        <v>15.5</v>
      </c>
      <c r="J1104" s="110">
        <v>1102</v>
      </c>
      <c r="K1104" t="s">
        <v>1505</v>
      </c>
      <c r="L1104">
        <f>IF(Table_TRM_Fixtures[[#This Row],[Technology]]="LED", Table_TRM_Fixtures[[#This Row],[Fixture Watts  (TRM Data)]], Table_TRM_Fixtures[[#This Row],[Lamp Watts  (TRM Data)]])</f>
        <v>25</v>
      </c>
      <c r="M1104">
        <f>Table_TRM_Fixtures[[#This Row],[No. of Lamps  (TRM Data)]]</f>
        <v>4</v>
      </c>
      <c r="N1104">
        <v>48</v>
      </c>
      <c r="O1104" t="s">
        <v>1381</v>
      </c>
      <c r="P1104" t="s">
        <v>187</v>
      </c>
      <c r="Q1104" t="s">
        <v>5616</v>
      </c>
      <c r="R1104" t="str">
        <f>_xlfn.CONCAT(Table_TRM_Fixtures[[#This Row],[Technology]], ", ", Table_TRM_Fixtures[[#This Row],[Ballast Code]], " Ballast")</f>
        <v>T8, Electronic VHLO Ballast</v>
      </c>
      <c r="S1104" t="str">
        <f>Table_TRM_Fixtures[[#This Row],[Description  (TRM Data)]]</f>
        <v>Fluorescent, (4) 48" T-8 @ 25W lamps, Instant Start Ballast, VHLO (BF &gt; 1.1)</v>
      </c>
      <c r="T1104" t="str">
        <f>Table_TRM_Fixtures[[#This Row],[Fixture code  (TRM Data)]]</f>
        <v>F44INLU-V</v>
      </c>
      <c r="U1104" t="s">
        <v>2882</v>
      </c>
      <c r="V1104" t="s">
        <v>186</v>
      </c>
      <c r="W1104" t="s">
        <v>3120</v>
      </c>
      <c r="X1104" t="s">
        <v>186</v>
      </c>
      <c r="Y1104" t="str">
        <f>_xlfn.CONCAT(Table_TRM_Fixtures[[#This Row],[Combined Lighting/Ballast Types]],":",Table_TRM_Fixtures[[#This Row],[No. of Lamps]], ":", Table_TRM_Fixtures[[#This Row],[Lamp Watts  (TRM Data)]])</f>
        <v>T8, Electronic VHLO Ballast:4:25</v>
      </c>
      <c r="Z1104" t="s">
        <v>4815</v>
      </c>
      <c r="AA1104">
        <f>IF(Table_TRM_Fixtures[[#This Row],[Pre-EISA Baseline]]="Nominal", Table_TRM_Fixtures[[#This Row],[Fixture Watts  (TRM Data)]], Table_TRM_Fixtures[[#This Row],[Modified Baseline Fixture Watts]])</f>
        <v>122</v>
      </c>
    </row>
    <row r="1105" spans="1:27" x14ac:dyDescent="0.2">
      <c r="A1105" t="s">
        <v>1955</v>
      </c>
      <c r="B1105" t="s">
        <v>5667</v>
      </c>
      <c r="C1105" t="s">
        <v>1954</v>
      </c>
      <c r="D1105" t="s">
        <v>5680</v>
      </c>
      <c r="E1105" t="s">
        <v>187</v>
      </c>
      <c r="F1105">
        <v>6</v>
      </c>
      <c r="G1105">
        <v>25</v>
      </c>
      <c r="H1105">
        <v>114</v>
      </c>
      <c r="I1105">
        <v>15.5</v>
      </c>
      <c r="J1105" s="110">
        <v>1103</v>
      </c>
      <c r="K1105" t="s">
        <v>1505</v>
      </c>
      <c r="L1105">
        <f>IF(Table_TRM_Fixtures[[#This Row],[Technology]]="LED", Table_TRM_Fixtures[[#This Row],[Fixture Watts  (TRM Data)]], Table_TRM_Fixtures[[#This Row],[Lamp Watts  (TRM Data)]])</f>
        <v>25</v>
      </c>
      <c r="M1105">
        <f>Table_TRM_Fixtures[[#This Row],[No. of Lamps  (TRM Data)]]</f>
        <v>6</v>
      </c>
      <c r="N1105">
        <v>48</v>
      </c>
      <c r="O1105" t="s">
        <v>1381</v>
      </c>
      <c r="P1105" t="s">
        <v>187</v>
      </c>
      <c r="Q1105" t="s">
        <v>5614</v>
      </c>
      <c r="R1105" t="str">
        <f>_xlfn.CONCAT(Table_TRM_Fixtures[[#This Row],[Technology]], ", ", Table_TRM_Fixtures[[#This Row],[Ballast Code]], " Ballast")</f>
        <v>T8, Electronic RLO Ballast</v>
      </c>
      <c r="S1105" t="str">
        <f>Table_TRM_Fixtures[[#This Row],[Description  (TRM Data)]]</f>
        <v>Fluorescent (6) 48" T-8 @ 25W lamps, (2) IS Ballasts, RLO (BF &lt; 0.85)</v>
      </c>
      <c r="T1105" t="str">
        <f>Table_TRM_Fixtures[[#This Row],[Fixture code  (TRM Data)]]</f>
        <v>F46INLU/2-R</v>
      </c>
      <c r="U1105" t="s">
        <v>2882</v>
      </c>
      <c r="V1105" t="s">
        <v>186</v>
      </c>
      <c r="W1105" t="s">
        <v>3120</v>
      </c>
      <c r="X1105" t="s">
        <v>186</v>
      </c>
      <c r="Y1105" t="str">
        <f>_xlfn.CONCAT(Table_TRM_Fixtures[[#This Row],[Combined Lighting/Ballast Types]],":",Table_TRM_Fixtures[[#This Row],[No. of Lamps]], ":", Table_TRM_Fixtures[[#This Row],[Lamp Watts  (TRM Data)]])</f>
        <v>T8, Electronic RLO Ballast:6:25</v>
      </c>
      <c r="Z1105"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T8:6:25</v>
      </c>
      <c r="AA1105">
        <f>IF(Table_TRM_Fixtures[[#This Row],[Pre-EISA Baseline]]="Nominal", Table_TRM_Fixtures[[#This Row],[Fixture Watts  (TRM Data)]], Table_TRM_Fixtures[[#This Row],[Modified Baseline Fixture Watts]])</f>
        <v>114</v>
      </c>
    </row>
    <row r="1106" spans="1:27" x14ac:dyDescent="0.2">
      <c r="A1106" t="s">
        <v>1957</v>
      </c>
      <c r="B1106" t="s">
        <v>5667</v>
      </c>
      <c r="C1106" t="s">
        <v>1956</v>
      </c>
      <c r="D1106" t="s">
        <v>5681</v>
      </c>
      <c r="E1106" t="s">
        <v>187</v>
      </c>
      <c r="F1106">
        <v>6</v>
      </c>
      <c r="G1106">
        <v>25</v>
      </c>
      <c r="H1106">
        <v>184</v>
      </c>
      <c r="I1106">
        <v>15.5</v>
      </c>
      <c r="J1106" s="110">
        <v>1104</v>
      </c>
      <c r="K1106" t="s">
        <v>1505</v>
      </c>
      <c r="L1106">
        <f>IF(Table_TRM_Fixtures[[#This Row],[Technology]]="LED", Table_TRM_Fixtures[[#This Row],[Fixture Watts  (TRM Data)]], Table_TRM_Fixtures[[#This Row],[Lamp Watts  (TRM Data)]])</f>
        <v>25</v>
      </c>
      <c r="M1106">
        <f>Table_TRM_Fixtures[[#This Row],[No. of Lamps  (TRM Data)]]</f>
        <v>6</v>
      </c>
      <c r="N1106">
        <v>48</v>
      </c>
      <c r="O1106" t="s">
        <v>1381</v>
      </c>
      <c r="P1106" t="s">
        <v>187</v>
      </c>
      <c r="Q1106" t="s">
        <v>5616</v>
      </c>
      <c r="R1106" t="str">
        <f>_xlfn.CONCAT(Table_TRM_Fixtures[[#This Row],[Technology]], ", ", Table_TRM_Fixtures[[#This Row],[Ballast Code]], " Ballast")</f>
        <v>T8, Electronic VHLO Ballast</v>
      </c>
      <c r="S1106" t="str">
        <f>Table_TRM_Fixtures[[#This Row],[Description  (TRM Data)]]</f>
        <v>Fluorescent (6) 48" T-8 @ 25W lamps, (2) IS Ballasts, VHLO (BF &gt; 1.1)</v>
      </c>
      <c r="T1106" t="str">
        <f>Table_TRM_Fixtures[[#This Row],[Fixture code  (TRM Data)]]</f>
        <v>F46INLU/2-V</v>
      </c>
      <c r="U1106" t="s">
        <v>2882</v>
      </c>
      <c r="V1106" t="s">
        <v>186</v>
      </c>
      <c r="W1106" t="s">
        <v>3120</v>
      </c>
      <c r="X1106" t="s">
        <v>186</v>
      </c>
      <c r="Y1106" t="str">
        <f>_xlfn.CONCAT(Table_TRM_Fixtures[[#This Row],[Combined Lighting/Ballast Types]],":",Table_TRM_Fixtures[[#This Row],[No. of Lamps]], ":", Table_TRM_Fixtures[[#This Row],[Lamp Watts  (TRM Data)]])</f>
        <v>T8, Electronic VHLO Ballast:6:25</v>
      </c>
      <c r="Z1106" t="s">
        <v>4815</v>
      </c>
      <c r="AA1106">
        <f>IF(Table_TRM_Fixtures[[#This Row],[Pre-EISA Baseline]]="Nominal", Table_TRM_Fixtures[[#This Row],[Fixture Watts  (TRM Data)]], Table_TRM_Fixtures[[#This Row],[Modified Baseline Fixture Watts]])</f>
        <v>184</v>
      </c>
    </row>
    <row r="1107" spans="1:27" x14ac:dyDescent="0.2">
      <c r="A1107" t="s">
        <v>1959</v>
      </c>
      <c r="B1107" t="s">
        <v>5682</v>
      </c>
      <c r="C1107" t="s">
        <v>1958</v>
      </c>
      <c r="D1107" t="s">
        <v>5683</v>
      </c>
      <c r="E1107" t="s">
        <v>1386</v>
      </c>
      <c r="F1107">
        <v>1</v>
      </c>
      <c r="G1107">
        <v>28</v>
      </c>
      <c r="H1107">
        <v>26</v>
      </c>
      <c r="I1107">
        <v>15.5</v>
      </c>
      <c r="J1107" s="110">
        <v>1105</v>
      </c>
      <c r="K1107" t="s">
        <v>1505</v>
      </c>
      <c r="L1107">
        <f>IF(Table_TRM_Fixtures[[#This Row],[Technology]]="LED", Table_TRM_Fixtures[[#This Row],[Fixture Watts  (TRM Data)]], Table_TRM_Fixtures[[#This Row],[Lamp Watts  (TRM Data)]])</f>
        <v>28</v>
      </c>
      <c r="M1107">
        <f>Table_TRM_Fixtures[[#This Row],[No. of Lamps  (TRM Data)]]</f>
        <v>1</v>
      </c>
      <c r="N1107">
        <v>48</v>
      </c>
      <c r="O1107" t="s">
        <v>1381</v>
      </c>
      <c r="P1107" t="s">
        <v>187</v>
      </c>
      <c r="Q1107" t="s">
        <v>5612</v>
      </c>
      <c r="R1107" t="str">
        <f>_xlfn.CONCAT(Table_TRM_Fixtures[[#This Row],[Technology]], ", ", Table_TRM_Fixtures[[#This Row],[Ballast Code]], " Ballast")</f>
        <v>T8, Electronic STD Ballast</v>
      </c>
      <c r="S1107" t="str">
        <f>Table_TRM_Fixtures[[#This Row],[Description  (TRM Data)]]</f>
        <v>Fluorescent (1) 48" T-8 @ 28W lamp, Prog. Start or PRS Ballast, NLO (0.85 &lt; BF &lt; 0.95)</v>
      </c>
      <c r="T1107" t="str">
        <f>Table_TRM_Fixtures[[#This Row],[Fixture code  (TRM Data)]]</f>
        <v>F41GRLL</v>
      </c>
      <c r="U1107" t="s">
        <v>2882</v>
      </c>
      <c r="V1107" t="s">
        <v>186</v>
      </c>
      <c r="W1107" t="s">
        <v>3120</v>
      </c>
      <c r="X1107" t="s">
        <v>186</v>
      </c>
      <c r="Y1107" t="s">
        <v>4815</v>
      </c>
      <c r="Z1107" t="s">
        <v>4815</v>
      </c>
      <c r="AA1107">
        <f>IF(Table_TRM_Fixtures[[#This Row],[Pre-EISA Baseline]]="Nominal", Table_TRM_Fixtures[[#This Row],[Fixture Watts  (TRM Data)]], Table_TRM_Fixtures[[#This Row],[Modified Baseline Fixture Watts]])</f>
        <v>26</v>
      </c>
    </row>
    <row r="1108" spans="1:27" x14ac:dyDescent="0.2">
      <c r="A1108" t="s">
        <v>1961</v>
      </c>
      <c r="B1108" t="s">
        <v>5682</v>
      </c>
      <c r="C1108" t="s">
        <v>1960</v>
      </c>
      <c r="D1108" t="s">
        <v>5684</v>
      </c>
      <c r="E1108" t="s">
        <v>1386</v>
      </c>
      <c r="F1108">
        <v>1</v>
      </c>
      <c r="G1108">
        <v>28</v>
      </c>
      <c r="H1108">
        <v>22</v>
      </c>
      <c r="I1108">
        <v>15.5</v>
      </c>
      <c r="J1108" s="110">
        <v>1106</v>
      </c>
      <c r="K1108" t="s">
        <v>1505</v>
      </c>
      <c r="L1108">
        <f>IF(Table_TRM_Fixtures[[#This Row],[Technology]]="LED", Table_TRM_Fixtures[[#This Row],[Fixture Watts  (TRM Data)]], Table_TRM_Fixtures[[#This Row],[Lamp Watts  (TRM Data)]])</f>
        <v>28</v>
      </c>
      <c r="M1108">
        <f>Table_TRM_Fixtures[[#This Row],[No. of Lamps  (TRM Data)]]</f>
        <v>1</v>
      </c>
      <c r="N1108">
        <v>48</v>
      </c>
      <c r="O1108" t="s">
        <v>1381</v>
      </c>
      <c r="P1108" t="s">
        <v>187</v>
      </c>
      <c r="Q1108" t="s">
        <v>5614</v>
      </c>
      <c r="R1108" t="str">
        <f>_xlfn.CONCAT(Table_TRM_Fixtures[[#This Row],[Technology]], ", ", Table_TRM_Fixtures[[#This Row],[Ballast Code]], " Ballast")</f>
        <v>T8, Electronic RLO Ballast</v>
      </c>
      <c r="S1108" t="str">
        <f>Table_TRM_Fixtures[[#This Row],[Description  (TRM Data)]]</f>
        <v>Fluorescent (1) 48" T-8 @ 28W lamp, Prog. Start or PRS Ballast, RLO (BF&lt; 0.85)</v>
      </c>
      <c r="T1108" t="str">
        <f>Table_TRM_Fixtures[[#This Row],[Fixture code  (TRM Data)]]</f>
        <v>F41GRLL-R</v>
      </c>
      <c r="U1108" t="s">
        <v>2882</v>
      </c>
      <c r="V1108" t="s">
        <v>186</v>
      </c>
      <c r="W1108" t="s">
        <v>3120</v>
      </c>
      <c r="X1108" t="s">
        <v>186</v>
      </c>
      <c r="Y1108" t="s">
        <v>4815</v>
      </c>
      <c r="Z1108" t="s">
        <v>4815</v>
      </c>
      <c r="AA1108">
        <f>IF(Table_TRM_Fixtures[[#This Row],[Pre-EISA Baseline]]="Nominal", Table_TRM_Fixtures[[#This Row],[Fixture Watts  (TRM Data)]], Table_TRM_Fixtures[[#This Row],[Modified Baseline Fixture Watts]])</f>
        <v>22</v>
      </c>
    </row>
    <row r="1109" spans="1:27" x14ac:dyDescent="0.2">
      <c r="A1109" t="s">
        <v>1963</v>
      </c>
      <c r="B1109" t="s">
        <v>5682</v>
      </c>
      <c r="C1109" t="s">
        <v>1962</v>
      </c>
      <c r="D1109" t="s">
        <v>5683</v>
      </c>
      <c r="E1109" t="s">
        <v>187</v>
      </c>
      <c r="F1109">
        <v>1</v>
      </c>
      <c r="G1109">
        <v>28</v>
      </c>
      <c r="H1109">
        <v>27</v>
      </c>
      <c r="I1109">
        <v>15.5</v>
      </c>
      <c r="J1109" s="110">
        <v>1107</v>
      </c>
      <c r="K1109" t="s">
        <v>1505</v>
      </c>
      <c r="L1109">
        <f>IF(Table_TRM_Fixtures[[#This Row],[Technology]]="LED", Table_TRM_Fixtures[[#This Row],[Fixture Watts  (TRM Data)]], Table_TRM_Fixtures[[#This Row],[Lamp Watts  (TRM Data)]])</f>
        <v>28</v>
      </c>
      <c r="M1109">
        <f>Table_TRM_Fixtures[[#This Row],[No. of Lamps  (TRM Data)]]</f>
        <v>1</v>
      </c>
      <c r="N1109">
        <v>48</v>
      </c>
      <c r="O1109" t="s">
        <v>1381</v>
      </c>
      <c r="P1109" t="s">
        <v>187</v>
      </c>
      <c r="Q1109" t="s">
        <v>5612</v>
      </c>
      <c r="R1109" t="str">
        <f>_xlfn.CONCAT(Table_TRM_Fixtures[[#This Row],[Technology]], ", ", Table_TRM_Fixtures[[#This Row],[Ballast Code]], " Ballast")</f>
        <v>T8, Electronic STD Ballast</v>
      </c>
      <c r="S1109" t="str">
        <f>Table_TRM_Fixtures[[#This Row],[Description  (TRM Data)]]</f>
        <v>Fluorescent, (1) 48" T-8 @ 28W lamp, Instant Start Ballast, NLO (0.85 &lt; BF &lt; 0.95)</v>
      </c>
      <c r="T1109" t="str">
        <f>Table_TRM_Fixtures[[#This Row],[Fixture code  (TRM Data)]]</f>
        <v>F41IRLL</v>
      </c>
      <c r="U1109" t="s">
        <v>2882</v>
      </c>
      <c r="V1109" t="s">
        <v>186</v>
      </c>
      <c r="W1109" t="s">
        <v>3120</v>
      </c>
      <c r="X1109" t="s">
        <v>186</v>
      </c>
      <c r="Y1109" t="str">
        <f>_xlfn.CONCAT(Table_TRM_Fixtures[[#This Row],[Combined Lighting/Ballast Types]],":",Table_TRM_Fixtures[[#This Row],[No. of Lamps]], ":", Table_TRM_Fixtures[[#This Row],[Lamp Watts  (TRM Data)]])</f>
        <v>T8, Electronic STD Ballast:1:28</v>
      </c>
      <c r="Z1109"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T8:1:28</v>
      </c>
      <c r="AA1109">
        <f>IF(Table_TRM_Fixtures[[#This Row],[Pre-EISA Baseline]]="Nominal", Table_TRM_Fixtures[[#This Row],[Fixture Watts  (TRM Data)]], Table_TRM_Fixtures[[#This Row],[Modified Baseline Fixture Watts]])</f>
        <v>27</v>
      </c>
    </row>
    <row r="1110" spans="1:27" x14ac:dyDescent="0.2">
      <c r="A1110" t="s">
        <v>1965</v>
      </c>
      <c r="B1110" t="s">
        <v>5682</v>
      </c>
      <c r="C1110" t="s">
        <v>1964</v>
      </c>
      <c r="D1110" t="s">
        <v>5685</v>
      </c>
      <c r="E1110" t="s">
        <v>187</v>
      </c>
      <c r="F1110">
        <v>1</v>
      </c>
      <c r="G1110">
        <v>28</v>
      </c>
      <c r="H1110">
        <v>35</v>
      </c>
      <c r="I1110">
        <v>15.5</v>
      </c>
      <c r="J1110" s="110">
        <v>1108</v>
      </c>
      <c r="K1110" t="s">
        <v>1505</v>
      </c>
      <c r="L1110">
        <f>IF(Table_TRM_Fixtures[[#This Row],[Technology]]="LED", Table_TRM_Fixtures[[#This Row],[Fixture Watts  (TRM Data)]], Table_TRM_Fixtures[[#This Row],[Lamp Watts  (TRM Data)]])</f>
        <v>28</v>
      </c>
      <c r="M1110">
        <f>Table_TRM_Fixtures[[#This Row],[No. of Lamps  (TRM Data)]]</f>
        <v>1</v>
      </c>
      <c r="N1110">
        <v>48</v>
      </c>
      <c r="O1110" t="s">
        <v>1381</v>
      </c>
      <c r="P1110" t="s">
        <v>187</v>
      </c>
      <c r="Q1110" t="s">
        <v>5616</v>
      </c>
      <c r="R1110" t="str">
        <f>_xlfn.CONCAT(Table_TRM_Fixtures[[#This Row],[Technology]], ", ", Table_TRM_Fixtures[[#This Row],[Ballast Code]], " Ballast")</f>
        <v>T8, Electronic VHLO Ballast</v>
      </c>
      <c r="S1110" t="str">
        <f>Table_TRM_Fixtures[[#This Row],[Description  (TRM Data)]]</f>
        <v>Fluorescent, (1) 48" T-8 @ 28W lamp, Instant Start Ballast, VHLO (BF &gt; 1.1)</v>
      </c>
      <c r="T1110" t="str">
        <f>Table_TRM_Fixtures[[#This Row],[Fixture code  (TRM Data)]]</f>
        <v>F41IRLL-V</v>
      </c>
      <c r="U1110" t="s">
        <v>2882</v>
      </c>
      <c r="V1110" t="s">
        <v>186</v>
      </c>
      <c r="W1110" t="s">
        <v>3120</v>
      </c>
      <c r="X1110" t="s">
        <v>186</v>
      </c>
      <c r="Y1110" t="str">
        <f>_xlfn.CONCAT(Table_TRM_Fixtures[[#This Row],[Combined Lighting/Ballast Types]],":",Table_TRM_Fixtures[[#This Row],[No. of Lamps]], ":", Table_TRM_Fixtures[[#This Row],[Lamp Watts  (TRM Data)]])</f>
        <v>T8, Electronic VHLO Ballast:1:28</v>
      </c>
      <c r="Z1110" t="s">
        <v>4815</v>
      </c>
      <c r="AA1110">
        <f>IF(Table_TRM_Fixtures[[#This Row],[Pre-EISA Baseline]]="Nominal", Table_TRM_Fixtures[[#This Row],[Fixture Watts  (TRM Data)]], Table_TRM_Fixtures[[#This Row],[Modified Baseline Fixture Watts]])</f>
        <v>35</v>
      </c>
    </row>
    <row r="1111" spans="1:27" x14ac:dyDescent="0.2">
      <c r="A1111" t="s">
        <v>1967</v>
      </c>
      <c r="B1111" t="s">
        <v>5682</v>
      </c>
      <c r="C1111" t="s">
        <v>1966</v>
      </c>
      <c r="D1111" t="s">
        <v>5683</v>
      </c>
      <c r="E1111" t="s">
        <v>187</v>
      </c>
      <c r="F1111">
        <v>1</v>
      </c>
      <c r="G1111">
        <v>28</v>
      </c>
      <c r="H1111">
        <v>25</v>
      </c>
      <c r="I1111">
        <v>15.5</v>
      </c>
      <c r="J1111" s="110">
        <v>1109</v>
      </c>
      <c r="K1111" t="s">
        <v>1505</v>
      </c>
      <c r="L1111">
        <f>IF(Table_TRM_Fixtures[[#This Row],[Technology]]="LED", Table_TRM_Fixtures[[#This Row],[Fixture Watts  (TRM Data)]], Table_TRM_Fixtures[[#This Row],[Lamp Watts  (TRM Data)]])</f>
        <v>28</v>
      </c>
      <c r="M1111">
        <f>Table_TRM_Fixtures[[#This Row],[No. of Lamps  (TRM Data)]]</f>
        <v>1</v>
      </c>
      <c r="N1111">
        <v>48</v>
      </c>
      <c r="O1111" t="s">
        <v>1381</v>
      </c>
      <c r="P1111" t="s">
        <v>187</v>
      </c>
      <c r="Q1111" t="s">
        <v>5612</v>
      </c>
      <c r="R1111" t="str">
        <f>_xlfn.CONCAT(Table_TRM_Fixtures[[#This Row],[Technology]], ", ", Table_TRM_Fixtures[[#This Row],[Ballast Code]], " Ballast")</f>
        <v>T8, Electronic STD Ballast</v>
      </c>
      <c r="S1111" t="str">
        <f>Table_TRM_Fixtures[[#This Row],[Description  (TRM Data)]]</f>
        <v>Fluorescent, (1), T-8 @ 28W lamp, Instant Start Ballast, NLO (0.85 &lt; BF &lt; 0.95)</v>
      </c>
      <c r="T1111" t="str">
        <f>Table_TRM_Fixtures[[#This Row],[Fixture code  (TRM Data)]]</f>
        <v>F41IRLU</v>
      </c>
      <c r="U1111" t="s">
        <v>2882</v>
      </c>
      <c r="V1111" t="s">
        <v>186</v>
      </c>
      <c r="W1111" t="s">
        <v>3120</v>
      </c>
      <c r="X1111" t="s">
        <v>186</v>
      </c>
      <c r="Y1111" t="s">
        <v>4815</v>
      </c>
      <c r="Z1111" t="s">
        <v>4815</v>
      </c>
      <c r="AA1111">
        <f>IF(Table_TRM_Fixtures[[#This Row],[Pre-EISA Baseline]]="Nominal", Table_TRM_Fixtures[[#This Row],[Fixture Watts  (TRM Data)]], Table_TRM_Fixtures[[#This Row],[Modified Baseline Fixture Watts]])</f>
        <v>25</v>
      </c>
    </row>
    <row r="1112" spans="1:27" x14ac:dyDescent="0.2">
      <c r="A1112" t="s">
        <v>1969</v>
      </c>
      <c r="B1112" t="s">
        <v>5682</v>
      </c>
      <c r="C1112" t="s">
        <v>1968</v>
      </c>
      <c r="D1112" t="s">
        <v>5684</v>
      </c>
      <c r="E1112" t="s">
        <v>187</v>
      </c>
      <c r="F1112">
        <v>1</v>
      </c>
      <c r="G1112">
        <v>28</v>
      </c>
      <c r="H1112">
        <v>22</v>
      </c>
      <c r="I1112">
        <v>15.5</v>
      </c>
      <c r="J1112" s="110">
        <v>1110</v>
      </c>
      <c r="K1112" t="s">
        <v>1505</v>
      </c>
      <c r="L1112">
        <f>IF(Table_TRM_Fixtures[[#This Row],[Technology]]="LED", Table_TRM_Fixtures[[#This Row],[Fixture Watts  (TRM Data)]], Table_TRM_Fixtures[[#This Row],[Lamp Watts  (TRM Data)]])</f>
        <v>28</v>
      </c>
      <c r="M1112">
        <f>Table_TRM_Fixtures[[#This Row],[No. of Lamps  (TRM Data)]]</f>
        <v>1</v>
      </c>
      <c r="N1112">
        <v>48</v>
      </c>
      <c r="O1112" t="s">
        <v>1381</v>
      </c>
      <c r="P1112" t="s">
        <v>187</v>
      </c>
      <c r="Q1112" t="s">
        <v>5614</v>
      </c>
      <c r="R1112" t="str">
        <f>_xlfn.CONCAT(Table_TRM_Fixtures[[#This Row],[Technology]], ", ", Table_TRM_Fixtures[[#This Row],[Ballast Code]], " Ballast")</f>
        <v>T8, Electronic RLO Ballast</v>
      </c>
      <c r="S1112" t="str">
        <f>Table_TRM_Fixtures[[#This Row],[Description  (TRM Data)]]</f>
        <v>Fluorescent, (1), T-8 @ 28W lamp, Instant Start Ballast, RLO (BF&lt; 0.85)</v>
      </c>
      <c r="T1112" t="str">
        <f>Table_TRM_Fixtures[[#This Row],[Fixture code  (TRM Data)]]</f>
        <v>F41IRLU-R</v>
      </c>
      <c r="U1112" t="s">
        <v>2882</v>
      </c>
      <c r="V1112" t="s">
        <v>186</v>
      </c>
      <c r="W1112" t="s">
        <v>3120</v>
      </c>
      <c r="X1112" t="s">
        <v>186</v>
      </c>
      <c r="Y1112" t="str">
        <f>_xlfn.CONCAT(Table_TRM_Fixtures[[#This Row],[Combined Lighting/Ballast Types]],":",Table_TRM_Fixtures[[#This Row],[No. of Lamps]], ":", Table_TRM_Fixtures[[#This Row],[Lamp Watts  (TRM Data)]])</f>
        <v>T8, Electronic RLO Ballast:1:28</v>
      </c>
      <c r="Z1112" t="s">
        <v>4815</v>
      </c>
      <c r="AA1112">
        <f>IF(Table_TRM_Fixtures[[#This Row],[Pre-EISA Baseline]]="Nominal", Table_TRM_Fixtures[[#This Row],[Fixture Watts  (TRM Data)]], Table_TRM_Fixtures[[#This Row],[Modified Baseline Fixture Watts]])</f>
        <v>22</v>
      </c>
    </row>
    <row r="1113" spans="1:27" x14ac:dyDescent="0.2">
      <c r="A1113" t="s">
        <v>1971</v>
      </c>
      <c r="B1113" t="s">
        <v>5682</v>
      </c>
      <c r="C1113" t="s">
        <v>1970</v>
      </c>
      <c r="D1113" t="s">
        <v>5685</v>
      </c>
      <c r="E1113" t="s">
        <v>187</v>
      </c>
      <c r="F1113">
        <v>1</v>
      </c>
      <c r="G1113">
        <v>28</v>
      </c>
      <c r="H1113">
        <v>33</v>
      </c>
      <c r="I1113">
        <v>15.5</v>
      </c>
      <c r="J1113" s="110">
        <v>1111</v>
      </c>
      <c r="K1113" t="s">
        <v>1505</v>
      </c>
      <c r="L1113">
        <f>IF(Table_TRM_Fixtures[[#This Row],[Technology]]="LED", Table_TRM_Fixtures[[#This Row],[Fixture Watts  (TRM Data)]], Table_TRM_Fixtures[[#This Row],[Lamp Watts  (TRM Data)]])</f>
        <v>28</v>
      </c>
      <c r="M1113">
        <f>Table_TRM_Fixtures[[#This Row],[No. of Lamps  (TRM Data)]]</f>
        <v>1</v>
      </c>
      <c r="N1113">
        <v>48</v>
      </c>
      <c r="O1113" t="s">
        <v>1381</v>
      </c>
      <c r="P1113" t="s">
        <v>187</v>
      </c>
      <c r="Q1113" t="s">
        <v>5616</v>
      </c>
      <c r="R1113" t="str">
        <f>_xlfn.CONCAT(Table_TRM_Fixtures[[#This Row],[Technology]], ", ", Table_TRM_Fixtures[[#This Row],[Ballast Code]], " Ballast")</f>
        <v>T8, Electronic VHLO Ballast</v>
      </c>
      <c r="S1113" t="str">
        <f>Table_TRM_Fixtures[[#This Row],[Description  (TRM Data)]]</f>
        <v>Fluorescent, (1), T-8 @ 28W lamp, Instant Start Ballast, VHLO (BF &gt; 1.1)</v>
      </c>
      <c r="T1113" t="str">
        <f>Table_TRM_Fixtures[[#This Row],[Fixture code  (TRM Data)]]</f>
        <v>F41IRLU-V</v>
      </c>
      <c r="U1113" t="s">
        <v>2882</v>
      </c>
      <c r="V1113" t="s">
        <v>186</v>
      </c>
      <c r="W1113" t="s">
        <v>3120</v>
      </c>
      <c r="X1113" t="s">
        <v>186</v>
      </c>
      <c r="Y1113" t="s">
        <v>4815</v>
      </c>
      <c r="Z1113" t="s">
        <v>4815</v>
      </c>
      <c r="AA1113">
        <f>IF(Table_TRM_Fixtures[[#This Row],[Pre-EISA Baseline]]="Nominal", Table_TRM_Fixtures[[#This Row],[Fixture Watts  (TRM Data)]], Table_TRM_Fixtures[[#This Row],[Modified Baseline Fixture Watts]])</f>
        <v>33</v>
      </c>
    </row>
    <row r="1114" spans="1:27" x14ac:dyDescent="0.2">
      <c r="A1114" t="s">
        <v>1973</v>
      </c>
      <c r="B1114" t="s">
        <v>5682</v>
      </c>
      <c r="C1114" t="s">
        <v>1972</v>
      </c>
      <c r="D1114" t="s">
        <v>5684</v>
      </c>
      <c r="E1114" t="s">
        <v>187</v>
      </c>
      <c r="F1114">
        <v>1</v>
      </c>
      <c r="G1114">
        <v>28</v>
      </c>
      <c r="H1114">
        <v>21</v>
      </c>
      <c r="I1114">
        <v>15.5</v>
      </c>
      <c r="J1114" s="110">
        <v>1112</v>
      </c>
      <c r="K1114" t="s">
        <v>1505</v>
      </c>
      <c r="L1114">
        <f>IF(Table_TRM_Fixtures[[#This Row],[Technology]]="LED", Table_TRM_Fixtures[[#This Row],[Fixture Watts  (TRM Data)]], Table_TRM_Fixtures[[#This Row],[Lamp Watts  (TRM Data)]])</f>
        <v>28</v>
      </c>
      <c r="M1114">
        <f>Table_TRM_Fixtures[[#This Row],[No. of Lamps  (TRM Data)]]</f>
        <v>1</v>
      </c>
      <c r="N1114">
        <v>48</v>
      </c>
      <c r="O1114" t="s">
        <v>1381</v>
      </c>
      <c r="P1114" t="s">
        <v>187</v>
      </c>
      <c r="Q1114" t="s">
        <v>5614</v>
      </c>
      <c r="R1114" t="str">
        <f>_xlfn.CONCAT(Table_TRM_Fixtures[[#This Row],[Technology]], ", ", Table_TRM_Fixtures[[#This Row],[Ballast Code]], " Ballast")</f>
        <v>T8, Electronic RLO Ballast</v>
      </c>
      <c r="S1114" t="str">
        <f>Table_TRM_Fixtures[[#This Row],[Description  (TRM Data)]]</f>
        <v>Fluorescent, (1) 48", T-8 @ 28W lamp, Tandem 3-lamp IS Ballast, RLO (BF&lt; 0.85)</v>
      </c>
      <c r="T1114" t="str">
        <f>Table_TRM_Fixtures[[#This Row],[Fixture code  (TRM Data)]]</f>
        <v>F41IRLU/T3-R</v>
      </c>
      <c r="U1114" t="s">
        <v>2882</v>
      </c>
      <c r="V1114" t="s">
        <v>186</v>
      </c>
      <c r="W1114" t="s">
        <v>3120</v>
      </c>
      <c r="X1114" t="s">
        <v>186</v>
      </c>
      <c r="Y1114" t="s">
        <v>4815</v>
      </c>
      <c r="Z1114" t="s">
        <v>4815</v>
      </c>
      <c r="AA1114">
        <f>IF(Table_TRM_Fixtures[[#This Row],[Pre-EISA Baseline]]="Nominal", Table_TRM_Fixtures[[#This Row],[Fixture Watts  (TRM Data)]], Table_TRM_Fixtures[[#This Row],[Modified Baseline Fixture Watts]])</f>
        <v>21</v>
      </c>
    </row>
    <row r="1115" spans="1:27" x14ac:dyDescent="0.2">
      <c r="A1115" t="s">
        <v>1975</v>
      </c>
      <c r="B1115" t="s">
        <v>5682</v>
      </c>
      <c r="C1115" t="s">
        <v>1974</v>
      </c>
      <c r="D1115" t="s">
        <v>5684</v>
      </c>
      <c r="E1115" t="s">
        <v>187</v>
      </c>
      <c r="F1115">
        <v>1</v>
      </c>
      <c r="G1115">
        <v>28</v>
      </c>
      <c r="H1115">
        <v>21</v>
      </c>
      <c r="I1115">
        <v>15.5</v>
      </c>
      <c r="J1115" s="110">
        <v>1113</v>
      </c>
      <c r="K1115" t="s">
        <v>1505</v>
      </c>
      <c r="L1115">
        <f>IF(Table_TRM_Fixtures[[#This Row],[Technology]]="LED", Table_TRM_Fixtures[[#This Row],[Fixture Watts  (TRM Data)]], Table_TRM_Fixtures[[#This Row],[Lamp Watts  (TRM Data)]])</f>
        <v>28</v>
      </c>
      <c r="M1115">
        <f>Table_TRM_Fixtures[[#This Row],[No. of Lamps  (TRM Data)]]</f>
        <v>1</v>
      </c>
      <c r="N1115">
        <v>48</v>
      </c>
      <c r="O1115" t="s">
        <v>1381</v>
      </c>
      <c r="P1115" t="s">
        <v>187</v>
      </c>
      <c r="Q1115" t="s">
        <v>5614</v>
      </c>
      <c r="R1115" t="str">
        <f>_xlfn.CONCAT(Table_TRM_Fixtures[[#This Row],[Technology]], ", ", Table_TRM_Fixtures[[#This Row],[Ballast Code]], " Ballast")</f>
        <v>T8, Electronic RLO Ballast</v>
      </c>
      <c r="S1115" t="str">
        <f>Table_TRM_Fixtures[[#This Row],[Description  (TRM Data)]]</f>
        <v>Fluorescent, (1) 48", T-8 @ 28W lamp, Tandem 4-lamp IS Ballast, RLO (BF&lt; 0.85)</v>
      </c>
      <c r="T1115" t="str">
        <f>Table_TRM_Fixtures[[#This Row],[Fixture code  (TRM Data)]]</f>
        <v>F41IRLU/T4-R</v>
      </c>
      <c r="U1115" t="s">
        <v>2882</v>
      </c>
      <c r="V1115" t="s">
        <v>186</v>
      </c>
      <c r="W1115" t="s">
        <v>3120</v>
      </c>
      <c r="X1115" t="s">
        <v>186</v>
      </c>
      <c r="Y1115" t="s">
        <v>4815</v>
      </c>
      <c r="Z1115" t="s">
        <v>4815</v>
      </c>
      <c r="AA1115">
        <f>IF(Table_TRM_Fixtures[[#This Row],[Pre-EISA Baseline]]="Nominal", Table_TRM_Fixtures[[#This Row],[Fixture Watts  (TRM Data)]], Table_TRM_Fixtures[[#This Row],[Modified Baseline Fixture Watts]])</f>
        <v>21</v>
      </c>
    </row>
    <row r="1116" spans="1:27" x14ac:dyDescent="0.2">
      <c r="A1116" t="s">
        <v>1977</v>
      </c>
      <c r="B1116" t="s">
        <v>5682</v>
      </c>
      <c r="C1116" t="s">
        <v>1976</v>
      </c>
      <c r="D1116" t="s">
        <v>5686</v>
      </c>
      <c r="E1116" t="s">
        <v>1386</v>
      </c>
      <c r="F1116">
        <v>2</v>
      </c>
      <c r="G1116">
        <v>28</v>
      </c>
      <c r="H1116">
        <v>49</v>
      </c>
      <c r="I1116">
        <v>15.5</v>
      </c>
      <c r="J1116" s="110">
        <v>1114</v>
      </c>
      <c r="K1116" t="s">
        <v>1505</v>
      </c>
      <c r="L1116">
        <f>IF(Table_TRM_Fixtures[[#This Row],[Technology]]="LED", Table_TRM_Fixtures[[#This Row],[Fixture Watts  (TRM Data)]], Table_TRM_Fixtures[[#This Row],[Lamp Watts  (TRM Data)]])</f>
        <v>28</v>
      </c>
      <c r="M1116">
        <f>Table_TRM_Fixtures[[#This Row],[No. of Lamps  (TRM Data)]]</f>
        <v>2</v>
      </c>
      <c r="N1116">
        <v>48</v>
      </c>
      <c r="O1116" t="s">
        <v>1381</v>
      </c>
      <c r="P1116" t="s">
        <v>187</v>
      </c>
      <c r="Q1116" t="s">
        <v>5612</v>
      </c>
      <c r="R1116" t="str">
        <f>_xlfn.CONCAT(Table_TRM_Fixtures[[#This Row],[Technology]], ", ", Table_TRM_Fixtures[[#This Row],[Ballast Code]], " Ballast")</f>
        <v>T8, Electronic STD Ballast</v>
      </c>
      <c r="S1116" t="str">
        <f>Table_TRM_Fixtures[[#This Row],[Description  (TRM Data)]]</f>
        <v>Fluorescent (2) 48" T-8 @ 28W lamps, Prog. Start or PRS Ballast, NLO (0.85 &lt; BF &lt; 0.95)</v>
      </c>
      <c r="T1116" t="str">
        <f>Table_TRM_Fixtures[[#This Row],[Fixture code  (TRM Data)]]</f>
        <v>F42GRLL</v>
      </c>
      <c r="U1116" t="s">
        <v>2882</v>
      </c>
      <c r="V1116" t="s">
        <v>186</v>
      </c>
      <c r="W1116" t="s">
        <v>3120</v>
      </c>
      <c r="X1116" t="s">
        <v>186</v>
      </c>
      <c r="Y1116" t="s">
        <v>4815</v>
      </c>
      <c r="Z1116" t="s">
        <v>4815</v>
      </c>
      <c r="AA1116">
        <f>IF(Table_TRM_Fixtures[[#This Row],[Pre-EISA Baseline]]="Nominal", Table_TRM_Fixtures[[#This Row],[Fixture Watts  (TRM Data)]], Table_TRM_Fixtures[[#This Row],[Modified Baseline Fixture Watts]])</f>
        <v>49</v>
      </c>
    </row>
    <row r="1117" spans="1:27" x14ac:dyDescent="0.2">
      <c r="A1117" t="s">
        <v>1979</v>
      </c>
      <c r="B1117" t="s">
        <v>5682</v>
      </c>
      <c r="C1117" t="s">
        <v>1978</v>
      </c>
      <c r="D1117" t="s">
        <v>5687</v>
      </c>
      <c r="E1117" t="s">
        <v>1386</v>
      </c>
      <c r="F1117">
        <v>2</v>
      </c>
      <c r="G1117">
        <v>28</v>
      </c>
      <c r="H1117">
        <v>40</v>
      </c>
      <c r="I1117">
        <v>15.5</v>
      </c>
      <c r="J1117" s="110">
        <v>1115</v>
      </c>
      <c r="K1117" t="s">
        <v>1505</v>
      </c>
      <c r="L1117">
        <f>IF(Table_TRM_Fixtures[[#This Row],[Technology]]="LED", Table_TRM_Fixtures[[#This Row],[Fixture Watts  (TRM Data)]], Table_TRM_Fixtures[[#This Row],[Lamp Watts  (TRM Data)]])</f>
        <v>28</v>
      </c>
      <c r="M1117">
        <f>Table_TRM_Fixtures[[#This Row],[No. of Lamps  (TRM Data)]]</f>
        <v>2</v>
      </c>
      <c r="N1117">
        <v>48</v>
      </c>
      <c r="O1117" t="s">
        <v>1381</v>
      </c>
      <c r="P1117" t="s">
        <v>187</v>
      </c>
      <c r="Q1117" t="s">
        <v>5614</v>
      </c>
      <c r="R1117" t="str">
        <f>_xlfn.CONCAT(Table_TRM_Fixtures[[#This Row],[Technology]], ", ", Table_TRM_Fixtures[[#This Row],[Ballast Code]], " Ballast")</f>
        <v>T8, Electronic RLO Ballast</v>
      </c>
      <c r="S1117" t="str">
        <f>Table_TRM_Fixtures[[#This Row],[Description  (TRM Data)]]</f>
        <v>Fluorescent (2) 48" T-8 @ 28W lamps, Prog. Start or PRS Ballast, RLO (BF&lt; 0.85)</v>
      </c>
      <c r="T1117" t="str">
        <f>Table_TRM_Fixtures[[#This Row],[Fixture code  (TRM Data)]]</f>
        <v>F42GRLL-R</v>
      </c>
      <c r="U1117" t="s">
        <v>2882</v>
      </c>
      <c r="V1117" t="s">
        <v>186</v>
      </c>
      <c r="W1117" t="s">
        <v>3120</v>
      </c>
      <c r="X1117" t="s">
        <v>186</v>
      </c>
      <c r="Y1117" t="s">
        <v>4815</v>
      </c>
      <c r="Z1117" t="s">
        <v>4815</v>
      </c>
      <c r="AA1117">
        <f>IF(Table_TRM_Fixtures[[#This Row],[Pre-EISA Baseline]]="Nominal", Table_TRM_Fixtures[[#This Row],[Fixture Watts  (TRM Data)]], Table_TRM_Fixtures[[#This Row],[Modified Baseline Fixture Watts]])</f>
        <v>40</v>
      </c>
    </row>
    <row r="1118" spans="1:27" x14ac:dyDescent="0.2">
      <c r="A1118" t="s">
        <v>1981</v>
      </c>
      <c r="B1118" t="s">
        <v>5682</v>
      </c>
      <c r="C1118" t="s">
        <v>1980</v>
      </c>
      <c r="D1118" t="s">
        <v>5688</v>
      </c>
      <c r="E1118" t="s">
        <v>187</v>
      </c>
      <c r="F1118">
        <v>2</v>
      </c>
      <c r="G1118">
        <v>28</v>
      </c>
      <c r="H1118">
        <v>52</v>
      </c>
      <c r="I1118">
        <v>15.5</v>
      </c>
      <c r="J1118" s="110">
        <v>1116</v>
      </c>
      <c r="K1118" t="s">
        <v>1505</v>
      </c>
      <c r="L1118">
        <f>IF(Table_TRM_Fixtures[[#This Row],[Technology]]="LED", Table_TRM_Fixtures[[#This Row],[Fixture Watts  (TRM Data)]], Table_TRM_Fixtures[[#This Row],[Lamp Watts  (TRM Data)]])</f>
        <v>28</v>
      </c>
      <c r="M1118">
        <f>Table_TRM_Fixtures[[#This Row],[No. of Lamps  (TRM Data)]]</f>
        <v>2</v>
      </c>
      <c r="N1118">
        <v>48</v>
      </c>
      <c r="O1118" t="s">
        <v>1381</v>
      </c>
      <c r="P1118" t="s">
        <v>187</v>
      </c>
      <c r="Q1118" t="s">
        <v>5612</v>
      </c>
      <c r="R1118" t="str">
        <f>_xlfn.CONCAT(Table_TRM_Fixtures[[#This Row],[Technology]], ", ", Table_TRM_Fixtures[[#This Row],[Ballast Code]], " Ballast")</f>
        <v>T8, Electronic STD Ballast</v>
      </c>
      <c r="S1118" t="str">
        <f>Table_TRM_Fixtures[[#This Row],[Description  (TRM Data)]]</f>
        <v>Fluorescent, (2) 48", T-8 @ 28W lamps, Instant Start Ballast, NLO (0.85 &lt; BF &lt; 0.95)</v>
      </c>
      <c r="T1118" t="str">
        <f>Table_TRM_Fixtures[[#This Row],[Fixture code  (TRM Data)]]</f>
        <v>F42IRLL</v>
      </c>
      <c r="U1118" t="s">
        <v>2882</v>
      </c>
      <c r="V1118" t="s">
        <v>186</v>
      </c>
      <c r="W1118" t="s">
        <v>3120</v>
      </c>
      <c r="X1118" t="s">
        <v>186</v>
      </c>
      <c r="Y1118" t="str">
        <f>_xlfn.CONCAT(Table_TRM_Fixtures[[#This Row],[Combined Lighting/Ballast Types]],":",Table_TRM_Fixtures[[#This Row],[No. of Lamps]], ":", Table_TRM_Fixtures[[#This Row],[Lamp Watts  (TRM Data)]])</f>
        <v>T8, Electronic STD Ballast:2:28</v>
      </c>
      <c r="Z1118"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T8:2:28</v>
      </c>
      <c r="AA1118">
        <f>IF(Table_TRM_Fixtures[[#This Row],[Pre-EISA Baseline]]="Nominal", Table_TRM_Fixtures[[#This Row],[Fixture Watts  (TRM Data)]], Table_TRM_Fixtures[[#This Row],[Modified Baseline Fixture Watts]])</f>
        <v>52</v>
      </c>
    </row>
    <row r="1119" spans="1:27" x14ac:dyDescent="0.2">
      <c r="A1119" t="s">
        <v>1983</v>
      </c>
      <c r="B1119" t="s">
        <v>5682</v>
      </c>
      <c r="C1119" t="s">
        <v>1982</v>
      </c>
      <c r="D1119" t="s">
        <v>5689</v>
      </c>
      <c r="E1119" t="s">
        <v>187</v>
      </c>
      <c r="F1119">
        <v>2</v>
      </c>
      <c r="G1119">
        <v>28</v>
      </c>
      <c r="H1119">
        <v>68</v>
      </c>
      <c r="I1119">
        <v>15.5</v>
      </c>
      <c r="J1119" s="110">
        <v>1117</v>
      </c>
      <c r="K1119" t="s">
        <v>1505</v>
      </c>
      <c r="L1119">
        <f>IF(Table_TRM_Fixtures[[#This Row],[Technology]]="LED", Table_TRM_Fixtures[[#This Row],[Fixture Watts  (TRM Data)]], Table_TRM_Fixtures[[#This Row],[Lamp Watts  (TRM Data)]])</f>
        <v>28</v>
      </c>
      <c r="M1119">
        <f>Table_TRM_Fixtures[[#This Row],[No. of Lamps  (TRM Data)]]</f>
        <v>2</v>
      </c>
      <c r="N1119">
        <v>48</v>
      </c>
      <c r="O1119" t="s">
        <v>1381</v>
      </c>
      <c r="P1119" t="s">
        <v>187</v>
      </c>
      <c r="Q1119" t="s">
        <v>5616</v>
      </c>
      <c r="R1119" t="str">
        <f>_xlfn.CONCAT(Table_TRM_Fixtures[[#This Row],[Technology]], ", ", Table_TRM_Fixtures[[#This Row],[Ballast Code]], " Ballast")</f>
        <v>T8, Electronic VHLO Ballast</v>
      </c>
      <c r="S1119" t="str">
        <f>Table_TRM_Fixtures[[#This Row],[Description  (TRM Data)]]</f>
        <v>Fluorescent, (2) 48" T-8 @ 28W lamps, Instant Start Ballast, VHLO (BF &gt; 1.1)</v>
      </c>
      <c r="T1119" t="str">
        <f>Table_TRM_Fixtures[[#This Row],[Fixture code  (TRM Data)]]</f>
        <v>F42IRLL-V</v>
      </c>
      <c r="U1119" t="s">
        <v>2882</v>
      </c>
      <c r="V1119" t="s">
        <v>186</v>
      </c>
      <c r="W1119" t="s">
        <v>3120</v>
      </c>
      <c r="X1119" t="s">
        <v>186</v>
      </c>
      <c r="Y1119" t="str">
        <f>_xlfn.CONCAT(Table_TRM_Fixtures[[#This Row],[Combined Lighting/Ballast Types]],":",Table_TRM_Fixtures[[#This Row],[No. of Lamps]], ":", Table_TRM_Fixtures[[#This Row],[Lamp Watts  (TRM Data)]])</f>
        <v>T8, Electronic VHLO Ballast:2:28</v>
      </c>
      <c r="Z1119" t="s">
        <v>4815</v>
      </c>
      <c r="AA1119">
        <f>IF(Table_TRM_Fixtures[[#This Row],[Pre-EISA Baseline]]="Nominal", Table_TRM_Fixtures[[#This Row],[Fixture Watts  (TRM Data)]], Table_TRM_Fixtures[[#This Row],[Modified Baseline Fixture Watts]])</f>
        <v>68</v>
      </c>
    </row>
    <row r="1120" spans="1:27" x14ac:dyDescent="0.2">
      <c r="A1120" t="s">
        <v>1985</v>
      </c>
      <c r="B1120" t="s">
        <v>5682</v>
      </c>
      <c r="C1120" t="s">
        <v>1984</v>
      </c>
      <c r="D1120" t="s">
        <v>5686</v>
      </c>
      <c r="E1120" t="s">
        <v>187</v>
      </c>
      <c r="F1120">
        <v>2</v>
      </c>
      <c r="G1120">
        <v>28</v>
      </c>
      <c r="H1120">
        <v>48</v>
      </c>
      <c r="I1120">
        <v>15.5</v>
      </c>
      <c r="J1120" s="110">
        <v>1118</v>
      </c>
      <c r="K1120" t="s">
        <v>1505</v>
      </c>
      <c r="L1120">
        <f>IF(Table_TRM_Fixtures[[#This Row],[Technology]]="LED", Table_TRM_Fixtures[[#This Row],[Fixture Watts  (TRM Data)]], Table_TRM_Fixtures[[#This Row],[Lamp Watts  (TRM Data)]])</f>
        <v>28</v>
      </c>
      <c r="M1120">
        <f>Table_TRM_Fixtures[[#This Row],[No. of Lamps  (TRM Data)]]</f>
        <v>2</v>
      </c>
      <c r="N1120">
        <v>48</v>
      </c>
      <c r="O1120" t="s">
        <v>1381</v>
      </c>
      <c r="P1120" t="s">
        <v>187</v>
      </c>
      <c r="Q1120" t="s">
        <v>5612</v>
      </c>
      <c r="R1120" t="str">
        <f>_xlfn.CONCAT(Table_TRM_Fixtures[[#This Row],[Technology]], ", ", Table_TRM_Fixtures[[#This Row],[Ballast Code]], " Ballast")</f>
        <v>T8, Electronic STD Ballast</v>
      </c>
      <c r="S1120" t="str">
        <f>Table_TRM_Fixtures[[#This Row],[Description  (TRM Data)]]</f>
        <v>Fluorescent, (2), T-8 @ 28W lamps, Instant Start Ballast, NLO (0.85 &lt; BF &lt; 0.95)</v>
      </c>
      <c r="T1120" t="str">
        <f>Table_TRM_Fixtures[[#This Row],[Fixture code  (TRM Data)]]</f>
        <v>F42IRLU</v>
      </c>
      <c r="U1120" t="s">
        <v>2882</v>
      </c>
      <c r="V1120" t="s">
        <v>186</v>
      </c>
      <c r="W1120" t="s">
        <v>3120</v>
      </c>
      <c r="X1120" t="s">
        <v>186</v>
      </c>
      <c r="Y1120" t="s">
        <v>4815</v>
      </c>
      <c r="Z1120" t="s">
        <v>4815</v>
      </c>
      <c r="AA1120">
        <f>IF(Table_TRM_Fixtures[[#This Row],[Pre-EISA Baseline]]="Nominal", Table_TRM_Fixtures[[#This Row],[Fixture Watts  (TRM Data)]], Table_TRM_Fixtures[[#This Row],[Modified Baseline Fixture Watts]])</f>
        <v>48</v>
      </c>
    </row>
    <row r="1121" spans="1:27" x14ac:dyDescent="0.2">
      <c r="A1121" t="s">
        <v>1987</v>
      </c>
      <c r="B1121" t="s">
        <v>5682</v>
      </c>
      <c r="C1121" t="s">
        <v>1986</v>
      </c>
      <c r="D1121" t="s">
        <v>5687</v>
      </c>
      <c r="E1121" t="s">
        <v>187</v>
      </c>
      <c r="F1121">
        <v>2</v>
      </c>
      <c r="G1121">
        <v>28</v>
      </c>
      <c r="H1121">
        <v>43</v>
      </c>
      <c r="I1121">
        <v>15.5</v>
      </c>
      <c r="J1121" s="110">
        <v>1119</v>
      </c>
      <c r="K1121" t="s">
        <v>1505</v>
      </c>
      <c r="L1121">
        <f>IF(Table_TRM_Fixtures[[#This Row],[Technology]]="LED", Table_TRM_Fixtures[[#This Row],[Fixture Watts  (TRM Data)]], Table_TRM_Fixtures[[#This Row],[Lamp Watts  (TRM Data)]])</f>
        <v>28</v>
      </c>
      <c r="M1121">
        <f>Table_TRM_Fixtures[[#This Row],[No. of Lamps  (TRM Data)]]</f>
        <v>2</v>
      </c>
      <c r="N1121">
        <v>48</v>
      </c>
      <c r="O1121" t="s">
        <v>1381</v>
      </c>
      <c r="P1121" t="s">
        <v>187</v>
      </c>
      <c r="Q1121" t="s">
        <v>5614</v>
      </c>
      <c r="R1121" t="str">
        <f>_xlfn.CONCAT(Table_TRM_Fixtures[[#This Row],[Technology]], ", ", Table_TRM_Fixtures[[#This Row],[Ballast Code]], " Ballast")</f>
        <v>T8, Electronic RLO Ballast</v>
      </c>
      <c r="S1121" t="str">
        <f>Table_TRM_Fixtures[[#This Row],[Description  (TRM Data)]]</f>
        <v>Fluorescent, (2) 48", T-8 @ 28W lamps, Instant Start Ballast, RLO (BF&lt; 0.85)</v>
      </c>
      <c r="T1121" t="str">
        <f>Table_TRM_Fixtures[[#This Row],[Fixture code  (TRM Data)]]</f>
        <v>F42IRLU-R</v>
      </c>
      <c r="U1121" t="s">
        <v>2882</v>
      </c>
      <c r="V1121" t="s">
        <v>186</v>
      </c>
      <c r="W1121" t="s">
        <v>3120</v>
      </c>
      <c r="X1121" t="s">
        <v>186</v>
      </c>
      <c r="Y1121" t="str">
        <f>_xlfn.CONCAT(Table_TRM_Fixtures[[#This Row],[Combined Lighting/Ballast Types]],":",Table_TRM_Fixtures[[#This Row],[No. of Lamps]], ":", Table_TRM_Fixtures[[#This Row],[Lamp Watts  (TRM Data)]])</f>
        <v>T8, Electronic RLO Ballast:2:28</v>
      </c>
      <c r="Z1121" t="s">
        <v>4815</v>
      </c>
      <c r="AA1121">
        <f>IF(Table_TRM_Fixtures[[#This Row],[Pre-EISA Baseline]]="Nominal", Table_TRM_Fixtures[[#This Row],[Fixture Watts  (TRM Data)]], Table_TRM_Fixtures[[#This Row],[Modified Baseline Fixture Watts]])</f>
        <v>43</v>
      </c>
    </row>
    <row r="1122" spans="1:27" x14ac:dyDescent="0.2">
      <c r="A1122" t="s">
        <v>1989</v>
      </c>
      <c r="B1122" t="s">
        <v>5682</v>
      </c>
      <c r="C1122" t="s">
        <v>1988</v>
      </c>
      <c r="D1122" t="s">
        <v>5689</v>
      </c>
      <c r="E1122" t="s">
        <v>187</v>
      </c>
      <c r="F1122">
        <v>2</v>
      </c>
      <c r="G1122">
        <v>28</v>
      </c>
      <c r="H1122">
        <v>65</v>
      </c>
      <c r="I1122">
        <v>15.5</v>
      </c>
      <c r="J1122" s="110">
        <v>1120</v>
      </c>
      <c r="K1122" t="s">
        <v>1505</v>
      </c>
      <c r="L1122">
        <f>IF(Table_TRM_Fixtures[[#This Row],[Technology]]="LED", Table_TRM_Fixtures[[#This Row],[Fixture Watts  (TRM Data)]], Table_TRM_Fixtures[[#This Row],[Lamp Watts  (TRM Data)]])</f>
        <v>28</v>
      </c>
      <c r="M1122">
        <f>Table_TRM_Fixtures[[#This Row],[No. of Lamps  (TRM Data)]]</f>
        <v>2</v>
      </c>
      <c r="N1122">
        <v>48</v>
      </c>
      <c r="O1122" t="s">
        <v>1381</v>
      </c>
      <c r="P1122" t="s">
        <v>187</v>
      </c>
      <c r="Q1122" t="s">
        <v>5616</v>
      </c>
      <c r="R1122" t="str">
        <f>_xlfn.CONCAT(Table_TRM_Fixtures[[#This Row],[Technology]], ", ", Table_TRM_Fixtures[[#This Row],[Ballast Code]], " Ballast")</f>
        <v>T8, Electronic VHLO Ballast</v>
      </c>
      <c r="S1122" t="str">
        <f>Table_TRM_Fixtures[[#This Row],[Description  (TRM Data)]]</f>
        <v>Fluorescent, (2) 48", T-8 @ 28W lamps, Instant Start Ballast, VHLO (BF &gt; 1.1)</v>
      </c>
      <c r="T1122" t="str">
        <f>Table_TRM_Fixtures[[#This Row],[Fixture code  (TRM Data)]]</f>
        <v>F42IRLU-V</v>
      </c>
      <c r="U1122" t="s">
        <v>2882</v>
      </c>
      <c r="V1122" t="s">
        <v>186</v>
      </c>
      <c r="W1122" t="s">
        <v>3120</v>
      </c>
      <c r="X1122" t="s">
        <v>186</v>
      </c>
      <c r="Y1122" t="s">
        <v>4815</v>
      </c>
      <c r="Z1122" t="s">
        <v>4815</v>
      </c>
      <c r="AA1122">
        <f>IF(Table_TRM_Fixtures[[#This Row],[Pre-EISA Baseline]]="Nominal", Table_TRM_Fixtures[[#This Row],[Fixture Watts  (TRM Data)]], Table_TRM_Fixtures[[#This Row],[Modified Baseline Fixture Watts]])</f>
        <v>65</v>
      </c>
    </row>
    <row r="1123" spans="1:27" x14ac:dyDescent="0.2">
      <c r="A1123" t="s">
        <v>1991</v>
      </c>
      <c r="B1123" t="s">
        <v>5682</v>
      </c>
      <c r="C1123" t="s">
        <v>1990</v>
      </c>
      <c r="D1123" t="s">
        <v>5687</v>
      </c>
      <c r="E1123" t="s">
        <v>187</v>
      </c>
      <c r="F1123">
        <v>2</v>
      </c>
      <c r="G1123">
        <v>28</v>
      </c>
      <c r="H1123">
        <v>42</v>
      </c>
      <c r="I1123">
        <v>15.5</v>
      </c>
      <c r="J1123" s="110">
        <v>1121</v>
      </c>
      <c r="K1123" t="s">
        <v>1505</v>
      </c>
      <c r="L1123">
        <f>IF(Table_TRM_Fixtures[[#This Row],[Technology]]="LED", Table_TRM_Fixtures[[#This Row],[Fixture Watts  (TRM Data)]], Table_TRM_Fixtures[[#This Row],[Lamp Watts  (TRM Data)]])</f>
        <v>28</v>
      </c>
      <c r="M1123">
        <f>Table_TRM_Fixtures[[#This Row],[No. of Lamps  (TRM Data)]]</f>
        <v>2</v>
      </c>
      <c r="N1123">
        <v>48</v>
      </c>
      <c r="O1123" t="s">
        <v>1381</v>
      </c>
      <c r="P1123" t="s">
        <v>187</v>
      </c>
      <c r="Q1123" t="s">
        <v>5614</v>
      </c>
      <c r="R1123" t="str">
        <f>_xlfn.CONCAT(Table_TRM_Fixtures[[#This Row],[Technology]], ", ", Table_TRM_Fixtures[[#This Row],[Ballast Code]], " Ballast")</f>
        <v>T8, Electronic RLO Ballast</v>
      </c>
      <c r="S1123" t="str">
        <f>Table_TRM_Fixtures[[#This Row],[Description  (TRM Data)]]</f>
        <v>Fluorescent, (2) 48", T-8 @ 28W lamps, Tandem 4-lamp IS Ballast, RLO (BF&lt; 0.85)</v>
      </c>
      <c r="T1123" t="str">
        <f>Table_TRM_Fixtures[[#This Row],[Fixture code  (TRM Data)]]</f>
        <v>F42IRLU/T4-R</v>
      </c>
      <c r="U1123" t="s">
        <v>2882</v>
      </c>
      <c r="V1123" t="s">
        <v>186</v>
      </c>
      <c r="W1123" t="s">
        <v>3120</v>
      </c>
      <c r="X1123" t="s">
        <v>186</v>
      </c>
      <c r="Y1123" t="s">
        <v>4815</v>
      </c>
      <c r="Z1123" t="s">
        <v>4815</v>
      </c>
      <c r="AA1123">
        <f>IF(Table_TRM_Fixtures[[#This Row],[Pre-EISA Baseline]]="Nominal", Table_TRM_Fixtures[[#This Row],[Fixture Watts  (TRM Data)]], Table_TRM_Fixtures[[#This Row],[Modified Baseline Fixture Watts]])</f>
        <v>42</v>
      </c>
    </row>
    <row r="1124" spans="1:27" x14ac:dyDescent="0.2">
      <c r="A1124" t="s">
        <v>1993</v>
      </c>
      <c r="B1124" t="s">
        <v>5682</v>
      </c>
      <c r="C1124" t="s">
        <v>1992</v>
      </c>
      <c r="D1124" t="s">
        <v>5690</v>
      </c>
      <c r="E1124" t="s">
        <v>1386</v>
      </c>
      <c r="F1124">
        <v>3</v>
      </c>
      <c r="G1124">
        <v>28</v>
      </c>
      <c r="H1124">
        <v>75</v>
      </c>
      <c r="I1124">
        <v>15.5</v>
      </c>
      <c r="J1124" s="110">
        <v>1122</v>
      </c>
      <c r="K1124" t="s">
        <v>1505</v>
      </c>
      <c r="L1124">
        <f>IF(Table_TRM_Fixtures[[#This Row],[Technology]]="LED", Table_TRM_Fixtures[[#This Row],[Fixture Watts  (TRM Data)]], Table_TRM_Fixtures[[#This Row],[Lamp Watts  (TRM Data)]])</f>
        <v>28</v>
      </c>
      <c r="M1124">
        <f>Table_TRM_Fixtures[[#This Row],[No. of Lamps  (TRM Data)]]</f>
        <v>3</v>
      </c>
      <c r="N1124">
        <v>48</v>
      </c>
      <c r="O1124" t="s">
        <v>1381</v>
      </c>
      <c r="P1124" t="s">
        <v>187</v>
      </c>
      <c r="Q1124" t="s">
        <v>5612</v>
      </c>
      <c r="R1124" t="str">
        <f>_xlfn.CONCAT(Table_TRM_Fixtures[[#This Row],[Technology]], ", ", Table_TRM_Fixtures[[#This Row],[Ballast Code]], " Ballast")</f>
        <v>T8, Electronic STD Ballast</v>
      </c>
      <c r="S1124" t="str">
        <f>Table_TRM_Fixtures[[#This Row],[Description  (TRM Data)]]</f>
        <v>Fluorescent (3) 48" T-8 @ 28W lamps, Prog. Start or PRS Ballast, NLO (0.85 &lt; BF &lt; 0.95)</v>
      </c>
      <c r="T1124" t="str">
        <f>Table_TRM_Fixtures[[#This Row],[Fixture code  (TRM Data)]]</f>
        <v>F43GRLL</v>
      </c>
      <c r="U1124" t="s">
        <v>2882</v>
      </c>
      <c r="V1124" t="s">
        <v>186</v>
      </c>
      <c r="W1124" t="s">
        <v>3120</v>
      </c>
      <c r="X1124" t="s">
        <v>186</v>
      </c>
      <c r="Y1124" t="s">
        <v>4815</v>
      </c>
      <c r="Z1124" t="s">
        <v>4815</v>
      </c>
      <c r="AA1124">
        <f>IF(Table_TRM_Fixtures[[#This Row],[Pre-EISA Baseline]]="Nominal", Table_TRM_Fixtures[[#This Row],[Fixture Watts  (TRM Data)]], Table_TRM_Fixtures[[#This Row],[Modified Baseline Fixture Watts]])</f>
        <v>75</v>
      </c>
    </row>
    <row r="1125" spans="1:27" x14ac:dyDescent="0.2">
      <c r="A1125" t="s">
        <v>1995</v>
      </c>
      <c r="B1125" t="s">
        <v>5682</v>
      </c>
      <c r="C1125" t="s">
        <v>1994</v>
      </c>
      <c r="D1125" t="s">
        <v>5691</v>
      </c>
      <c r="E1125" t="s">
        <v>1386</v>
      </c>
      <c r="F1125">
        <v>3</v>
      </c>
      <c r="G1125">
        <v>28</v>
      </c>
      <c r="H1125">
        <v>62</v>
      </c>
      <c r="I1125">
        <v>15.5</v>
      </c>
      <c r="J1125" s="110">
        <v>1123</v>
      </c>
      <c r="K1125" t="s">
        <v>1505</v>
      </c>
      <c r="L1125">
        <f>IF(Table_TRM_Fixtures[[#This Row],[Technology]]="LED", Table_TRM_Fixtures[[#This Row],[Fixture Watts  (TRM Data)]], Table_TRM_Fixtures[[#This Row],[Lamp Watts  (TRM Data)]])</f>
        <v>28</v>
      </c>
      <c r="M1125">
        <f>Table_TRM_Fixtures[[#This Row],[No. of Lamps  (TRM Data)]]</f>
        <v>3</v>
      </c>
      <c r="N1125">
        <v>48</v>
      </c>
      <c r="O1125" t="s">
        <v>1381</v>
      </c>
      <c r="P1125" t="s">
        <v>187</v>
      </c>
      <c r="Q1125" t="s">
        <v>5614</v>
      </c>
      <c r="R1125" t="str">
        <f>_xlfn.CONCAT(Table_TRM_Fixtures[[#This Row],[Technology]], ", ", Table_TRM_Fixtures[[#This Row],[Ballast Code]], " Ballast")</f>
        <v>T8, Electronic RLO Ballast</v>
      </c>
      <c r="S1125" t="str">
        <f>Table_TRM_Fixtures[[#This Row],[Description  (TRM Data)]]</f>
        <v>Fluorescent, (3) 48" T-8 @ 28W lamps, Prog. Start or PRS Ballast, RLO (BF &lt; 0.85)</v>
      </c>
      <c r="T1125" t="str">
        <f>Table_TRM_Fixtures[[#This Row],[Fixture code  (TRM Data)]]</f>
        <v>F43GRLL-R</v>
      </c>
      <c r="U1125" t="s">
        <v>2882</v>
      </c>
      <c r="V1125" t="s">
        <v>186</v>
      </c>
      <c r="W1125" t="s">
        <v>3120</v>
      </c>
      <c r="X1125" t="s">
        <v>186</v>
      </c>
      <c r="Y1125" t="s">
        <v>4815</v>
      </c>
      <c r="Z1125" t="s">
        <v>4815</v>
      </c>
      <c r="AA1125">
        <f>IF(Table_TRM_Fixtures[[#This Row],[Pre-EISA Baseline]]="Nominal", Table_TRM_Fixtures[[#This Row],[Fixture Watts  (TRM Data)]], Table_TRM_Fixtures[[#This Row],[Modified Baseline Fixture Watts]])</f>
        <v>62</v>
      </c>
    </row>
    <row r="1126" spans="1:27" x14ac:dyDescent="0.2">
      <c r="A1126" t="s">
        <v>1997</v>
      </c>
      <c r="B1126" t="s">
        <v>5682</v>
      </c>
      <c r="C1126" t="s">
        <v>1996</v>
      </c>
      <c r="D1126" t="s">
        <v>5690</v>
      </c>
      <c r="E1126" t="s">
        <v>187</v>
      </c>
      <c r="F1126">
        <v>3</v>
      </c>
      <c r="G1126">
        <v>28</v>
      </c>
      <c r="H1126">
        <v>76</v>
      </c>
      <c r="I1126">
        <v>15.5</v>
      </c>
      <c r="J1126" s="110">
        <v>1124</v>
      </c>
      <c r="K1126" t="s">
        <v>1505</v>
      </c>
      <c r="L1126">
        <f>IF(Table_TRM_Fixtures[[#This Row],[Technology]]="LED", Table_TRM_Fixtures[[#This Row],[Fixture Watts  (TRM Data)]], Table_TRM_Fixtures[[#This Row],[Lamp Watts  (TRM Data)]])</f>
        <v>28</v>
      </c>
      <c r="M1126">
        <f>Table_TRM_Fixtures[[#This Row],[No. of Lamps  (TRM Data)]]</f>
        <v>3</v>
      </c>
      <c r="N1126">
        <v>48</v>
      </c>
      <c r="O1126" t="s">
        <v>1381</v>
      </c>
      <c r="P1126" t="s">
        <v>187</v>
      </c>
      <c r="Q1126" t="s">
        <v>5612</v>
      </c>
      <c r="R1126" t="str">
        <f>_xlfn.CONCAT(Table_TRM_Fixtures[[#This Row],[Technology]], ", ", Table_TRM_Fixtures[[#This Row],[Ballast Code]], " Ballast")</f>
        <v>T8, Electronic STD Ballast</v>
      </c>
      <c r="S1126" t="str">
        <f>Table_TRM_Fixtures[[#This Row],[Description  (TRM Data)]]</f>
        <v>Fluorescent, (3) 48" T-8 @ 28W lamps, Instant Start Ballast, NLO (0.85 &lt; BF &lt; 0.95)</v>
      </c>
      <c r="T1126" t="str">
        <f>Table_TRM_Fixtures[[#This Row],[Fixture code  (TRM Data)]]</f>
        <v>F43IRLL</v>
      </c>
      <c r="U1126" t="s">
        <v>2882</v>
      </c>
      <c r="V1126" t="s">
        <v>186</v>
      </c>
      <c r="W1126" t="s">
        <v>3120</v>
      </c>
      <c r="X1126" t="s">
        <v>186</v>
      </c>
      <c r="Y1126" t="str">
        <f>_xlfn.CONCAT(Table_TRM_Fixtures[[#This Row],[Combined Lighting/Ballast Types]],":",Table_TRM_Fixtures[[#This Row],[No. of Lamps]], ":", Table_TRM_Fixtures[[#This Row],[Lamp Watts  (TRM Data)]])</f>
        <v>T8, Electronic STD Ballast:3:28</v>
      </c>
      <c r="Z1126"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T8:3:28</v>
      </c>
      <c r="AA1126">
        <f>IF(Table_TRM_Fixtures[[#This Row],[Pre-EISA Baseline]]="Nominal", Table_TRM_Fixtures[[#This Row],[Fixture Watts  (TRM Data)]], Table_TRM_Fixtures[[#This Row],[Modified Baseline Fixture Watts]])</f>
        <v>76</v>
      </c>
    </row>
    <row r="1127" spans="1:27" x14ac:dyDescent="0.2">
      <c r="A1127" t="s">
        <v>1999</v>
      </c>
      <c r="B1127" t="s">
        <v>5682</v>
      </c>
      <c r="C1127" t="s">
        <v>1998</v>
      </c>
      <c r="D1127" t="s">
        <v>5692</v>
      </c>
      <c r="E1127" t="s">
        <v>187</v>
      </c>
      <c r="F1127">
        <v>3</v>
      </c>
      <c r="G1127">
        <v>28</v>
      </c>
      <c r="H1127">
        <v>82</v>
      </c>
      <c r="I1127">
        <v>15.5</v>
      </c>
      <c r="J1127" s="110">
        <v>1125</v>
      </c>
      <c r="K1127" t="s">
        <v>1505</v>
      </c>
      <c r="L1127">
        <f>IF(Table_TRM_Fixtures[[#This Row],[Technology]]="LED", Table_TRM_Fixtures[[#This Row],[Fixture Watts  (TRM Data)]], Table_TRM_Fixtures[[#This Row],[Lamp Watts  (TRM Data)]])</f>
        <v>28</v>
      </c>
      <c r="M1127">
        <f>Table_TRM_Fixtures[[#This Row],[No. of Lamps  (TRM Data)]]</f>
        <v>3</v>
      </c>
      <c r="N1127">
        <v>48</v>
      </c>
      <c r="O1127" t="s">
        <v>1381</v>
      </c>
      <c r="P1127" t="s">
        <v>187</v>
      </c>
      <c r="Q1127" t="s">
        <v>5566</v>
      </c>
      <c r="R1127" t="str">
        <f>_xlfn.CONCAT(Table_TRM_Fixtures[[#This Row],[Technology]], ", ", Table_TRM_Fixtures[[#This Row],[Ballast Code]], " Ballast")</f>
        <v>T8, Electronic HLO Ballast</v>
      </c>
      <c r="S1127" t="str">
        <f>Table_TRM_Fixtures[[#This Row],[Description  (TRM Data)]]</f>
        <v>Fluorescent, (3) 48" T-8 @ 28W lamps, Instant Start Ballast, HLO (.95 &lt; BF &lt; 1.1)</v>
      </c>
      <c r="T1127" t="str">
        <f>Table_TRM_Fixtures[[#This Row],[Fixture code  (TRM Data)]]</f>
        <v>F43IRLL-H</v>
      </c>
      <c r="U1127" t="s">
        <v>2882</v>
      </c>
      <c r="V1127" t="s">
        <v>186</v>
      </c>
      <c r="W1127" t="s">
        <v>3120</v>
      </c>
      <c r="X1127" t="s">
        <v>186</v>
      </c>
      <c r="Y1127" t="str">
        <f>_xlfn.CONCAT(Table_TRM_Fixtures[[#This Row],[Combined Lighting/Ballast Types]],":",Table_TRM_Fixtures[[#This Row],[No. of Lamps]], ":", Table_TRM_Fixtures[[#This Row],[Lamp Watts  (TRM Data)]])</f>
        <v>T8, Electronic HLO Ballast:3:28</v>
      </c>
      <c r="Z1127" t="s">
        <v>4815</v>
      </c>
      <c r="AA1127">
        <f>IF(Table_TRM_Fixtures[[#This Row],[Pre-EISA Baseline]]="Nominal", Table_TRM_Fixtures[[#This Row],[Fixture Watts  (TRM Data)]], Table_TRM_Fixtures[[#This Row],[Modified Baseline Fixture Watts]])</f>
        <v>82</v>
      </c>
    </row>
    <row r="1128" spans="1:27" x14ac:dyDescent="0.2">
      <c r="A1128" t="s">
        <v>2001</v>
      </c>
      <c r="B1128" t="s">
        <v>5682</v>
      </c>
      <c r="C1128" t="s">
        <v>2000</v>
      </c>
      <c r="D1128" t="s">
        <v>5693</v>
      </c>
      <c r="E1128" t="s">
        <v>187</v>
      </c>
      <c r="F1128">
        <v>3</v>
      </c>
      <c r="G1128">
        <v>28</v>
      </c>
      <c r="H1128">
        <v>97</v>
      </c>
      <c r="I1128">
        <v>15.5</v>
      </c>
      <c r="J1128" s="110">
        <v>1126</v>
      </c>
      <c r="K1128" t="s">
        <v>1505</v>
      </c>
      <c r="L1128">
        <f>IF(Table_TRM_Fixtures[[#This Row],[Technology]]="LED", Table_TRM_Fixtures[[#This Row],[Fixture Watts  (TRM Data)]], Table_TRM_Fixtures[[#This Row],[Lamp Watts  (TRM Data)]])</f>
        <v>28</v>
      </c>
      <c r="M1128">
        <f>Table_TRM_Fixtures[[#This Row],[No. of Lamps  (TRM Data)]]</f>
        <v>3</v>
      </c>
      <c r="N1128">
        <v>48</v>
      </c>
      <c r="O1128" t="s">
        <v>1381</v>
      </c>
      <c r="P1128" t="s">
        <v>187</v>
      </c>
      <c r="Q1128" t="s">
        <v>5616</v>
      </c>
      <c r="R1128" t="str">
        <f>_xlfn.CONCAT(Table_TRM_Fixtures[[#This Row],[Technology]], ", ", Table_TRM_Fixtures[[#This Row],[Ballast Code]], " Ballast")</f>
        <v>T8, Electronic VHLO Ballast</v>
      </c>
      <c r="S1128" t="str">
        <f>Table_TRM_Fixtures[[#This Row],[Description  (TRM Data)]]</f>
        <v>Fluorescent, (3) 48" T-8 @ 28W lamps, Instant Start Ballast, VHLO (BF &gt; 1.1)</v>
      </c>
      <c r="T1128" t="str">
        <f>Table_TRM_Fixtures[[#This Row],[Fixture code  (TRM Data)]]</f>
        <v>F43IRLL-V</v>
      </c>
      <c r="U1128" t="s">
        <v>2882</v>
      </c>
      <c r="V1128" t="s">
        <v>186</v>
      </c>
      <c r="W1128" t="s">
        <v>3120</v>
      </c>
      <c r="X1128" t="s">
        <v>186</v>
      </c>
      <c r="Y1128" t="str">
        <f>_xlfn.CONCAT(Table_TRM_Fixtures[[#This Row],[Combined Lighting/Ballast Types]],":",Table_TRM_Fixtures[[#This Row],[No. of Lamps]], ":", Table_TRM_Fixtures[[#This Row],[Lamp Watts  (TRM Data)]])</f>
        <v>T8, Electronic VHLO Ballast:3:28</v>
      </c>
      <c r="Z1128" t="s">
        <v>4815</v>
      </c>
      <c r="AA1128">
        <f>IF(Table_TRM_Fixtures[[#This Row],[Pre-EISA Baseline]]="Nominal", Table_TRM_Fixtures[[#This Row],[Fixture Watts  (TRM Data)]], Table_TRM_Fixtures[[#This Row],[Modified Baseline Fixture Watts]])</f>
        <v>97</v>
      </c>
    </row>
    <row r="1129" spans="1:27" x14ac:dyDescent="0.2">
      <c r="A1129" t="s">
        <v>2003</v>
      </c>
      <c r="B1129" t="s">
        <v>5682</v>
      </c>
      <c r="C1129" t="s">
        <v>2002</v>
      </c>
      <c r="D1129" t="s">
        <v>5690</v>
      </c>
      <c r="E1129" t="s">
        <v>187</v>
      </c>
      <c r="F1129">
        <v>3</v>
      </c>
      <c r="G1129">
        <v>28</v>
      </c>
      <c r="H1129">
        <v>72</v>
      </c>
      <c r="I1129">
        <v>15.5</v>
      </c>
      <c r="J1129" s="110">
        <v>1127</v>
      </c>
      <c r="K1129" t="s">
        <v>1505</v>
      </c>
      <c r="L1129">
        <f>IF(Table_TRM_Fixtures[[#This Row],[Technology]]="LED", Table_TRM_Fixtures[[#This Row],[Fixture Watts  (TRM Data)]], Table_TRM_Fixtures[[#This Row],[Lamp Watts  (TRM Data)]])</f>
        <v>28</v>
      </c>
      <c r="M1129">
        <f>Table_TRM_Fixtures[[#This Row],[No. of Lamps  (TRM Data)]]</f>
        <v>3</v>
      </c>
      <c r="N1129">
        <v>48</v>
      </c>
      <c r="O1129" t="s">
        <v>1381</v>
      </c>
      <c r="P1129" t="s">
        <v>187</v>
      </c>
      <c r="Q1129" t="s">
        <v>5612</v>
      </c>
      <c r="R1129" t="str">
        <f>_xlfn.CONCAT(Table_TRM_Fixtures[[#This Row],[Technology]], ", ", Table_TRM_Fixtures[[#This Row],[Ballast Code]], " Ballast")</f>
        <v>T8, Electronic STD Ballast</v>
      </c>
      <c r="S1129" t="str">
        <f>Table_TRM_Fixtures[[#This Row],[Description  (TRM Data)]]</f>
        <v>Fluorescent, (3) 48" T-8 lamps @ 28W, Instant Start Ballast, NLO (0.85 &lt; BF &lt; 0.95)</v>
      </c>
      <c r="T1129" t="str">
        <f>Table_TRM_Fixtures[[#This Row],[Fixture code  (TRM Data)]]</f>
        <v>F43IRLU</v>
      </c>
      <c r="U1129" t="s">
        <v>2882</v>
      </c>
      <c r="V1129" t="s">
        <v>186</v>
      </c>
      <c r="W1129" t="s">
        <v>3120</v>
      </c>
      <c r="X1129" t="s">
        <v>186</v>
      </c>
      <c r="Y1129" t="s">
        <v>4815</v>
      </c>
      <c r="Z1129" t="s">
        <v>4815</v>
      </c>
      <c r="AA1129">
        <f>IF(Table_TRM_Fixtures[[#This Row],[Pre-EISA Baseline]]="Nominal", Table_TRM_Fixtures[[#This Row],[Fixture Watts  (TRM Data)]], Table_TRM_Fixtures[[#This Row],[Modified Baseline Fixture Watts]])</f>
        <v>72</v>
      </c>
    </row>
    <row r="1130" spans="1:27" x14ac:dyDescent="0.2">
      <c r="A1130" t="s">
        <v>2005</v>
      </c>
      <c r="B1130" t="s">
        <v>5682</v>
      </c>
      <c r="C1130" t="s">
        <v>2004</v>
      </c>
      <c r="D1130" t="s">
        <v>5691</v>
      </c>
      <c r="E1130" t="s">
        <v>187</v>
      </c>
      <c r="F1130">
        <v>3</v>
      </c>
      <c r="G1130">
        <v>28</v>
      </c>
      <c r="H1130">
        <v>63</v>
      </c>
      <c r="I1130">
        <v>15.5</v>
      </c>
      <c r="J1130" s="110">
        <v>1128</v>
      </c>
      <c r="K1130" t="s">
        <v>1505</v>
      </c>
      <c r="L1130">
        <f>IF(Table_TRM_Fixtures[[#This Row],[Technology]]="LED", Table_TRM_Fixtures[[#This Row],[Fixture Watts  (TRM Data)]], Table_TRM_Fixtures[[#This Row],[Lamp Watts  (TRM Data)]])</f>
        <v>28</v>
      </c>
      <c r="M1130">
        <f>Table_TRM_Fixtures[[#This Row],[No. of Lamps  (TRM Data)]]</f>
        <v>3</v>
      </c>
      <c r="N1130">
        <v>48</v>
      </c>
      <c r="O1130" t="s">
        <v>1381</v>
      </c>
      <c r="P1130" t="s">
        <v>187</v>
      </c>
      <c r="Q1130" t="s">
        <v>5614</v>
      </c>
      <c r="R1130" t="str">
        <f>_xlfn.CONCAT(Table_TRM_Fixtures[[#This Row],[Technology]], ", ", Table_TRM_Fixtures[[#This Row],[Ballast Code]], " Ballast")</f>
        <v>T8, Electronic RLO Ballast</v>
      </c>
      <c r="S1130" t="str">
        <f>Table_TRM_Fixtures[[#This Row],[Description  (TRM Data)]]</f>
        <v>Fluorescent, (3) 48" T-8 @ 28W lamps, Instant Start Ballast, RLO (BF &lt; 0.85)</v>
      </c>
      <c r="T1130" t="str">
        <f>Table_TRM_Fixtures[[#This Row],[Fixture code  (TRM Data)]]</f>
        <v>F43IRLU-R</v>
      </c>
      <c r="U1130" t="s">
        <v>2882</v>
      </c>
      <c r="V1130" t="s">
        <v>186</v>
      </c>
      <c r="W1130" t="s">
        <v>3120</v>
      </c>
      <c r="X1130" t="s">
        <v>186</v>
      </c>
      <c r="Y1130" t="str">
        <f>_xlfn.CONCAT(Table_TRM_Fixtures[[#This Row],[Combined Lighting/Ballast Types]],":",Table_TRM_Fixtures[[#This Row],[No. of Lamps]], ":", Table_TRM_Fixtures[[#This Row],[Lamp Watts  (TRM Data)]])</f>
        <v>T8, Electronic RLO Ballast:3:28</v>
      </c>
      <c r="Z1130" t="s">
        <v>4815</v>
      </c>
      <c r="AA1130">
        <f>IF(Table_TRM_Fixtures[[#This Row],[Pre-EISA Baseline]]="Nominal", Table_TRM_Fixtures[[#This Row],[Fixture Watts  (TRM Data)]], Table_TRM_Fixtures[[#This Row],[Modified Baseline Fixture Watts]])</f>
        <v>63</v>
      </c>
    </row>
    <row r="1131" spans="1:27" x14ac:dyDescent="0.2">
      <c r="A1131" t="s">
        <v>2006</v>
      </c>
      <c r="B1131" t="s">
        <v>5682</v>
      </c>
      <c r="C1131" t="s">
        <v>2000</v>
      </c>
      <c r="D1131" t="s">
        <v>5693</v>
      </c>
      <c r="E1131" t="s">
        <v>187</v>
      </c>
      <c r="F1131">
        <v>3</v>
      </c>
      <c r="G1131">
        <v>28</v>
      </c>
      <c r="H1131">
        <v>96</v>
      </c>
      <c r="I1131">
        <v>15.5</v>
      </c>
      <c r="J1131" s="110">
        <v>1129</v>
      </c>
      <c r="K1131" t="s">
        <v>1505</v>
      </c>
      <c r="L1131">
        <f>IF(Table_TRM_Fixtures[[#This Row],[Technology]]="LED", Table_TRM_Fixtures[[#This Row],[Fixture Watts  (TRM Data)]], Table_TRM_Fixtures[[#This Row],[Lamp Watts  (TRM Data)]])</f>
        <v>28</v>
      </c>
      <c r="M1131">
        <f>Table_TRM_Fixtures[[#This Row],[No. of Lamps  (TRM Data)]]</f>
        <v>3</v>
      </c>
      <c r="N1131">
        <v>48</v>
      </c>
      <c r="O1131" t="s">
        <v>1381</v>
      </c>
      <c r="P1131" t="s">
        <v>187</v>
      </c>
      <c r="Q1131" t="s">
        <v>5616</v>
      </c>
      <c r="R1131" t="str">
        <f>_xlfn.CONCAT(Table_TRM_Fixtures[[#This Row],[Technology]], ", ", Table_TRM_Fixtures[[#This Row],[Ballast Code]], " Ballast")</f>
        <v>T8, Electronic VHLO Ballast</v>
      </c>
      <c r="S1131" t="str">
        <f>Table_TRM_Fixtures[[#This Row],[Description  (TRM Data)]]</f>
        <v>Fluorescent, (3) 48" T-8 @ 28W lamps, Instant Start Ballast, VHLO (BF &gt; 1.1)</v>
      </c>
      <c r="T1131" t="str">
        <f>Table_TRM_Fixtures[[#This Row],[Fixture code  (TRM Data)]]</f>
        <v>F43IRLU-V</v>
      </c>
      <c r="U1131" t="s">
        <v>2882</v>
      </c>
      <c r="V1131" t="s">
        <v>186</v>
      </c>
      <c r="W1131" t="s">
        <v>3120</v>
      </c>
      <c r="X1131" t="s">
        <v>186</v>
      </c>
      <c r="Y1131" t="s">
        <v>4815</v>
      </c>
      <c r="Z1131" t="s">
        <v>4815</v>
      </c>
      <c r="AA1131">
        <f>IF(Table_TRM_Fixtures[[#This Row],[Pre-EISA Baseline]]="Nominal", Table_TRM_Fixtures[[#This Row],[Fixture Watts  (TRM Data)]], Table_TRM_Fixtures[[#This Row],[Modified Baseline Fixture Watts]])</f>
        <v>96</v>
      </c>
    </row>
    <row r="1132" spans="1:27" x14ac:dyDescent="0.2">
      <c r="A1132" t="s">
        <v>2008</v>
      </c>
      <c r="B1132" t="s">
        <v>5682</v>
      </c>
      <c r="C1132" t="s">
        <v>2007</v>
      </c>
      <c r="D1132" t="s">
        <v>5694</v>
      </c>
      <c r="E1132" t="s">
        <v>1386</v>
      </c>
      <c r="F1132">
        <v>4</v>
      </c>
      <c r="G1132">
        <v>28</v>
      </c>
      <c r="H1132">
        <v>99</v>
      </c>
      <c r="I1132">
        <v>15.5</v>
      </c>
      <c r="J1132" s="110">
        <v>1130</v>
      </c>
      <c r="K1132" t="s">
        <v>1505</v>
      </c>
      <c r="L1132">
        <f>IF(Table_TRM_Fixtures[[#This Row],[Technology]]="LED", Table_TRM_Fixtures[[#This Row],[Fixture Watts  (TRM Data)]], Table_TRM_Fixtures[[#This Row],[Lamp Watts  (TRM Data)]])</f>
        <v>28</v>
      </c>
      <c r="M1132">
        <f>Table_TRM_Fixtures[[#This Row],[No. of Lamps  (TRM Data)]]</f>
        <v>4</v>
      </c>
      <c r="N1132">
        <v>48</v>
      </c>
      <c r="O1132" t="s">
        <v>1381</v>
      </c>
      <c r="P1132" t="s">
        <v>187</v>
      </c>
      <c r="Q1132" t="s">
        <v>5612</v>
      </c>
      <c r="R1132" t="str">
        <f>_xlfn.CONCAT(Table_TRM_Fixtures[[#This Row],[Technology]], ", ", Table_TRM_Fixtures[[#This Row],[Ballast Code]], " Ballast")</f>
        <v>T8, Electronic STD Ballast</v>
      </c>
      <c r="S1132" t="str">
        <f>Table_TRM_Fixtures[[#This Row],[Description  (TRM Data)]]</f>
        <v>Fluorescent (4) 48" T-8 @ 28W lamps, Prog. Start or PRS Ballast, NLO (0.85 &lt; BF &lt; 0.95)</v>
      </c>
      <c r="T1132" t="str">
        <f>Table_TRM_Fixtures[[#This Row],[Fixture code  (TRM Data)]]</f>
        <v>F44GRLL</v>
      </c>
      <c r="U1132" t="s">
        <v>2882</v>
      </c>
      <c r="V1132" t="s">
        <v>186</v>
      </c>
      <c r="W1132" t="s">
        <v>3120</v>
      </c>
      <c r="X1132" t="s">
        <v>186</v>
      </c>
      <c r="Y1132" t="s">
        <v>4815</v>
      </c>
      <c r="Z1132" t="s">
        <v>4815</v>
      </c>
      <c r="AA1132">
        <f>IF(Table_TRM_Fixtures[[#This Row],[Pre-EISA Baseline]]="Nominal", Table_TRM_Fixtures[[#This Row],[Fixture Watts  (TRM Data)]], Table_TRM_Fixtures[[#This Row],[Modified Baseline Fixture Watts]])</f>
        <v>99</v>
      </c>
    </row>
    <row r="1133" spans="1:27" x14ac:dyDescent="0.2">
      <c r="A1133" t="s">
        <v>2010</v>
      </c>
      <c r="B1133" t="s">
        <v>5682</v>
      </c>
      <c r="C1133" t="s">
        <v>2009</v>
      </c>
      <c r="D1133" t="s">
        <v>5695</v>
      </c>
      <c r="E1133" t="s">
        <v>1386</v>
      </c>
      <c r="F1133">
        <v>4</v>
      </c>
      <c r="G1133">
        <v>28</v>
      </c>
      <c r="H1133">
        <v>80</v>
      </c>
      <c r="I1133">
        <v>15.5</v>
      </c>
      <c r="J1133" s="110">
        <v>1131</v>
      </c>
      <c r="K1133" t="s">
        <v>1505</v>
      </c>
      <c r="L1133">
        <f>IF(Table_TRM_Fixtures[[#This Row],[Technology]]="LED", Table_TRM_Fixtures[[#This Row],[Fixture Watts  (TRM Data)]], Table_TRM_Fixtures[[#This Row],[Lamp Watts  (TRM Data)]])</f>
        <v>28</v>
      </c>
      <c r="M1133">
        <f>Table_TRM_Fixtures[[#This Row],[No. of Lamps  (TRM Data)]]</f>
        <v>4</v>
      </c>
      <c r="N1133">
        <v>48</v>
      </c>
      <c r="O1133" t="s">
        <v>1381</v>
      </c>
      <c r="P1133" t="s">
        <v>187</v>
      </c>
      <c r="Q1133" t="s">
        <v>5614</v>
      </c>
      <c r="R1133" t="str">
        <f>_xlfn.CONCAT(Table_TRM_Fixtures[[#This Row],[Technology]], ", ", Table_TRM_Fixtures[[#This Row],[Ballast Code]], " Ballast")</f>
        <v>T8, Electronic RLO Ballast</v>
      </c>
      <c r="S1133" t="str">
        <f>Table_TRM_Fixtures[[#This Row],[Description  (TRM Data)]]</f>
        <v>Fluorescent (4) 48" T-8 @ 28W lamps, Prog. Start or PRS Ballast, RLO (BF &lt; 0.85)</v>
      </c>
      <c r="T1133" t="str">
        <f>Table_TRM_Fixtures[[#This Row],[Fixture code  (TRM Data)]]</f>
        <v>F44GRLL-R</v>
      </c>
      <c r="U1133" t="s">
        <v>2882</v>
      </c>
      <c r="V1133" t="s">
        <v>186</v>
      </c>
      <c r="W1133" t="s">
        <v>3120</v>
      </c>
      <c r="X1133" t="s">
        <v>186</v>
      </c>
      <c r="Y1133" t="s">
        <v>4815</v>
      </c>
      <c r="Z1133" t="s">
        <v>4815</v>
      </c>
      <c r="AA1133">
        <f>IF(Table_TRM_Fixtures[[#This Row],[Pre-EISA Baseline]]="Nominal", Table_TRM_Fixtures[[#This Row],[Fixture Watts  (TRM Data)]], Table_TRM_Fixtures[[#This Row],[Modified Baseline Fixture Watts]])</f>
        <v>80</v>
      </c>
    </row>
    <row r="1134" spans="1:27" x14ac:dyDescent="0.2">
      <c r="A1134" t="s">
        <v>2012</v>
      </c>
      <c r="B1134" t="s">
        <v>5682</v>
      </c>
      <c r="C1134" t="s">
        <v>2011</v>
      </c>
      <c r="D1134" t="s">
        <v>5694</v>
      </c>
      <c r="E1134" t="s">
        <v>187</v>
      </c>
      <c r="F1134">
        <v>4</v>
      </c>
      <c r="G1134">
        <v>28</v>
      </c>
      <c r="H1134">
        <v>99</v>
      </c>
      <c r="I1134">
        <v>15.5</v>
      </c>
      <c r="J1134" s="110">
        <v>1132</v>
      </c>
      <c r="K1134" t="s">
        <v>1505</v>
      </c>
      <c r="L1134">
        <f>IF(Table_TRM_Fixtures[[#This Row],[Technology]]="LED", Table_TRM_Fixtures[[#This Row],[Fixture Watts  (TRM Data)]], Table_TRM_Fixtures[[#This Row],[Lamp Watts  (TRM Data)]])</f>
        <v>28</v>
      </c>
      <c r="M1134">
        <f>Table_TRM_Fixtures[[#This Row],[No. of Lamps  (TRM Data)]]</f>
        <v>4</v>
      </c>
      <c r="N1134">
        <v>48</v>
      </c>
      <c r="O1134" t="s">
        <v>1381</v>
      </c>
      <c r="P1134" t="s">
        <v>187</v>
      </c>
      <c r="Q1134" t="s">
        <v>5612</v>
      </c>
      <c r="R1134" t="str">
        <f>_xlfn.CONCAT(Table_TRM_Fixtures[[#This Row],[Technology]], ", ", Table_TRM_Fixtures[[#This Row],[Ballast Code]], " Ballast")</f>
        <v>T8, Electronic STD Ballast</v>
      </c>
      <c r="S1134" t="str">
        <f>Table_TRM_Fixtures[[#This Row],[Description  (TRM Data)]]</f>
        <v>Fluorescent, (4) 48", T-8 @ 28W lamps, Instant Start Ballast, NLO (0.85 &lt; BF &lt; 0.95)</v>
      </c>
      <c r="T1134" t="str">
        <f>Table_TRM_Fixtures[[#This Row],[Fixture code  (TRM Data)]]</f>
        <v>F44IRLL</v>
      </c>
      <c r="U1134" t="s">
        <v>2882</v>
      </c>
      <c r="V1134" t="s">
        <v>186</v>
      </c>
      <c r="W1134" t="s">
        <v>3120</v>
      </c>
      <c r="X1134" t="s">
        <v>186</v>
      </c>
      <c r="Y1134" t="str">
        <f>_xlfn.CONCAT(Table_TRM_Fixtures[[#This Row],[Combined Lighting/Ballast Types]],":",Table_TRM_Fixtures[[#This Row],[No. of Lamps]], ":", Table_TRM_Fixtures[[#This Row],[Lamp Watts  (TRM Data)]])</f>
        <v>T8, Electronic STD Ballast:4:28</v>
      </c>
      <c r="Z1134"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T8:4:28</v>
      </c>
      <c r="AA1134">
        <f>IF(Table_TRM_Fixtures[[#This Row],[Pre-EISA Baseline]]="Nominal", Table_TRM_Fixtures[[#This Row],[Fixture Watts  (TRM Data)]], Table_TRM_Fixtures[[#This Row],[Modified Baseline Fixture Watts]])</f>
        <v>99</v>
      </c>
    </row>
    <row r="1135" spans="1:27" x14ac:dyDescent="0.2">
      <c r="A1135" t="s">
        <v>2014</v>
      </c>
      <c r="B1135" t="s">
        <v>5682</v>
      </c>
      <c r="C1135" t="s">
        <v>2013</v>
      </c>
      <c r="D1135" t="s">
        <v>5695</v>
      </c>
      <c r="E1135" t="s">
        <v>187</v>
      </c>
      <c r="F1135">
        <v>4</v>
      </c>
      <c r="G1135">
        <v>28</v>
      </c>
      <c r="H1135">
        <v>85</v>
      </c>
      <c r="I1135">
        <v>15.5</v>
      </c>
      <c r="J1135" s="110">
        <v>1133</v>
      </c>
      <c r="K1135" t="s">
        <v>1505</v>
      </c>
      <c r="L1135">
        <f>IF(Table_TRM_Fixtures[[#This Row],[Technology]]="LED", Table_TRM_Fixtures[[#This Row],[Fixture Watts  (TRM Data)]], Table_TRM_Fixtures[[#This Row],[Lamp Watts  (TRM Data)]])</f>
        <v>28</v>
      </c>
      <c r="M1135">
        <f>Table_TRM_Fixtures[[#This Row],[No. of Lamps  (TRM Data)]]</f>
        <v>4</v>
      </c>
      <c r="N1135">
        <v>48</v>
      </c>
      <c r="O1135" t="s">
        <v>1381</v>
      </c>
      <c r="P1135" t="s">
        <v>187</v>
      </c>
      <c r="Q1135" t="s">
        <v>5614</v>
      </c>
      <c r="R1135" t="str">
        <f>_xlfn.CONCAT(Table_TRM_Fixtures[[#This Row],[Technology]], ", ", Table_TRM_Fixtures[[#This Row],[Ballast Code]], " Ballast")</f>
        <v>T8, Electronic RLO Ballast</v>
      </c>
      <c r="S1135" t="str">
        <f>Table_TRM_Fixtures[[#This Row],[Description  (TRM Data)]]</f>
        <v>Fluorescent, (4) 48", T-8 @ 28W lamps, Instant Start Ballast, RLO (BF &lt; 0.85)</v>
      </c>
      <c r="T1135" t="str">
        <f>Table_TRM_Fixtures[[#This Row],[Fixture code  (TRM Data)]]</f>
        <v>F44IRLL-R</v>
      </c>
      <c r="U1135" t="s">
        <v>2882</v>
      </c>
      <c r="V1135" t="s">
        <v>186</v>
      </c>
      <c r="W1135" t="s">
        <v>3120</v>
      </c>
      <c r="X1135" t="s">
        <v>186</v>
      </c>
      <c r="Y1135" t="str">
        <f>_xlfn.CONCAT(Table_TRM_Fixtures[[#This Row],[Combined Lighting/Ballast Types]],":",Table_TRM_Fixtures[[#This Row],[No. of Lamps]], ":", Table_TRM_Fixtures[[#This Row],[Lamp Watts  (TRM Data)]])</f>
        <v>T8, Electronic RLO Ballast:4:28</v>
      </c>
      <c r="Z1135" t="s">
        <v>4815</v>
      </c>
      <c r="AA1135">
        <f>IF(Table_TRM_Fixtures[[#This Row],[Pre-EISA Baseline]]="Nominal", Table_TRM_Fixtures[[#This Row],[Fixture Watts  (TRM Data)]], Table_TRM_Fixtures[[#This Row],[Modified Baseline Fixture Watts]])</f>
        <v>85</v>
      </c>
    </row>
    <row r="1136" spans="1:27" x14ac:dyDescent="0.2">
      <c r="A1136" t="s">
        <v>2015</v>
      </c>
      <c r="B1136" t="s">
        <v>5682</v>
      </c>
      <c r="C1136" t="s">
        <v>2011</v>
      </c>
      <c r="D1136" t="s">
        <v>5694</v>
      </c>
      <c r="E1136" t="s">
        <v>187</v>
      </c>
      <c r="F1136">
        <v>4</v>
      </c>
      <c r="G1136">
        <v>28</v>
      </c>
      <c r="H1136">
        <v>94</v>
      </c>
      <c r="I1136">
        <v>15.5</v>
      </c>
      <c r="J1136" s="110">
        <v>1134</v>
      </c>
      <c r="K1136" t="s">
        <v>1505</v>
      </c>
      <c r="L1136">
        <f>IF(Table_TRM_Fixtures[[#This Row],[Technology]]="LED", Table_TRM_Fixtures[[#This Row],[Fixture Watts  (TRM Data)]], Table_TRM_Fixtures[[#This Row],[Lamp Watts  (TRM Data)]])</f>
        <v>28</v>
      </c>
      <c r="M1136">
        <f>Table_TRM_Fixtures[[#This Row],[No. of Lamps  (TRM Data)]]</f>
        <v>4</v>
      </c>
      <c r="N1136">
        <v>48</v>
      </c>
      <c r="O1136" t="s">
        <v>1381</v>
      </c>
      <c r="P1136" t="s">
        <v>187</v>
      </c>
      <c r="Q1136" t="s">
        <v>5612</v>
      </c>
      <c r="R1136" t="str">
        <f>_xlfn.CONCAT(Table_TRM_Fixtures[[#This Row],[Technology]], ", ", Table_TRM_Fixtures[[#This Row],[Ballast Code]], " Ballast")</f>
        <v>T8, Electronic STD Ballast</v>
      </c>
      <c r="S1136" t="str">
        <f>Table_TRM_Fixtures[[#This Row],[Description  (TRM Data)]]</f>
        <v>Fluorescent, (4) 48", T-8 @ 28W lamps, Instant Start Ballast, NLO (0.85 &lt; BF &lt; 0.95)</v>
      </c>
      <c r="T1136" t="str">
        <f>Table_TRM_Fixtures[[#This Row],[Fixture code  (TRM Data)]]</f>
        <v>F44IRLU</v>
      </c>
      <c r="U1136" t="s">
        <v>2882</v>
      </c>
      <c r="V1136" t="s">
        <v>186</v>
      </c>
      <c r="W1136" t="s">
        <v>3120</v>
      </c>
      <c r="X1136" t="s">
        <v>186</v>
      </c>
      <c r="Y1136" t="s">
        <v>4815</v>
      </c>
      <c r="Z1136" t="s">
        <v>4815</v>
      </c>
      <c r="AA1136">
        <f>IF(Table_TRM_Fixtures[[#This Row],[Pre-EISA Baseline]]="Nominal", Table_TRM_Fixtures[[#This Row],[Fixture Watts  (TRM Data)]], Table_TRM_Fixtures[[#This Row],[Modified Baseline Fixture Watts]])</f>
        <v>94</v>
      </c>
    </row>
    <row r="1137" spans="1:27" x14ac:dyDescent="0.2">
      <c r="A1137" t="s">
        <v>2017</v>
      </c>
      <c r="B1137" t="s">
        <v>5682</v>
      </c>
      <c r="C1137" t="s">
        <v>2016</v>
      </c>
      <c r="D1137" t="s">
        <v>5695</v>
      </c>
      <c r="E1137" t="s">
        <v>187</v>
      </c>
      <c r="F1137">
        <v>4</v>
      </c>
      <c r="G1137">
        <v>28</v>
      </c>
      <c r="H1137">
        <v>83</v>
      </c>
      <c r="I1137">
        <v>15.5</v>
      </c>
      <c r="J1137" s="110">
        <v>1135</v>
      </c>
      <c r="K1137" t="s">
        <v>1505</v>
      </c>
      <c r="L1137">
        <f>IF(Table_TRM_Fixtures[[#This Row],[Technology]]="LED", Table_TRM_Fixtures[[#This Row],[Fixture Watts  (TRM Data)]], Table_TRM_Fixtures[[#This Row],[Lamp Watts  (TRM Data)]])</f>
        <v>28</v>
      </c>
      <c r="M1137">
        <f>Table_TRM_Fixtures[[#This Row],[No. of Lamps  (TRM Data)]]</f>
        <v>4</v>
      </c>
      <c r="N1137">
        <v>48</v>
      </c>
      <c r="O1137" t="s">
        <v>1381</v>
      </c>
      <c r="P1137" t="s">
        <v>187</v>
      </c>
      <c r="Q1137" t="s">
        <v>5614</v>
      </c>
      <c r="R1137" t="str">
        <f>_xlfn.CONCAT(Table_TRM_Fixtures[[#This Row],[Technology]], ", ", Table_TRM_Fixtures[[#This Row],[Ballast Code]], " Ballast")</f>
        <v>T8, Electronic RLO Ballast</v>
      </c>
      <c r="S1137" t="str">
        <f>Table_TRM_Fixtures[[#This Row],[Description  (TRM Data)]]</f>
        <v>Fluorescent, (4) 48" T-8 @ 28W lamps, Instant Start Ballast, RLO (BF &lt; 0.85)</v>
      </c>
      <c r="T1137" t="str">
        <f>Table_TRM_Fixtures[[#This Row],[Fixture code  (TRM Data)]]</f>
        <v>F44IRLU-R</v>
      </c>
      <c r="U1137" t="s">
        <v>2882</v>
      </c>
      <c r="V1137" t="s">
        <v>186</v>
      </c>
      <c r="W1137" t="s">
        <v>3120</v>
      </c>
      <c r="X1137" t="s">
        <v>186</v>
      </c>
      <c r="Y1137" t="s">
        <v>4815</v>
      </c>
      <c r="Z1137" t="s">
        <v>4815</v>
      </c>
      <c r="AA1137">
        <f>IF(Table_TRM_Fixtures[[#This Row],[Pre-EISA Baseline]]="Nominal", Table_TRM_Fixtures[[#This Row],[Fixture Watts  (TRM Data)]], Table_TRM_Fixtures[[#This Row],[Modified Baseline Fixture Watts]])</f>
        <v>83</v>
      </c>
    </row>
    <row r="1138" spans="1:27" x14ac:dyDescent="0.2">
      <c r="A1138" t="s">
        <v>2019</v>
      </c>
      <c r="B1138" t="s">
        <v>5682</v>
      </c>
      <c r="C1138" t="s">
        <v>2018</v>
      </c>
      <c r="D1138" t="s">
        <v>5696</v>
      </c>
      <c r="E1138" t="s">
        <v>187</v>
      </c>
      <c r="F1138">
        <v>4</v>
      </c>
      <c r="G1138">
        <v>28</v>
      </c>
      <c r="H1138">
        <v>131</v>
      </c>
      <c r="I1138">
        <v>15.5</v>
      </c>
      <c r="J1138" s="110">
        <v>1136</v>
      </c>
      <c r="K1138" t="s">
        <v>1505</v>
      </c>
      <c r="L1138">
        <f>IF(Table_TRM_Fixtures[[#This Row],[Technology]]="LED", Table_TRM_Fixtures[[#This Row],[Fixture Watts  (TRM Data)]], Table_TRM_Fixtures[[#This Row],[Lamp Watts  (TRM Data)]])</f>
        <v>28</v>
      </c>
      <c r="M1138">
        <f>Table_TRM_Fixtures[[#This Row],[No. of Lamps  (TRM Data)]]</f>
        <v>4</v>
      </c>
      <c r="N1138">
        <v>48</v>
      </c>
      <c r="O1138" t="s">
        <v>1381</v>
      </c>
      <c r="P1138" t="s">
        <v>187</v>
      </c>
      <c r="Q1138" t="s">
        <v>5616</v>
      </c>
      <c r="R1138" t="str">
        <f>_xlfn.CONCAT(Table_TRM_Fixtures[[#This Row],[Technology]], ", ", Table_TRM_Fixtures[[#This Row],[Ballast Code]], " Ballast")</f>
        <v>T8, Electronic VHLO Ballast</v>
      </c>
      <c r="S1138" t="str">
        <f>Table_TRM_Fixtures[[#This Row],[Description  (TRM Data)]]</f>
        <v>Fluorescent, (4) 48" T-8 @ 28W lamps, Instant Start Ballast, VHLO (BF &gt; 1.1)</v>
      </c>
      <c r="T1138" t="str">
        <f>Table_TRM_Fixtures[[#This Row],[Fixture code  (TRM Data)]]</f>
        <v>F44IRLU-V</v>
      </c>
      <c r="U1138" t="s">
        <v>2882</v>
      </c>
      <c r="V1138" t="s">
        <v>186</v>
      </c>
      <c r="W1138" t="s">
        <v>3120</v>
      </c>
      <c r="X1138" t="s">
        <v>186</v>
      </c>
      <c r="Y1138" t="str">
        <f>_xlfn.CONCAT(Table_TRM_Fixtures[[#This Row],[Combined Lighting/Ballast Types]],":",Table_TRM_Fixtures[[#This Row],[No. of Lamps]], ":", Table_TRM_Fixtures[[#This Row],[Lamp Watts  (TRM Data)]])</f>
        <v>T8, Electronic VHLO Ballast:4:28</v>
      </c>
      <c r="Z1138" t="s">
        <v>4815</v>
      </c>
      <c r="AA1138">
        <f>IF(Table_TRM_Fixtures[[#This Row],[Pre-EISA Baseline]]="Nominal", Table_TRM_Fixtures[[#This Row],[Fixture Watts  (TRM Data)]], Table_TRM_Fixtures[[#This Row],[Modified Baseline Fixture Watts]])</f>
        <v>131</v>
      </c>
    </row>
    <row r="1139" spans="1:27" x14ac:dyDescent="0.2">
      <c r="A1139" t="s">
        <v>2021</v>
      </c>
      <c r="B1139" t="s">
        <v>5682</v>
      </c>
      <c r="C1139" t="s">
        <v>2020</v>
      </c>
      <c r="D1139" t="s">
        <v>5697</v>
      </c>
      <c r="E1139" t="s">
        <v>187</v>
      </c>
      <c r="F1139">
        <v>6</v>
      </c>
      <c r="G1139">
        <v>28</v>
      </c>
      <c r="H1139">
        <v>126</v>
      </c>
      <c r="I1139">
        <v>15.5</v>
      </c>
      <c r="J1139" s="110">
        <v>1137</v>
      </c>
      <c r="K1139" t="s">
        <v>1505</v>
      </c>
      <c r="L1139">
        <f>IF(Table_TRM_Fixtures[[#This Row],[Technology]]="LED", Table_TRM_Fixtures[[#This Row],[Fixture Watts  (TRM Data)]], Table_TRM_Fixtures[[#This Row],[Lamp Watts  (TRM Data)]])</f>
        <v>28</v>
      </c>
      <c r="M1139">
        <f>Table_TRM_Fixtures[[#This Row],[No. of Lamps  (TRM Data)]]</f>
        <v>6</v>
      </c>
      <c r="N1139">
        <v>48</v>
      </c>
      <c r="O1139" t="s">
        <v>1381</v>
      </c>
      <c r="P1139" t="s">
        <v>187</v>
      </c>
      <c r="Q1139" t="s">
        <v>5614</v>
      </c>
      <c r="R1139" t="str">
        <f>_xlfn.CONCAT(Table_TRM_Fixtures[[#This Row],[Technology]], ", ", Table_TRM_Fixtures[[#This Row],[Ballast Code]], " Ballast")</f>
        <v>T8, Electronic RLO Ballast</v>
      </c>
      <c r="S1139" t="str">
        <f>Table_TRM_Fixtures[[#This Row],[Description  (TRM Data)]]</f>
        <v>Fluorescent (6) 48" T-8 @ 28W lamps, (2) IS Ballasts, RLO (BF &lt; 0.85)</v>
      </c>
      <c r="T1139" t="str">
        <f>Table_TRM_Fixtures[[#This Row],[Fixture code  (TRM Data)]]</f>
        <v>F46IRLU/2-R</v>
      </c>
      <c r="U1139" t="s">
        <v>2882</v>
      </c>
      <c r="V1139" t="s">
        <v>186</v>
      </c>
      <c r="W1139" t="s">
        <v>3120</v>
      </c>
      <c r="X1139" t="s">
        <v>186</v>
      </c>
      <c r="Y1139" t="str">
        <f>_xlfn.CONCAT(Table_TRM_Fixtures[[#This Row],[Combined Lighting/Ballast Types]],":",Table_TRM_Fixtures[[#This Row],[No. of Lamps]], ":", Table_TRM_Fixtures[[#This Row],[Lamp Watts  (TRM Data)]])</f>
        <v>T8, Electronic RLO Ballast:6:28</v>
      </c>
      <c r="Z1139"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T8:6:28</v>
      </c>
      <c r="AA1139">
        <f>IF(Table_TRM_Fixtures[[#This Row],[Pre-EISA Baseline]]="Nominal", Table_TRM_Fixtures[[#This Row],[Fixture Watts  (TRM Data)]], Table_TRM_Fixtures[[#This Row],[Modified Baseline Fixture Watts]])</f>
        <v>126</v>
      </c>
    </row>
    <row r="1140" spans="1:27" x14ac:dyDescent="0.2">
      <c r="A1140" t="s">
        <v>2023</v>
      </c>
      <c r="B1140" t="s">
        <v>5682</v>
      </c>
      <c r="C1140" t="s">
        <v>2022</v>
      </c>
      <c r="D1140" t="s">
        <v>5698</v>
      </c>
      <c r="E1140" t="s">
        <v>187</v>
      </c>
      <c r="F1140">
        <v>6</v>
      </c>
      <c r="G1140">
        <v>28</v>
      </c>
      <c r="H1140">
        <v>194</v>
      </c>
      <c r="I1140">
        <v>15.5</v>
      </c>
      <c r="J1140" s="110">
        <v>1138</v>
      </c>
      <c r="K1140" t="s">
        <v>1505</v>
      </c>
      <c r="L1140">
        <f>IF(Table_TRM_Fixtures[[#This Row],[Technology]]="LED", Table_TRM_Fixtures[[#This Row],[Fixture Watts  (TRM Data)]], Table_TRM_Fixtures[[#This Row],[Lamp Watts  (TRM Data)]])</f>
        <v>28</v>
      </c>
      <c r="M1140">
        <f>Table_TRM_Fixtures[[#This Row],[No. of Lamps  (TRM Data)]]</f>
        <v>6</v>
      </c>
      <c r="N1140">
        <v>48</v>
      </c>
      <c r="O1140" t="s">
        <v>1381</v>
      </c>
      <c r="P1140" t="s">
        <v>187</v>
      </c>
      <c r="Q1140" t="s">
        <v>5616</v>
      </c>
      <c r="R1140" t="str">
        <f>_xlfn.CONCAT(Table_TRM_Fixtures[[#This Row],[Technology]], ", ", Table_TRM_Fixtures[[#This Row],[Ballast Code]], " Ballast")</f>
        <v>T8, Electronic VHLO Ballast</v>
      </c>
      <c r="S1140" t="str">
        <f>Table_TRM_Fixtures[[#This Row],[Description  (TRM Data)]]</f>
        <v>Fluorescent (6) 48" T-8 @ 28W lamps, (2) IS Ballasts, VHLO (BF &gt; 1.1)</v>
      </c>
      <c r="T1140" t="str">
        <f>Table_TRM_Fixtures[[#This Row],[Fixture code  (TRM Data)]]</f>
        <v>F46IRLU/2-V</v>
      </c>
      <c r="U1140" t="s">
        <v>2882</v>
      </c>
      <c r="V1140" t="s">
        <v>186</v>
      </c>
      <c r="W1140" t="s">
        <v>3120</v>
      </c>
      <c r="X1140" t="s">
        <v>186</v>
      </c>
      <c r="Y1140" t="str">
        <f>_xlfn.CONCAT(Table_TRM_Fixtures[[#This Row],[Combined Lighting/Ballast Types]],":",Table_TRM_Fixtures[[#This Row],[No. of Lamps]], ":", Table_TRM_Fixtures[[#This Row],[Lamp Watts  (TRM Data)]])</f>
        <v>T8, Electronic VHLO Ballast:6:28</v>
      </c>
      <c r="Z1140" t="s">
        <v>4815</v>
      </c>
      <c r="AA1140">
        <f>IF(Table_TRM_Fixtures[[#This Row],[Pre-EISA Baseline]]="Nominal", Table_TRM_Fixtures[[#This Row],[Fixture Watts  (TRM Data)]], Table_TRM_Fixtures[[#This Row],[Modified Baseline Fixture Watts]])</f>
        <v>194</v>
      </c>
    </row>
    <row r="1141" spans="1:27" x14ac:dyDescent="0.2">
      <c r="A1141" t="s">
        <v>2025</v>
      </c>
      <c r="B1141" t="s">
        <v>5682</v>
      </c>
      <c r="C1141" t="s">
        <v>2024</v>
      </c>
      <c r="D1141" t="s">
        <v>5698</v>
      </c>
      <c r="E1141" t="s">
        <v>187</v>
      </c>
      <c r="F1141">
        <v>8</v>
      </c>
      <c r="G1141">
        <v>28</v>
      </c>
      <c r="H1141">
        <v>250</v>
      </c>
      <c r="I1141">
        <v>15.5</v>
      </c>
      <c r="J1141" s="110">
        <v>1139</v>
      </c>
      <c r="K1141" t="s">
        <v>1505</v>
      </c>
      <c r="L1141">
        <f>IF(Table_TRM_Fixtures[[#This Row],[Technology]]="LED", Table_TRM_Fixtures[[#This Row],[Fixture Watts  (TRM Data)]], Table_TRM_Fixtures[[#This Row],[Lamp Watts  (TRM Data)]])</f>
        <v>28</v>
      </c>
      <c r="M1141">
        <f>Table_TRM_Fixtures[[#This Row],[No. of Lamps  (TRM Data)]]</f>
        <v>8</v>
      </c>
      <c r="N1141">
        <v>48</v>
      </c>
      <c r="O1141" t="s">
        <v>1381</v>
      </c>
      <c r="P1141" t="s">
        <v>187</v>
      </c>
      <c r="Q1141" t="s">
        <v>5616</v>
      </c>
      <c r="R1141" t="str">
        <f>_xlfn.CONCAT(Table_TRM_Fixtures[[#This Row],[Technology]], ", ", Table_TRM_Fixtures[[#This Row],[Ballast Code]], " Ballast")</f>
        <v>T8, Electronic VHLO Ballast</v>
      </c>
      <c r="S1141" t="str">
        <f>Table_TRM_Fixtures[[#This Row],[Description  (TRM Data)]]</f>
        <v>Fluorescent (8) 48" T-8 @ 28W lamps, (2) IS Ballasts, VHLO (BF &gt; 1.1)</v>
      </c>
      <c r="T1141" t="str">
        <f>Table_TRM_Fixtures[[#This Row],[Fixture code  (TRM Data)]]</f>
        <v>F48IRLU/2-V</v>
      </c>
      <c r="U1141" t="s">
        <v>2882</v>
      </c>
      <c r="V1141" t="s">
        <v>186</v>
      </c>
      <c r="W1141" t="s">
        <v>3120</v>
      </c>
      <c r="X1141" t="s">
        <v>186</v>
      </c>
      <c r="Y1141" t="str">
        <f>_xlfn.CONCAT(Table_TRM_Fixtures[[#This Row],[Combined Lighting/Ballast Types]],":",Table_TRM_Fixtures[[#This Row],[No. of Lamps]], ":", Table_TRM_Fixtures[[#This Row],[Lamp Watts  (TRM Data)]])</f>
        <v>T8, Electronic VHLO Ballast:8:28</v>
      </c>
      <c r="Z1141"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T8:8:28</v>
      </c>
      <c r="AA1141">
        <f>IF(Table_TRM_Fixtures[[#This Row],[Pre-EISA Baseline]]="Nominal", Table_TRM_Fixtures[[#This Row],[Fixture Watts  (TRM Data)]], Table_TRM_Fixtures[[#This Row],[Modified Baseline Fixture Watts]])</f>
        <v>250</v>
      </c>
    </row>
    <row r="1142" spans="1:27" x14ac:dyDescent="0.2">
      <c r="A1142" t="s">
        <v>2027</v>
      </c>
      <c r="B1142" t="s">
        <v>5699</v>
      </c>
      <c r="C1142" t="s">
        <v>2026</v>
      </c>
      <c r="D1142" t="s">
        <v>5700</v>
      </c>
      <c r="E1142" t="s">
        <v>1386</v>
      </c>
      <c r="F1142">
        <v>1</v>
      </c>
      <c r="G1142">
        <v>30</v>
      </c>
      <c r="H1142">
        <v>28</v>
      </c>
      <c r="I1142">
        <v>15.5</v>
      </c>
      <c r="J1142" s="110">
        <v>1140</v>
      </c>
      <c r="K1142" t="s">
        <v>1505</v>
      </c>
      <c r="L1142">
        <f>IF(Table_TRM_Fixtures[[#This Row],[Technology]]="LED", Table_TRM_Fixtures[[#This Row],[Fixture Watts  (TRM Data)]], Table_TRM_Fixtures[[#This Row],[Lamp Watts  (TRM Data)]])</f>
        <v>30</v>
      </c>
      <c r="M1142">
        <f>Table_TRM_Fixtures[[#This Row],[No. of Lamps  (TRM Data)]]</f>
        <v>1</v>
      </c>
      <c r="N1142">
        <v>48</v>
      </c>
      <c r="O1142" t="s">
        <v>1381</v>
      </c>
      <c r="P1142" t="s">
        <v>187</v>
      </c>
      <c r="Q1142" t="s">
        <v>5612</v>
      </c>
      <c r="R1142" t="str">
        <f>_xlfn.CONCAT(Table_TRM_Fixtures[[#This Row],[Technology]], ", ", Table_TRM_Fixtures[[#This Row],[Ballast Code]], " Ballast")</f>
        <v>T8, Electronic STD Ballast</v>
      </c>
      <c r="S1142" t="str">
        <f>Table_TRM_Fixtures[[#This Row],[Description  (TRM Data)]]</f>
        <v>Fluorescent (1) 48" T-8 @ 30W lamp, Prog. Start or PRS Ballast, NLO (0.85 &lt; BF &lt; 0.95)</v>
      </c>
      <c r="T1142" t="str">
        <f>Table_TRM_Fixtures[[#This Row],[Fixture code  (TRM Data)]]</f>
        <v>F41GELL</v>
      </c>
      <c r="U1142" t="s">
        <v>2882</v>
      </c>
      <c r="V1142" t="s">
        <v>186</v>
      </c>
      <c r="W1142" t="s">
        <v>3120</v>
      </c>
      <c r="X1142" t="s">
        <v>186</v>
      </c>
      <c r="Y1142" t="s">
        <v>4815</v>
      </c>
      <c r="Z1142" t="s">
        <v>4815</v>
      </c>
      <c r="AA1142">
        <f>IF(Table_TRM_Fixtures[[#This Row],[Pre-EISA Baseline]]="Nominal", Table_TRM_Fixtures[[#This Row],[Fixture Watts  (TRM Data)]], Table_TRM_Fixtures[[#This Row],[Modified Baseline Fixture Watts]])</f>
        <v>28</v>
      </c>
    </row>
    <row r="1143" spans="1:27" x14ac:dyDescent="0.2">
      <c r="A1143" t="s">
        <v>2029</v>
      </c>
      <c r="B1143" t="s">
        <v>5699</v>
      </c>
      <c r="C1143" t="s">
        <v>2028</v>
      </c>
      <c r="D1143" t="s">
        <v>5701</v>
      </c>
      <c r="E1143" t="s">
        <v>1386</v>
      </c>
      <c r="F1143">
        <v>1</v>
      </c>
      <c r="G1143">
        <v>30</v>
      </c>
      <c r="H1143">
        <v>24</v>
      </c>
      <c r="I1143">
        <v>15.5</v>
      </c>
      <c r="J1143" s="110">
        <v>1141</v>
      </c>
      <c r="K1143" t="s">
        <v>1505</v>
      </c>
      <c r="L1143">
        <f>IF(Table_TRM_Fixtures[[#This Row],[Technology]]="LED", Table_TRM_Fixtures[[#This Row],[Fixture Watts  (TRM Data)]], Table_TRM_Fixtures[[#This Row],[Lamp Watts  (TRM Data)]])</f>
        <v>30</v>
      </c>
      <c r="M1143">
        <f>Table_TRM_Fixtures[[#This Row],[No. of Lamps  (TRM Data)]]</f>
        <v>1</v>
      </c>
      <c r="N1143">
        <v>48</v>
      </c>
      <c r="O1143" t="s">
        <v>1381</v>
      </c>
      <c r="P1143" t="s">
        <v>187</v>
      </c>
      <c r="Q1143" t="s">
        <v>5614</v>
      </c>
      <c r="R1143" t="str">
        <f>_xlfn.CONCAT(Table_TRM_Fixtures[[#This Row],[Technology]], ", ", Table_TRM_Fixtures[[#This Row],[Ballast Code]], " Ballast")</f>
        <v>T8, Electronic RLO Ballast</v>
      </c>
      <c r="S1143" t="str">
        <f>Table_TRM_Fixtures[[#This Row],[Description  (TRM Data)]]</f>
        <v>Fluorescent (1) 48" T-8 @ 30W lamp, Prog. Start or PRS Ballast, RLO (BF &lt; 0.85)</v>
      </c>
      <c r="T1143" t="str">
        <f>Table_TRM_Fixtures[[#This Row],[Fixture code  (TRM Data)]]</f>
        <v>F41GELL-R</v>
      </c>
      <c r="U1143" t="s">
        <v>2882</v>
      </c>
      <c r="V1143" t="s">
        <v>186</v>
      </c>
      <c r="W1143" t="s">
        <v>3120</v>
      </c>
      <c r="X1143" t="s">
        <v>186</v>
      </c>
      <c r="Y1143" t="s">
        <v>4815</v>
      </c>
      <c r="Z1143" t="s">
        <v>4815</v>
      </c>
      <c r="AA1143">
        <f>IF(Table_TRM_Fixtures[[#This Row],[Pre-EISA Baseline]]="Nominal", Table_TRM_Fixtures[[#This Row],[Fixture Watts  (TRM Data)]], Table_TRM_Fixtures[[#This Row],[Modified Baseline Fixture Watts]])</f>
        <v>24</v>
      </c>
    </row>
    <row r="1144" spans="1:27" x14ac:dyDescent="0.2">
      <c r="A1144" t="s">
        <v>2031</v>
      </c>
      <c r="B1144" t="s">
        <v>5699</v>
      </c>
      <c r="C1144" t="s">
        <v>2030</v>
      </c>
      <c r="D1144" t="s">
        <v>5700</v>
      </c>
      <c r="E1144" t="s">
        <v>187</v>
      </c>
      <c r="F1144">
        <v>1</v>
      </c>
      <c r="G1144">
        <v>30</v>
      </c>
      <c r="H1144">
        <v>29</v>
      </c>
      <c r="I1144">
        <v>15.5</v>
      </c>
      <c r="J1144" s="110">
        <v>1142</v>
      </c>
      <c r="K1144" t="s">
        <v>1505</v>
      </c>
      <c r="L1144">
        <f>IF(Table_TRM_Fixtures[[#This Row],[Technology]]="LED", Table_TRM_Fixtures[[#This Row],[Fixture Watts  (TRM Data)]], Table_TRM_Fixtures[[#This Row],[Lamp Watts  (TRM Data)]])</f>
        <v>30</v>
      </c>
      <c r="M1144">
        <f>Table_TRM_Fixtures[[#This Row],[No. of Lamps  (TRM Data)]]</f>
        <v>1</v>
      </c>
      <c r="N1144">
        <v>48</v>
      </c>
      <c r="O1144" t="s">
        <v>1381</v>
      </c>
      <c r="P1144" t="s">
        <v>187</v>
      </c>
      <c r="Q1144" t="s">
        <v>5612</v>
      </c>
      <c r="R1144" t="str">
        <f>_xlfn.CONCAT(Table_TRM_Fixtures[[#This Row],[Technology]], ", ", Table_TRM_Fixtures[[#This Row],[Ballast Code]], " Ballast")</f>
        <v>T8, Electronic STD Ballast</v>
      </c>
      <c r="S1144" t="str">
        <f>Table_TRM_Fixtures[[#This Row],[Description  (TRM Data)]]</f>
        <v>Fluorescent (1) 48" T-8 @ 30W lamp, Instant Start Ballast, NLO (0.85 &lt; BF &lt; 0.95)</v>
      </c>
      <c r="T1144" t="str">
        <f>Table_TRM_Fixtures[[#This Row],[Fixture code  (TRM Data)]]</f>
        <v>F41IELL</v>
      </c>
      <c r="U1144" t="s">
        <v>2882</v>
      </c>
      <c r="V1144" t="s">
        <v>186</v>
      </c>
      <c r="W1144" t="s">
        <v>3120</v>
      </c>
      <c r="X1144" t="s">
        <v>186</v>
      </c>
      <c r="Y1144" t="str">
        <f>_xlfn.CONCAT(Table_TRM_Fixtures[[#This Row],[Combined Lighting/Ballast Types]],":",Table_TRM_Fixtures[[#This Row],[No. of Lamps]], ":", Table_TRM_Fixtures[[#This Row],[Lamp Watts  (TRM Data)]])</f>
        <v>T8, Electronic STD Ballast:1:30</v>
      </c>
      <c r="Z1144"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T8:1:30</v>
      </c>
      <c r="AA1144">
        <f>IF(Table_TRM_Fixtures[[#This Row],[Pre-EISA Baseline]]="Nominal", Table_TRM_Fixtures[[#This Row],[Fixture Watts  (TRM Data)]], Table_TRM_Fixtures[[#This Row],[Modified Baseline Fixture Watts]])</f>
        <v>29</v>
      </c>
    </row>
    <row r="1145" spans="1:27" x14ac:dyDescent="0.2">
      <c r="A1145" t="s">
        <v>2033</v>
      </c>
      <c r="B1145" t="s">
        <v>5699</v>
      </c>
      <c r="C1145" t="s">
        <v>2032</v>
      </c>
      <c r="D1145" t="s">
        <v>5702</v>
      </c>
      <c r="E1145" t="s">
        <v>187</v>
      </c>
      <c r="F1145">
        <v>1</v>
      </c>
      <c r="G1145">
        <v>30</v>
      </c>
      <c r="H1145">
        <v>34</v>
      </c>
      <c r="I1145">
        <v>15.5</v>
      </c>
      <c r="J1145" s="110">
        <v>1143</v>
      </c>
      <c r="K1145" t="s">
        <v>1505</v>
      </c>
      <c r="L1145">
        <f>IF(Table_TRM_Fixtures[[#This Row],[Technology]]="LED", Table_TRM_Fixtures[[#This Row],[Fixture Watts  (TRM Data)]], Table_TRM_Fixtures[[#This Row],[Lamp Watts  (TRM Data)]])</f>
        <v>30</v>
      </c>
      <c r="M1145">
        <f>Table_TRM_Fixtures[[#This Row],[No. of Lamps  (TRM Data)]]</f>
        <v>1</v>
      </c>
      <c r="N1145">
        <v>48</v>
      </c>
      <c r="O1145" t="s">
        <v>1381</v>
      </c>
      <c r="P1145" t="s">
        <v>187</v>
      </c>
      <c r="Q1145" t="s">
        <v>5566</v>
      </c>
      <c r="R1145" t="str">
        <f>_xlfn.CONCAT(Table_TRM_Fixtures[[#This Row],[Technology]], ", ", Table_TRM_Fixtures[[#This Row],[Ballast Code]], " Ballast")</f>
        <v>T8, Electronic HLO Ballast</v>
      </c>
      <c r="S1145" t="str">
        <f>Table_TRM_Fixtures[[#This Row],[Description  (TRM Data)]]</f>
        <v>Fluorescent (1) 48" T-8 @ 30W lamp, Instant Start Ballast, HLO (0.95 &lt; BF &lt; 1.1)</v>
      </c>
      <c r="T1145" t="str">
        <f>Table_TRM_Fixtures[[#This Row],[Fixture code  (TRM Data)]]</f>
        <v>F41IELL-H</v>
      </c>
      <c r="U1145" t="s">
        <v>2882</v>
      </c>
      <c r="V1145" t="s">
        <v>186</v>
      </c>
      <c r="W1145" t="s">
        <v>3120</v>
      </c>
      <c r="X1145" t="s">
        <v>186</v>
      </c>
      <c r="Y1145" t="s">
        <v>4815</v>
      </c>
      <c r="Z1145" t="s">
        <v>4815</v>
      </c>
      <c r="AA1145">
        <f>IF(Table_TRM_Fixtures[[#This Row],[Pre-EISA Baseline]]="Nominal", Table_TRM_Fixtures[[#This Row],[Fixture Watts  (TRM Data)]], Table_TRM_Fixtures[[#This Row],[Modified Baseline Fixture Watts]])</f>
        <v>34</v>
      </c>
    </row>
    <row r="1146" spans="1:27" x14ac:dyDescent="0.2">
      <c r="A1146" t="s">
        <v>2035</v>
      </c>
      <c r="B1146" t="s">
        <v>5699</v>
      </c>
      <c r="C1146" t="s">
        <v>2034</v>
      </c>
      <c r="D1146" t="s">
        <v>5701</v>
      </c>
      <c r="E1146" t="s">
        <v>187</v>
      </c>
      <c r="F1146">
        <v>1</v>
      </c>
      <c r="G1146">
        <v>30</v>
      </c>
      <c r="H1146">
        <v>26</v>
      </c>
      <c r="I1146">
        <v>15.5</v>
      </c>
      <c r="J1146" s="110">
        <v>1144</v>
      </c>
      <c r="K1146" t="s">
        <v>1505</v>
      </c>
      <c r="L1146">
        <f>IF(Table_TRM_Fixtures[[#This Row],[Technology]]="LED", Table_TRM_Fixtures[[#This Row],[Fixture Watts  (TRM Data)]], Table_TRM_Fixtures[[#This Row],[Lamp Watts  (TRM Data)]])</f>
        <v>30</v>
      </c>
      <c r="M1146">
        <f>Table_TRM_Fixtures[[#This Row],[No. of Lamps  (TRM Data)]]</f>
        <v>1</v>
      </c>
      <c r="N1146">
        <v>48</v>
      </c>
      <c r="O1146" t="s">
        <v>1381</v>
      </c>
      <c r="P1146" t="s">
        <v>187</v>
      </c>
      <c r="Q1146" t="s">
        <v>5614</v>
      </c>
      <c r="R1146" t="str">
        <f>_xlfn.CONCAT(Table_TRM_Fixtures[[#This Row],[Technology]], ", ", Table_TRM_Fixtures[[#This Row],[Ballast Code]], " Ballast")</f>
        <v>T8, Electronic RLO Ballast</v>
      </c>
      <c r="S1146" t="str">
        <f>Table_TRM_Fixtures[[#This Row],[Description  (TRM Data)]]</f>
        <v>Fluorescent (1) 48" T-8 @ 30W lamp, Instant Start Ballast, RLO (BF &lt; 0.85)</v>
      </c>
      <c r="T1146" t="str">
        <f>Table_TRM_Fixtures[[#This Row],[Fixture code  (TRM Data)]]</f>
        <v>F41IELL-R</v>
      </c>
      <c r="U1146" t="s">
        <v>2882</v>
      </c>
      <c r="V1146" t="s">
        <v>186</v>
      </c>
      <c r="W1146" t="s">
        <v>3120</v>
      </c>
      <c r="X1146" t="s">
        <v>186</v>
      </c>
      <c r="Y1146" t="str">
        <f>_xlfn.CONCAT(Table_TRM_Fixtures[[#This Row],[Combined Lighting/Ballast Types]],":",Table_TRM_Fixtures[[#This Row],[No. of Lamps]], ":", Table_TRM_Fixtures[[#This Row],[Lamp Watts  (TRM Data)]])</f>
        <v>T8, Electronic RLO Ballast:1:30</v>
      </c>
      <c r="Z1146" t="s">
        <v>4815</v>
      </c>
      <c r="AA1146">
        <f>IF(Table_TRM_Fixtures[[#This Row],[Pre-EISA Baseline]]="Nominal", Table_TRM_Fixtures[[#This Row],[Fixture Watts  (TRM Data)]], Table_TRM_Fixtures[[#This Row],[Modified Baseline Fixture Watts]])</f>
        <v>26</v>
      </c>
    </row>
    <row r="1147" spans="1:27" x14ac:dyDescent="0.2">
      <c r="A1147" t="s">
        <v>2037</v>
      </c>
      <c r="B1147" t="s">
        <v>5699</v>
      </c>
      <c r="C1147" t="s">
        <v>2036</v>
      </c>
      <c r="D1147" t="s">
        <v>5700</v>
      </c>
      <c r="E1147" t="s">
        <v>187</v>
      </c>
      <c r="F1147">
        <v>1</v>
      </c>
      <c r="G1147">
        <v>30</v>
      </c>
      <c r="H1147">
        <v>28</v>
      </c>
      <c r="I1147">
        <v>15.5</v>
      </c>
      <c r="J1147" s="110">
        <v>1145</v>
      </c>
      <c r="K1147" t="s">
        <v>1505</v>
      </c>
      <c r="L1147">
        <f>IF(Table_TRM_Fixtures[[#This Row],[Technology]]="LED", Table_TRM_Fixtures[[#This Row],[Fixture Watts  (TRM Data)]], Table_TRM_Fixtures[[#This Row],[Lamp Watts  (TRM Data)]])</f>
        <v>30</v>
      </c>
      <c r="M1147">
        <f>Table_TRM_Fixtures[[#This Row],[No. of Lamps  (TRM Data)]]</f>
        <v>1</v>
      </c>
      <c r="N1147">
        <v>48</v>
      </c>
      <c r="O1147" t="s">
        <v>1381</v>
      </c>
      <c r="P1147" t="s">
        <v>187</v>
      </c>
      <c r="Q1147" t="s">
        <v>5612</v>
      </c>
      <c r="R1147" t="str">
        <f>_xlfn.CONCAT(Table_TRM_Fixtures[[#This Row],[Technology]], ", ", Table_TRM_Fixtures[[#This Row],[Ballast Code]], " Ballast")</f>
        <v>T8, Electronic STD Ballast</v>
      </c>
      <c r="S1147" t="str">
        <f>Table_TRM_Fixtures[[#This Row],[Description  (TRM Data)]]</f>
        <v>Fluorescent (1) 48" T-8 @ 30W lamp, Tandem 2-lamp IS Ballast, NLO (0.85 &lt; BF &lt; 0.95)</v>
      </c>
      <c r="T1147" t="str">
        <f>Table_TRM_Fixtures[[#This Row],[Fixture code  (TRM Data)]]</f>
        <v>F41IELL/T2</v>
      </c>
      <c r="U1147" t="s">
        <v>2882</v>
      </c>
      <c r="V1147" t="s">
        <v>186</v>
      </c>
      <c r="W1147" t="s">
        <v>3120</v>
      </c>
      <c r="X1147" t="s">
        <v>186</v>
      </c>
      <c r="Y1147" t="s">
        <v>4815</v>
      </c>
      <c r="Z1147" t="s">
        <v>4815</v>
      </c>
      <c r="AA1147">
        <f>IF(Table_TRM_Fixtures[[#This Row],[Pre-EISA Baseline]]="Nominal", Table_TRM_Fixtures[[#This Row],[Fixture Watts  (TRM Data)]], Table_TRM_Fixtures[[#This Row],[Modified Baseline Fixture Watts]])</f>
        <v>28</v>
      </c>
    </row>
    <row r="1148" spans="1:27" x14ac:dyDescent="0.2">
      <c r="A1148" t="s">
        <v>2039</v>
      </c>
      <c r="B1148" t="s">
        <v>5699</v>
      </c>
      <c r="C1148" t="s">
        <v>2038</v>
      </c>
      <c r="D1148" t="s">
        <v>5700</v>
      </c>
      <c r="E1148" t="s">
        <v>187</v>
      </c>
      <c r="F1148">
        <v>1</v>
      </c>
      <c r="G1148">
        <v>30</v>
      </c>
      <c r="H1148">
        <v>27</v>
      </c>
      <c r="I1148">
        <v>15.5</v>
      </c>
      <c r="J1148" s="110">
        <v>1146</v>
      </c>
      <c r="K1148" t="s">
        <v>1505</v>
      </c>
      <c r="L1148">
        <f>IF(Table_TRM_Fixtures[[#This Row],[Technology]]="LED", Table_TRM_Fixtures[[#This Row],[Fixture Watts  (TRM Data)]], Table_TRM_Fixtures[[#This Row],[Lamp Watts  (TRM Data)]])</f>
        <v>30</v>
      </c>
      <c r="M1148">
        <f>Table_TRM_Fixtures[[#This Row],[No. of Lamps  (TRM Data)]]</f>
        <v>1</v>
      </c>
      <c r="N1148">
        <v>48</v>
      </c>
      <c r="O1148" t="s">
        <v>1381</v>
      </c>
      <c r="P1148" t="s">
        <v>187</v>
      </c>
      <c r="Q1148" t="s">
        <v>5612</v>
      </c>
      <c r="R1148" t="str">
        <f>_xlfn.CONCAT(Table_TRM_Fixtures[[#This Row],[Technology]], ", ", Table_TRM_Fixtures[[#This Row],[Ballast Code]], " Ballast")</f>
        <v>T8, Electronic STD Ballast</v>
      </c>
      <c r="S1148" t="str">
        <f>Table_TRM_Fixtures[[#This Row],[Description  (TRM Data)]]</f>
        <v>Fluorescent (1) 48" T-8 @ 30W lamp, Tandem 3-lamp IS Ballast, NLO (0.85 &lt; BF &lt; 0.95)</v>
      </c>
      <c r="T1148" t="str">
        <f>Table_TRM_Fixtures[[#This Row],[Fixture code  (TRM Data)]]</f>
        <v>F41IELL/T3</v>
      </c>
      <c r="U1148" t="s">
        <v>2882</v>
      </c>
      <c r="V1148" t="s">
        <v>186</v>
      </c>
      <c r="W1148" t="s">
        <v>3120</v>
      </c>
      <c r="X1148" t="s">
        <v>186</v>
      </c>
      <c r="Y1148" t="s">
        <v>4815</v>
      </c>
      <c r="Z1148" t="s">
        <v>4815</v>
      </c>
      <c r="AA1148">
        <f>IF(Table_TRM_Fixtures[[#This Row],[Pre-EISA Baseline]]="Nominal", Table_TRM_Fixtures[[#This Row],[Fixture Watts  (TRM Data)]], Table_TRM_Fixtures[[#This Row],[Modified Baseline Fixture Watts]])</f>
        <v>27</v>
      </c>
    </row>
    <row r="1149" spans="1:27" x14ac:dyDescent="0.2">
      <c r="A1149" t="s">
        <v>2041</v>
      </c>
      <c r="B1149" t="s">
        <v>5699</v>
      </c>
      <c r="C1149" t="s">
        <v>2040</v>
      </c>
      <c r="D1149" t="s">
        <v>5700</v>
      </c>
      <c r="E1149" t="s">
        <v>187</v>
      </c>
      <c r="F1149">
        <v>1</v>
      </c>
      <c r="G1149">
        <v>30</v>
      </c>
      <c r="H1149">
        <v>27</v>
      </c>
      <c r="I1149">
        <v>15.5</v>
      </c>
      <c r="J1149" s="110">
        <v>1147</v>
      </c>
      <c r="K1149" t="s">
        <v>1505</v>
      </c>
      <c r="L1149">
        <f>IF(Table_TRM_Fixtures[[#This Row],[Technology]]="LED", Table_TRM_Fixtures[[#This Row],[Fixture Watts  (TRM Data)]], Table_TRM_Fixtures[[#This Row],[Lamp Watts  (TRM Data)]])</f>
        <v>30</v>
      </c>
      <c r="M1149">
        <f>Table_TRM_Fixtures[[#This Row],[No. of Lamps  (TRM Data)]]</f>
        <v>1</v>
      </c>
      <c r="N1149">
        <v>48</v>
      </c>
      <c r="O1149" t="s">
        <v>1381</v>
      </c>
      <c r="P1149" t="s">
        <v>187</v>
      </c>
      <c r="Q1149" t="s">
        <v>5612</v>
      </c>
      <c r="R1149" t="str">
        <f>_xlfn.CONCAT(Table_TRM_Fixtures[[#This Row],[Technology]], ", ", Table_TRM_Fixtures[[#This Row],[Ballast Code]], " Ballast")</f>
        <v>T8, Electronic STD Ballast</v>
      </c>
      <c r="S1149" t="str">
        <f>Table_TRM_Fixtures[[#This Row],[Description  (TRM Data)]]</f>
        <v>Fluorescent (1) 48" T-8 @ 30W lamp, Tandem 4-lamp IS Ballast, NLO (0.85 &lt; BF &lt; 0.95)</v>
      </c>
      <c r="T1149" t="str">
        <f>Table_TRM_Fixtures[[#This Row],[Fixture code  (TRM Data)]]</f>
        <v>F41IELL/T4</v>
      </c>
      <c r="U1149" t="s">
        <v>2882</v>
      </c>
      <c r="V1149" t="s">
        <v>186</v>
      </c>
      <c r="W1149" t="s">
        <v>3120</v>
      </c>
      <c r="X1149" t="s">
        <v>186</v>
      </c>
      <c r="Y1149" t="s">
        <v>4815</v>
      </c>
      <c r="Z1149" t="s">
        <v>4815</v>
      </c>
      <c r="AA1149">
        <f>IF(Table_TRM_Fixtures[[#This Row],[Pre-EISA Baseline]]="Nominal", Table_TRM_Fixtures[[#This Row],[Fixture Watts  (TRM Data)]], Table_TRM_Fixtures[[#This Row],[Modified Baseline Fixture Watts]])</f>
        <v>27</v>
      </c>
    </row>
    <row r="1150" spans="1:27" x14ac:dyDescent="0.2">
      <c r="A1150" t="s">
        <v>2043</v>
      </c>
      <c r="B1150" t="s">
        <v>5699</v>
      </c>
      <c r="C1150" t="s">
        <v>2042</v>
      </c>
      <c r="D1150" t="s">
        <v>5700</v>
      </c>
      <c r="E1150" t="s">
        <v>187</v>
      </c>
      <c r="F1150">
        <v>1</v>
      </c>
      <c r="G1150">
        <v>30</v>
      </c>
      <c r="H1150">
        <v>27</v>
      </c>
      <c r="I1150">
        <v>15.5</v>
      </c>
      <c r="J1150" s="110">
        <v>1148</v>
      </c>
      <c r="K1150" t="s">
        <v>1505</v>
      </c>
      <c r="L1150">
        <f>IF(Table_TRM_Fixtures[[#This Row],[Technology]]="LED", Table_TRM_Fixtures[[#This Row],[Fixture Watts  (TRM Data)]], Table_TRM_Fixtures[[#This Row],[Lamp Watts  (TRM Data)]])</f>
        <v>30</v>
      </c>
      <c r="M1150">
        <f>Table_TRM_Fixtures[[#This Row],[No. of Lamps  (TRM Data)]]</f>
        <v>1</v>
      </c>
      <c r="N1150">
        <v>48</v>
      </c>
      <c r="O1150" t="s">
        <v>1381</v>
      </c>
      <c r="P1150" t="s">
        <v>187</v>
      </c>
      <c r="Q1150" t="s">
        <v>5612</v>
      </c>
      <c r="R1150" t="str">
        <f>_xlfn.CONCAT(Table_TRM_Fixtures[[#This Row],[Technology]], ", ", Table_TRM_Fixtures[[#This Row],[Ballast Code]], " Ballast")</f>
        <v>T8, Electronic STD Ballast</v>
      </c>
      <c r="S1150" t="str">
        <f>Table_TRM_Fixtures[[#This Row],[Description  (TRM Data)]]</f>
        <v>Fluorescent, (1) 48", T-8 @ 30W lamp, Instant Start Ballast, NLO (0.85 &lt; BF &lt; 0.95)</v>
      </c>
      <c r="T1150" t="str">
        <f>Table_TRM_Fixtures[[#This Row],[Fixture code  (TRM Data)]]</f>
        <v>F41IELU</v>
      </c>
      <c r="U1150" t="s">
        <v>2882</v>
      </c>
      <c r="V1150" t="s">
        <v>186</v>
      </c>
      <c r="W1150" t="s">
        <v>3120</v>
      </c>
      <c r="X1150" t="s">
        <v>186</v>
      </c>
      <c r="Y1150" t="s">
        <v>4815</v>
      </c>
      <c r="Z1150" t="s">
        <v>4815</v>
      </c>
      <c r="AA1150">
        <f>IF(Table_TRM_Fixtures[[#This Row],[Pre-EISA Baseline]]="Nominal", Table_TRM_Fixtures[[#This Row],[Fixture Watts  (TRM Data)]], Table_TRM_Fixtures[[#This Row],[Modified Baseline Fixture Watts]])</f>
        <v>27</v>
      </c>
    </row>
    <row r="1151" spans="1:27" x14ac:dyDescent="0.2">
      <c r="A1151" t="s">
        <v>2044</v>
      </c>
      <c r="B1151" t="s">
        <v>5699</v>
      </c>
      <c r="C1151" t="s">
        <v>2032</v>
      </c>
      <c r="D1151" t="s">
        <v>5702</v>
      </c>
      <c r="E1151" t="s">
        <v>187</v>
      </c>
      <c r="F1151">
        <v>1</v>
      </c>
      <c r="G1151">
        <v>30</v>
      </c>
      <c r="H1151">
        <v>32</v>
      </c>
      <c r="I1151">
        <v>15.5</v>
      </c>
      <c r="J1151" s="110">
        <v>1149</v>
      </c>
      <c r="K1151" t="s">
        <v>1505</v>
      </c>
      <c r="L1151">
        <f>IF(Table_TRM_Fixtures[[#This Row],[Technology]]="LED", Table_TRM_Fixtures[[#This Row],[Fixture Watts  (TRM Data)]], Table_TRM_Fixtures[[#This Row],[Lamp Watts  (TRM Data)]])</f>
        <v>30</v>
      </c>
      <c r="M1151">
        <f>Table_TRM_Fixtures[[#This Row],[No. of Lamps  (TRM Data)]]</f>
        <v>1</v>
      </c>
      <c r="N1151">
        <v>48</v>
      </c>
      <c r="O1151" t="s">
        <v>1381</v>
      </c>
      <c r="P1151" t="s">
        <v>187</v>
      </c>
      <c r="Q1151" t="s">
        <v>5566</v>
      </c>
      <c r="R1151" t="str">
        <f>_xlfn.CONCAT(Table_TRM_Fixtures[[#This Row],[Technology]], ", ", Table_TRM_Fixtures[[#This Row],[Ballast Code]], " Ballast")</f>
        <v>T8, Electronic HLO Ballast</v>
      </c>
      <c r="S1151" t="str">
        <f>Table_TRM_Fixtures[[#This Row],[Description  (TRM Data)]]</f>
        <v>Fluorescent (1) 48" T-8 @ 30W lamp, Instant Start Ballast, HLO (0.95 &lt; BF &lt; 1.1)</v>
      </c>
      <c r="T1151" t="str">
        <f>Table_TRM_Fixtures[[#This Row],[Fixture code  (TRM Data)]]</f>
        <v>F41IELU-H</v>
      </c>
      <c r="U1151" t="s">
        <v>2882</v>
      </c>
      <c r="V1151" t="s">
        <v>186</v>
      </c>
      <c r="W1151" t="s">
        <v>3120</v>
      </c>
      <c r="X1151" t="s">
        <v>186</v>
      </c>
      <c r="Y1151" t="str">
        <f>_xlfn.CONCAT(Table_TRM_Fixtures[[#This Row],[Combined Lighting/Ballast Types]],":",Table_TRM_Fixtures[[#This Row],[No. of Lamps]], ":", Table_TRM_Fixtures[[#This Row],[Lamp Watts  (TRM Data)]])</f>
        <v>T8, Electronic HLO Ballast:1:30</v>
      </c>
      <c r="Z1151" t="s">
        <v>4815</v>
      </c>
      <c r="AA1151">
        <f>IF(Table_TRM_Fixtures[[#This Row],[Pre-EISA Baseline]]="Nominal", Table_TRM_Fixtures[[#This Row],[Fixture Watts  (TRM Data)]], Table_TRM_Fixtures[[#This Row],[Modified Baseline Fixture Watts]])</f>
        <v>32</v>
      </c>
    </row>
    <row r="1152" spans="1:27" x14ac:dyDescent="0.2">
      <c r="A1152" t="s">
        <v>2046</v>
      </c>
      <c r="B1152" t="s">
        <v>5699</v>
      </c>
      <c r="C1152" t="s">
        <v>2045</v>
      </c>
      <c r="D1152" t="s">
        <v>5701</v>
      </c>
      <c r="E1152" t="s">
        <v>187</v>
      </c>
      <c r="F1152">
        <v>1</v>
      </c>
      <c r="G1152">
        <v>30</v>
      </c>
      <c r="H1152">
        <v>24</v>
      </c>
      <c r="I1152">
        <v>15.5</v>
      </c>
      <c r="J1152" s="110">
        <v>1150</v>
      </c>
      <c r="K1152" t="s">
        <v>1505</v>
      </c>
      <c r="L1152">
        <f>IF(Table_TRM_Fixtures[[#This Row],[Technology]]="LED", Table_TRM_Fixtures[[#This Row],[Fixture Watts  (TRM Data)]], Table_TRM_Fixtures[[#This Row],[Lamp Watts  (TRM Data)]])</f>
        <v>30</v>
      </c>
      <c r="M1152">
        <f>Table_TRM_Fixtures[[#This Row],[No. of Lamps  (TRM Data)]]</f>
        <v>1</v>
      </c>
      <c r="N1152">
        <v>48</v>
      </c>
      <c r="O1152" t="s">
        <v>1381</v>
      </c>
      <c r="P1152" t="s">
        <v>187</v>
      </c>
      <c r="Q1152" t="s">
        <v>5614</v>
      </c>
      <c r="R1152" t="str">
        <f>_xlfn.CONCAT(Table_TRM_Fixtures[[#This Row],[Technology]], ", ", Table_TRM_Fixtures[[#This Row],[Ballast Code]], " Ballast")</f>
        <v>T8, Electronic RLO Ballast</v>
      </c>
      <c r="S1152" t="str">
        <f>Table_TRM_Fixtures[[#This Row],[Description  (TRM Data)]]</f>
        <v>Fluorescent (1) 48" T-8 @ 30W lamp, Instant Start Ballast, RLO (BF&lt; 0.85)</v>
      </c>
      <c r="T1152" t="str">
        <f>Table_TRM_Fixtures[[#This Row],[Fixture code  (TRM Data)]]</f>
        <v>F41IELU-R</v>
      </c>
      <c r="U1152" t="s">
        <v>2882</v>
      </c>
      <c r="V1152" t="s">
        <v>186</v>
      </c>
      <c r="W1152" t="s">
        <v>3120</v>
      </c>
      <c r="X1152" t="s">
        <v>186</v>
      </c>
      <c r="Y1152" t="s">
        <v>4815</v>
      </c>
      <c r="Z1152" t="s">
        <v>4815</v>
      </c>
      <c r="AA1152">
        <f>IF(Table_TRM_Fixtures[[#This Row],[Pre-EISA Baseline]]="Nominal", Table_TRM_Fixtures[[#This Row],[Fixture Watts  (TRM Data)]], Table_TRM_Fixtures[[#This Row],[Modified Baseline Fixture Watts]])</f>
        <v>24</v>
      </c>
    </row>
    <row r="1153" spans="1:27" x14ac:dyDescent="0.2">
      <c r="A1153" t="s">
        <v>2047</v>
      </c>
      <c r="B1153" t="s">
        <v>5699</v>
      </c>
      <c r="C1153" t="s">
        <v>2036</v>
      </c>
      <c r="D1153" t="s">
        <v>5700</v>
      </c>
      <c r="E1153" t="s">
        <v>187</v>
      </c>
      <c r="F1153">
        <v>1</v>
      </c>
      <c r="G1153">
        <v>30</v>
      </c>
      <c r="H1153">
        <v>26</v>
      </c>
      <c r="I1153">
        <v>15.5</v>
      </c>
      <c r="J1153" s="110">
        <v>1151</v>
      </c>
      <c r="K1153" t="s">
        <v>1505</v>
      </c>
      <c r="L1153">
        <f>IF(Table_TRM_Fixtures[[#This Row],[Technology]]="LED", Table_TRM_Fixtures[[#This Row],[Fixture Watts  (TRM Data)]], Table_TRM_Fixtures[[#This Row],[Lamp Watts  (TRM Data)]])</f>
        <v>30</v>
      </c>
      <c r="M1153">
        <f>Table_TRM_Fixtures[[#This Row],[No. of Lamps  (TRM Data)]]</f>
        <v>1</v>
      </c>
      <c r="N1153">
        <v>48</v>
      </c>
      <c r="O1153" t="s">
        <v>1381</v>
      </c>
      <c r="P1153" t="s">
        <v>187</v>
      </c>
      <c r="Q1153" t="s">
        <v>5612</v>
      </c>
      <c r="R1153" t="str">
        <f>_xlfn.CONCAT(Table_TRM_Fixtures[[#This Row],[Technology]], ", ", Table_TRM_Fixtures[[#This Row],[Ballast Code]], " Ballast")</f>
        <v>T8, Electronic STD Ballast</v>
      </c>
      <c r="S1153" t="str">
        <f>Table_TRM_Fixtures[[#This Row],[Description  (TRM Data)]]</f>
        <v>Fluorescent (1) 48" T-8 @ 30W lamp, Tandem 2-lamp IS Ballast, NLO (0.85 &lt; BF &lt; 0.95)</v>
      </c>
      <c r="T1153" t="str">
        <f>Table_TRM_Fixtures[[#This Row],[Fixture code  (TRM Data)]]</f>
        <v>F41IELU/T2</v>
      </c>
      <c r="U1153" t="s">
        <v>2882</v>
      </c>
      <c r="V1153" t="s">
        <v>186</v>
      </c>
      <c r="W1153" t="s">
        <v>3120</v>
      </c>
      <c r="X1153" t="s">
        <v>186</v>
      </c>
      <c r="Y1153" t="s">
        <v>4815</v>
      </c>
      <c r="Z1153" t="s">
        <v>4815</v>
      </c>
      <c r="AA1153">
        <f>IF(Table_TRM_Fixtures[[#This Row],[Pre-EISA Baseline]]="Nominal", Table_TRM_Fixtures[[#This Row],[Fixture Watts  (TRM Data)]], Table_TRM_Fixtures[[#This Row],[Modified Baseline Fixture Watts]])</f>
        <v>26</v>
      </c>
    </row>
    <row r="1154" spans="1:27" x14ac:dyDescent="0.2">
      <c r="A1154" t="s">
        <v>2049</v>
      </c>
      <c r="B1154" t="s">
        <v>5699</v>
      </c>
      <c r="C1154" t="s">
        <v>2048</v>
      </c>
      <c r="D1154" t="s">
        <v>5701</v>
      </c>
      <c r="E1154" t="s">
        <v>187</v>
      </c>
      <c r="F1154">
        <v>1</v>
      </c>
      <c r="G1154">
        <v>30</v>
      </c>
      <c r="H1154">
        <v>23</v>
      </c>
      <c r="I1154">
        <v>15.5</v>
      </c>
      <c r="J1154" s="110">
        <v>1152</v>
      </c>
      <c r="K1154" t="s">
        <v>1505</v>
      </c>
      <c r="L1154">
        <f>IF(Table_TRM_Fixtures[[#This Row],[Technology]]="LED", Table_TRM_Fixtures[[#This Row],[Fixture Watts  (TRM Data)]], Table_TRM_Fixtures[[#This Row],[Lamp Watts  (TRM Data)]])</f>
        <v>30</v>
      </c>
      <c r="M1154">
        <f>Table_TRM_Fixtures[[#This Row],[No. of Lamps  (TRM Data)]]</f>
        <v>1</v>
      </c>
      <c r="N1154">
        <v>48</v>
      </c>
      <c r="O1154" t="s">
        <v>1381</v>
      </c>
      <c r="P1154" t="s">
        <v>187</v>
      </c>
      <c r="Q1154" t="s">
        <v>5614</v>
      </c>
      <c r="R1154" t="str">
        <f>_xlfn.CONCAT(Table_TRM_Fixtures[[#This Row],[Technology]], ", ", Table_TRM_Fixtures[[#This Row],[Ballast Code]], " Ballast")</f>
        <v>T8, Electronic RLO Ballast</v>
      </c>
      <c r="S1154" t="str">
        <f>Table_TRM_Fixtures[[#This Row],[Description  (TRM Data)]]</f>
        <v>Fluorescent (1) 48" T-8 @ 30W lamp, Tandem 2-lamp IS Ballast, RLO (BF&lt; 0.85)</v>
      </c>
      <c r="T1154" t="str">
        <f>Table_TRM_Fixtures[[#This Row],[Fixture code  (TRM Data)]]</f>
        <v>F41IELU/T2-R</v>
      </c>
      <c r="U1154" t="s">
        <v>2882</v>
      </c>
      <c r="V1154" t="s">
        <v>186</v>
      </c>
      <c r="W1154" t="s">
        <v>3120</v>
      </c>
      <c r="X1154" t="s">
        <v>186</v>
      </c>
      <c r="Y1154" t="s">
        <v>4815</v>
      </c>
      <c r="Z1154" t="s">
        <v>4815</v>
      </c>
      <c r="AA1154">
        <f>IF(Table_TRM_Fixtures[[#This Row],[Pre-EISA Baseline]]="Nominal", Table_TRM_Fixtures[[#This Row],[Fixture Watts  (TRM Data)]], Table_TRM_Fixtures[[#This Row],[Modified Baseline Fixture Watts]])</f>
        <v>23</v>
      </c>
    </row>
    <row r="1155" spans="1:27" x14ac:dyDescent="0.2">
      <c r="A1155" t="s">
        <v>2050</v>
      </c>
      <c r="B1155" t="s">
        <v>5699</v>
      </c>
      <c r="C1155" t="s">
        <v>2038</v>
      </c>
      <c r="D1155" t="s">
        <v>5700</v>
      </c>
      <c r="E1155" t="s">
        <v>187</v>
      </c>
      <c r="F1155">
        <v>1</v>
      </c>
      <c r="G1155">
        <v>30</v>
      </c>
      <c r="H1155">
        <v>26</v>
      </c>
      <c r="I1155">
        <v>15.5</v>
      </c>
      <c r="J1155" s="110">
        <v>1153</v>
      </c>
      <c r="K1155" t="s">
        <v>1505</v>
      </c>
      <c r="L1155">
        <f>IF(Table_TRM_Fixtures[[#This Row],[Technology]]="LED", Table_TRM_Fixtures[[#This Row],[Fixture Watts  (TRM Data)]], Table_TRM_Fixtures[[#This Row],[Lamp Watts  (TRM Data)]])</f>
        <v>30</v>
      </c>
      <c r="M1155">
        <f>Table_TRM_Fixtures[[#This Row],[No. of Lamps  (TRM Data)]]</f>
        <v>1</v>
      </c>
      <c r="N1155">
        <v>48</v>
      </c>
      <c r="O1155" t="s">
        <v>1381</v>
      </c>
      <c r="P1155" t="s">
        <v>187</v>
      </c>
      <c r="Q1155" t="s">
        <v>5612</v>
      </c>
      <c r="R1155" t="str">
        <f>_xlfn.CONCAT(Table_TRM_Fixtures[[#This Row],[Technology]], ", ", Table_TRM_Fixtures[[#This Row],[Ballast Code]], " Ballast")</f>
        <v>T8, Electronic STD Ballast</v>
      </c>
      <c r="S1155" t="str">
        <f>Table_TRM_Fixtures[[#This Row],[Description  (TRM Data)]]</f>
        <v>Fluorescent (1) 48" T-8 @ 30W lamp, Tandem 3-lamp IS Ballast, NLO (0.85 &lt; BF &lt; 0.95)</v>
      </c>
      <c r="T1155" t="str">
        <f>Table_TRM_Fixtures[[#This Row],[Fixture code  (TRM Data)]]</f>
        <v>F41IELU/T3</v>
      </c>
      <c r="U1155" t="s">
        <v>2882</v>
      </c>
      <c r="V1155" t="s">
        <v>186</v>
      </c>
      <c r="W1155" t="s">
        <v>3120</v>
      </c>
      <c r="X1155" t="s">
        <v>186</v>
      </c>
      <c r="Y1155" t="s">
        <v>4815</v>
      </c>
      <c r="Z1155" t="s">
        <v>4815</v>
      </c>
      <c r="AA1155">
        <f>IF(Table_TRM_Fixtures[[#This Row],[Pre-EISA Baseline]]="Nominal", Table_TRM_Fixtures[[#This Row],[Fixture Watts  (TRM Data)]], Table_TRM_Fixtures[[#This Row],[Modified Baseline Fixture Watts]])</f>
        <v>26</v>
      </c>
    </row>
    <row r="1156" spans="1:27" x14ac:dyDescent="0.2">
      <c r="A1156" t="s">
        <v>2052</v>
      </c>
      <c r="B1156" t="s">
        <v>5699</v>
      </c>
      <c r="C1156" t="s">
        <v>2051</v>
      </c>
      <c r="D1156" t="s">
        <v>5701</v>
      </c>
      <c r="E1156" t="s">
        <v>187</v>
      </c>
      <c r="F1156">
        <v>1</v>
      </c>
      <c r="G1156">
        <v>30</v>
      </c>
      <c r="H1156">
        <v>23</v>
      </c>
      <c r="I1156">
        <v>15.5</v>
      </c>
      <c r="J1156" s="110">
        <v>1154</v>
      </c>
      <c r="K1156" t="s">
        <v>1505</v>
      </c>
      <c r="L1156">
        <f>IF(Table_TRM_Fixtures[[#This Row],[Technology]]="LED", Table_TRM_Fixtures[[#This Row],[Fixture Watts  (TRM Data)]], Table_TRM_Fixtures[[#This Row],[Lamp Watts  (TRM Data)]])</f>
        <v>30</v>
      </c>
      <c r="M1156">
        <f>Table_TRM_Fixtures[[#This Row],[No. of Lamps  (TRM Data)]]</f>
        <v>1</v>
      </c>
      <c r="N1156">
        <v>48</v>
      </c>
      <c r="O1156" t="s">
        <v>1381</v>
      </c>
      <c r="P1156" t="s">
        <v>187</v>
      </c>
      <c r="Q1156" t="s">
        <v>5614</v>
      </c>
      <c r="R1156" t="str">
        <f>_xlfn.CONCAT(Table_TRM_Fixtures[[#This Row],[Technology]], ", ", Table_TRM_Fixtures[[#This Row],[Ballast Code]], " Ballast")</f>
        <v>T8, Electronic RLO Ballast</v>
      </c>
      <c r="S1156" t="str">
        <f>Table_TRM_Fixtures[[#This Row],[Description  (TRM Data)]]</f>
        <v>Fluorescent (1) 48" T-8 @ 30W lamp, Tandem 3-lamp IS Ballast, RLO (BF&lt; 0.85)</v>
      </c>
      <c r="T1156" t="str">
        <f>Table_TRM_Fixtures[[#This Row],[Fixture code  (TRM Data)]]</f>
        <v>F41IELU/T3-R</v>
      </c>
      <c r="U1156" t="s">
        <v>2882</v>
      </c>
      <c r="V1156" t="s">
        <v>186</v>
      </c>
      <c r="W1156" t="s">
        <v>3120</v>
      </c>
      <c r="X1156" t="s">
        <v>186</v>
      </c>
      <c r="Y1156" t="s">
        <v>4815</v>
      </c>
      <c r="Z1156" t="s">
        <v>4815</v>
      </c>
      <c r="AA1156">
        <f>IF(Table_TRM_Fixtures[[#This Row],[Pre-EISA Baseline]]="Nominal", Table_TRM_Fixtures[[#This Row],[Fixture Watts  (TRM Data)]], Table_TRM_Fixtures[[#This Row],[Modified Baseline Fixture Watts]])</f>
        <v>23</v>
      </c>
    </row>
    <row r="1157" spans="1:27" x14ac:dyDescent="0.2">
      <c r="A1157" t="s">
        <v>2053</v>
      </c>
      <c r="B1157" t="s">
        <v>5699</v>
      </c>
      <c r="C1157" t="s">
        <v>2040</v>
      </c>
      <c r="D1157" t="s">
        <v>5700</v>
      </c>
      <c r="E1157" t="s">
        <v>187</v>
      </c>
      <c r="F1157">
        <v>1</v>
      </c>
      <c r="G1157">
        <v>30</v>
      </c>
      <c r="H1157">
        <v>25</v>
      </c>
      <c r="I1157">
        <v>15.5</v>
      </c>
      <c r="J1157" s="110">
        <v>1155</v>
      </c>
      <c r="K1157" t="s">
        <v>1505</v>
      </c>
      <c r="L1157">
        <f>IF(Table_TRM_Fixtures[[#This Row],[Technology]]="LED", Table_TRM_Fixtures[[#This Row],[Fixture Watts  (TRM Data)]], Table_TRM_Fixtures[[#This Row],[Lamp Watts  (TRM Data)]])</f>
        <v>30</v>
      </c>
      <c r="M1157">
        <f>Table_TRM_Fixtures[[#This Row],[No. of Lamps  (TRM Data)]]</f>
        <v>1</v>
      </c>
      <c r="N1157">
        <v>48</v>
      </c>
      <c r="O1157" t="s">
        <v>1381</v>
      </c>
      <c r="P1157" t="s">
        <v>187</v>
      </c>
      <c r="Q1157" t="s">
        <v>5612</v>
      </c>
      <c r="R1157" t="str">
        <f>_xlfn.CONCAT(Table_TRM_Fixtures[[#This Row],[Technology]], ", ", Table_TRM_Fixtures[[#This Row],[Ballast Code]], " Ballast")</f>
        <v>T8, Electronic STD Ballast</v>
      </c>
      <c r="S1157" t="str">
        <f>Table_TRM_Fixtures[[#This Row],[Description  (TRM Data)]]</f>
        <v>Fluorescent (1) 48" T-8 @ 30W lamp, Tandem 4-lamp IS Ballast, NLO (0.85 &lt; BF &lt; 0.95)</v>
      </c>
      <c r="T1157" t="str">
        <f>Table_TRM_Fixtures[[#This Row],[Fixture code  (TRM Data)]]</f>
        <v>F41IELU/T4</v>
      </c>
      <c r="U1157" t="s">
        <v>2882</v>
      </c>
      <c r="V1157" t="s">
        <v>186</v>
      </c>
      <c r="W1157" t="s">
        <v>3120</v>
      </c>
      <c r="X1157" t="s">
        <v>186</v>
      </c>
      <c r="Y1157" t="s">
        <v>4815</v>
      </c>
      <c r="Z1157" t="s">
        <v>4815</v>
      </c>
      <c r="AA1157">
        <f>IF(Table_TRM_Fixtures[[#This Row],[Pre-EISA Baseline]]="Nominal", Table_TRM_Fixtures[[#This Row],[Fixture Watts  (TRM Data)]], Table_TRM_Fixtures[[#This Row],[Modified Baseline Fixture Watts]])</f>
        <v>25</v>
      </c>
    </row>
    <row r="1158" spans="1:27" x14ac:dyDescent="0.2">
      <c r="A1158" t="s">
        <v>2055</v>
      </c>
      <c r="B1158" t="s">
        <v>5699</v>
      </c>
      <c r="C1158" t="s">
        <v>2054</v>
      </c>
      <c r="D1158" t="s">
        <v>5701</v>
      </c>
      <c r="E1158" t="s">
        <v>187</v>
      </c>
      <c r="F1158">
        <v>1</v>
      </c>
      <c r="G1158">
        <v>30</v>
      </c>
      <c r="H1158">
        <v>22</v>
      </c>
      <c r="I1158">
        <v>15.5</v>
      </c>
      <c r="J1158" s="110">
        <v>1156</v>
      </c>
      <c r="K1158" t="s">
        <v>1505</v>
      </c>
      <c r="L1158">
        <f>IF(Table_TRM_Fixtures[[#This Row],[Technology]]="LED", Table_TRM_Fixtures[[#This Row],[Fixture Watts  (TRM Data)]], Table_TRM_Fixtures[[#This Row],[Lamp Watts  (TRM Data)]])</f>
        <v>30</v>
      </c>
      <c r="M1158">
        <f>Table_TRM_Fixtures[[#This Row],[No. of Lamps  (TRM Data)]]</f>
        <v>1</v>
      </c>
      <c r="N1158">
        <v>48</v>
      </c>
      <c r="O1158" t="s">
        <v>1381</v>
      </c>
      <c r="P1158" t="s">
        <v>187</v>
      </c>
      <c r="Q1158" t="s">
        <v>5614</v>
      </c>
      <c r="R1158" t="str">
        <f>_xlfn.CONCAT(Table_TRM_Fixtures[[#This Row],[Technology]], ", ", Table_TRM_Fixtures[[#This Row],[Ballast Code]], " Ballast")</f>
        <v>T8, Electronic RLO Ballast</v>
      </c>
      <c r="S1158" t="str">
        <f>Table_TRM_Fixtures[[#This Row],[Description  (TRM Data)]]</f>
        <v>Fluorescent (1) 48" T-8 @ 30W lamp, Tandem 4-lamp IS Ballast, RLO (BF&lt; 0.85)</v>
      </c>
      <c r="T1158" t="str">
        <f>Table_TRM_Fixtures[[#This Row],[Fixture code  (TRM Data)]]</f>
        <v>F41IELU/T4-R</v>
      </c>
      <c r="U1158" t="s">
        <v>2882</v>
      </c>
      <c r="V1158" t="s">
        <v>186</v>
      </c>
      <c r="W1158" t="s">
        <v>3120</v>
      </c>
      <c r="X1158" t="s">
        <v>186</v>
      </c>
      <c r="Y1158" t="s">
        <v>4815</v>
      </c>
      <c r="Z1158" t="s">
        <v>4815</v>
      </c>
      <c r="AA1158">
        <f>IF(Table_TRM_Fixtures[[#This Row],[Pre-EISA Baseline]]="Nominal", Table_TRM_Fixtures[[#This Row],[Fixture Watts  (TRM Data)]], Table_TRM_Fixtures[[#This Row],[Modified Baseline Fixture Watts]])</f>
        <v>22</v>
      </c>
    </row>
    <row r="1159" spans="1:27" x14ac:dyDescent="0.2">
      <c r="A1159" t="s">
        <v>2057</v>
      </c>
      <c r="B1159" t="s">
        <v>5699</v>
      </c>
      <c r="C1159" t="s">
        <v>2056</v>
      </c>
      <c r="D1159" t="s">
        <v>5703</v>
      </c>
      <c r="E1159" t="s">
        <v>1386</v>
      </c>
      <c r="F1159">
        <v>2</v>
      </c>
      <c r="G1159">
        <v>30</v>
      </c>
      <c r="H1159">
        <v>56</v>
      </c>
      <c r="I1159">
        <v>15.5</v>
      </c>
      <c r="J1159" s="110">
        <v>1157</v>
      </c>
      <c r="K1159" t="s">
        <v>1505</v>
      </c>
      <c r="L1159">
        <f>IF(Table_TRM_Fixtures[[#This Row],[Technology]]="LED", Table_TRM_Fixtures[[#This Row],[Fixture Watts  (TRM Data)]], Table_TRM_Fixtures[[#This Row],[Lamp Watts  (TRM Data)]])</f>
        <v>30</v>
      </c>
      <c r="M1159">
        <f>Table_TRM_Fixtures[[#This Row],[No. of Lamps  (TRM Data)]]</f>
        <v>2</v>
      </c>
      <c r="N1159">
        <v>48</v>
      </c>
      <c r="O1159" t="s">
        <v>1381</v>
      </c>
      <c r="P1159" t="s">
        <v>187</v>
      </c>
      <c r="Q1159" t="s">
        <v>5612</v>
      </c>
      <c r="R1159" t="str">
        <f>_xlfn.CONCAT(Table_TRM_Fixtures[[#This Row],[Technology]], ", ", Table_TRM_Fixtures[[#This Row],[Ballast Code]], " Ballast")</f>
        <v>T8, Electronic STD Ballast</v>
      </c>
      <c r="S1159" t="str">
        <f>Table_TRM_Fixtures[[#This Row],[Description  (TRM Data)]]</f>
        <v>Fluorescent (2) 48" T-8 @ 30W lamps, Prog. Start or PRS Ballast, NLO (0.85 &lt; BF &lt; 0.95)</v>
      </c>
      <c r="T1159" t="str">
        <f>Table_TRM_Fixtures[[#This Row],[Fixture code  (TRM Data)]]</f>
        <v>F42GELL</v>
      </c>
      <c r="U1159" t="s">
        <v>2882</v>
      </c>
      <c r="V1159" t="s">
        <v>186</v>
      </c>
      <c r="W1159" t="s">
        <v>3120</v>
      </c>
      <c r="X1159" t="s">
        <v>186</v>
      </c>
      <c r="Y1159" t="s">
        <v>4815</v>
      </c>
      <c r="Z1159" t="s">
        <v>4815</v>
      </c>
      <c r="AA1159">
        <f>IF(Table_TRM_Fixtures[[#This Row],[Pre-EISA Baseline]]="Nominal", Table_TRM_Fixtures[[#This Row],[Fixture Watts  (TRM Data)]], Table_TRM_Fixtures[[#This Row],[Modified Baseline Fixture Watts]])</f>
        <v>56</v>
      </c>
    </row>
    <row r="1160" spans="1:27" x14ac:dyDescent="0.2">
      <c r="A1160" t="s">
        <v>2059</v>
      </c>
      <c r="B1160" t="s">
        <v>5699</v>
      </c>
      <c r="C1160" t="s">
        <v>2058</v>
      </c>
      <c r="D1160" t="s">
        <v>5704</v>
      </c>
      <c r="E1160" t="s">
        <v>1386</v>
      </c>
      <c r="F1160">
        <v>2</v>
      </c>
      <c r="G1160">
        <v>30</v>
      </c>
      <c r="H1160">
        <v>43</v>
      </c>
      <c r="I1160">
        <v>15.5</v>
      </c>
      <c r="J1160" s="110">
        <v>1158</v>
      </c>
      <c r="K1160" t="s">
        <v>1505</v>
      </c>
      <c r="L1160">
        <f>IF(Table_TRM_Fixtures[[#This Row],[Technology]]="LED", Table_TRM_Fixtures[[#This Row],[Fixture Watts  (TRM Data)]], Table_TRM_Fixtures[[#This Row],[Lamp Watts  (TRM Data)]])</f>
        <v>30</v>
      </c>
      <c r="M1160">
        <f>Table_TRM_Fixtures[[#This Row],[No. of Lamps  (TRM Data)]]</f>
        <v>2</v>
      </c>
      <c r="N1160">
        <v>48</v>
      </c>
      <c r="O1160" t="s">
        <v>1381</v>
      </c>
      <c r="P1160" t="s">
        <v>187</v>
      </c>
      <c r="Q1160" t="s">
        <v>5614</v>
      </c>
      <c r="R1160" t="str">
        <f>_xlfn.CONCAT(Table_TRM_Fixtures[[#This Row],[Technology]], ", ", Table_TRM_Fixtures[[#This Row],[Ballast Code]], " Ballast")</f>
        <v>T8, Electronic RLO Ballast</v>
      </c>
      <c r="S1160" t="str">
        <f>Table_TRM_Fixtures[[#This Row],[Description  (TRM Data)]]</f>
        <v>Fluorescent (2) 48" T-8 @ 30W lamps, Prog. Start or PRS Ballast, RLO (BF &lt; 0.85)</v>
      </c>
      <c r="T1160" t="str">
        <f>Table_TRM_Fixtures[[#This Row],[Fixture code  (TRM Data)]]</f>
        <v>F42GELL-R</v>
      </c>
      <c r="U1160" t="s">
        <v>2882</v>
      </c>
      <c r="V1160" t="s">
        <v>186</v>
      </c>
      <c r="W1160" t="s">
        <v>3120</v>
      </c>
      <c r="X1160" t="s">
        <v>186</v>
      </c>
      <c r="Y1160" t="s">
        <v>4815</v>
      </c>
      <c r="Z1160" t="s">
        <v>4815</v>
      </c>
      <c r="AA1160">
        <f>IF(Table_TRM_Fixtures[[#This Row],[Pre-EISA Baseline]]="Nominal", Table_TRM_Fixtures[[#This Row],[Fixture Watts  (TRM Data)]], Table_TRM_Fixtures[[#This Row],[Modified Baseline Fixture Watts]])</f>
        <v>43</v>
      </c>
    </row>
    <row r="1161" spans="1:27" x14ac:dyDescent="0.2">
      <c r="A1161" t="s">
        <v>2061</v>
      </c>
      <c r="B1161" t="s">
        <v>5699</v>
      </c>
      <c r="C1161" t="s">
        <v>2060</v>
      </c>
      <c r="D1161" t="s">
        <v>5703</v>
      </c>
      <c r="E1161" t="s">
        <v>187</v>
      </c>
      <c r="F1161">
        <v>2</v>
      </c>
      <c r="G1161">
        <v>30</v>
      </c>
      <c r="H1161">
        <v>55</v>
      </c>
      <c r="I1161">
        <v>15.5</v>
      </c>
      <c r="J1161" s="110">
        <v>1159</v>
      </c>
      <c r="K1161" t="s">
        <v>1505</v>
      </c>
      <c r="L1161">
        <f>IF(Table_TRM_Fixtures[[#This Row],[Technology]]="LED", Table_TRM_Fixtures[[#This Row],[Fixture Watts  (TRM Data)]], Table_TRM_Fixtures[[#This Row],[Lamp Watts  (TRM Data)]])</f>
        <v>30</v>
      </c>
      <c r="M1161">
        <f>Table_TRM_Fixtures[[#This Row],[No. of Lamps  (TRM Data)]]</f>
        <v>2</v>
      </c>
      <c r="N1161">
        <v>48</v>
      </c>
      <c r="O1161" t="s">
        <v>1381</v>
      </c>
      <c r="P1161" t="s">
        <v>187</v>
      </c>
      <c r="Q1161" t="s">
        <v>5612</v>
      </c>
      <c r="R1161" t="str">
        <f>_xlfn.CONCAT(Table_TRM_Fixtures[[#This Row],[Technology]], ", ", Table_TRM_Fixtures[[#This Row],[Ballast Code]], " Ballast")</f>
        <v>T8, Electronic STD Ballast</v>
      </c>
      <c r="S1161" t="str">
        <f>Table_TRM_Fixtures[[#This Row],[Description  (TRM Data)]]</f>
        <v>Fluorescent (2) 48" T-8 @ 30W lamps, Instant Start Ballast, NLO (0.85 &lt; BF &lt; 0.95)</v>
      </c>
      <c r="T1161" t="str">
        <f>Table_TRM_Fixtures[[#This Row],[Fixture code  (TRM Data)]]</f>
        <v>F42IELL</v>
      </c>
      <c r="U1161" t="s">
        <v>2882</v>
      </c>
      <c r="V1161" t="s">
        <v>186</v>
      </c>
      <c r="W1161" t="s">
        <v>3120</v>
      </c>
      <c r="X1161" t="s">
        <v>186</v>
      </c>
      <c r="Y1161" t="str">
        <f>_xlfn.CONCAT(Table_TRM_Fixtures[[#This Row],[Combined Lighting/Ballast Types]],":",Table_TRM_Fixtures[[#This Row],[No. of Lamps]], ":", Table_TRM_Fixtures[[#This Row],[Lamp Watts  (TRM Data)]])</f>
        <v>T8, Electronic STD Ballast:2:30</v>
      </c>
      <c r="Z1161"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T8:2:30</v>
      </c>
      <c r="AA1161">
        <f>IF(Table_TRM_Fixtures[[#This Row],[Pre-EISA Baseline]]="Nominal", Table_TRM_Fixtures[[#This Row],[Fixture Watts  (TRM Data)]], Table_TRM_Fixtures[[#This Row],[Modified Baseline Fixture Watts]])</f>
        <v>55</v>
      </c>
    </row>
    <row r="1162" spans="1:27" x14ac:dyDescent="0.2">
      <c r="A1162" t="s">
        <v>2063</v>
      </c>
      <c r="B1162" t="s">
        <v>5699</v>
      </c>
      <c r="C1162" t="s">
        <v>2062</v>
      </c>
      <c r="D1162" t="s">
        <v>5705</v>
      </c>
      <c r="E1162" t="s">
        <v>187</v>
      </c>
      <c r="F1162">
        <v>2</v>
      </c>
      <c r="G1162">
        <v>30</v>
      </c>
      <c r="H1162">
        <v>62</v>
      </c>
      <c r="I1162">
        <v>15.5</v>
      </c>
      <c r="J1162" s="110">
        <v>1160</v>
      </c>
      <c r="K1162" t="s">
        <v>1505</v>
      </c>
      <c r="L1162">
        <f>IF(Table_TRM_Fixtures[[#This Row],[Technology]]="LED", Table_TRM_Fixtures[[#This Row],[Fixture Watts  (TRM Data)]], Table_TRM_Fixtures[[#This Row],[Lamp Watts  (TRM Data)]])</f>
        <v>30</v>
      </c>
      <c r="M1162">
        <f>Table_TRM_Fixtures[[#This Row],[No. of Lamps  (TRM Data)]]</f>
        <v>2</v>
      </c>
      <c r="N1162">
        <v>48</v>
      </c>
      <c r="O1162" t="s">
        <v>1381</v>
      </c>
      <c r="P1162" t="s">
        <v>187</v>
      </c>
      <c r="Q1162" t="s">
        <v>5566</v>
      </c>
      <c r="R1162" t="str">
        <f>_xlfn.CONCAT(Table_TRM_Fixtures[[#This Row],[Technology]], ", ", Table_TRM_Fixtures[[#This Row],[Ballast Code]], " Ballast")</f>
        <v>T8, Electronic HLO Ballast</v>
      </c>
      <c r="S1162" t="str">
        <f>Table_TRM_Fixtures[[#This Row],[Description  (TRM Data)]]</f>
        <v>Fluorescent (2) 48" T-8 @ 30W lamps, Instant Start Ballast, HLO (0.95 &lt; BF &lt; 1.1)</v>
      </c>
      <c r="T1162" t="str">
        <f>Table_TRM_Fixtures[[#This Row],[Fixture code  (TRM Data)]]</f>
        <v>F42IELL-H</v>
      </c>
      <c r="U1162" t="s">
        <v>2882</v>
      </c>
      <c r="V1162" t="s">
        <v>186</v>
      </c>
      <c r="W1162" t="s">
        <v>3120</v>
      </c>
      <c r="X1162" t="s">
        <v>186</v>
      </c>
      <c r="Y1162" t="str">
        <f>_xlfn.CONCAT(Table_TRM_Fixtures[[#This Row],[Combined Lighting/Ballast Types]],":",Table_TRM_Fixtures[[#This Row],[No. of Lamps]], ":", Table_TRM_Fixtures[[#This Row],[Lamp Watts  (TRM Data)]])</f>
        <v>T8, Electronic HLO Ballast:2:30</v>
      </c>
      <c r="Z1162" t="s">
        <v>4815</v>
      </c>
      <c r="AA1162">
        <f>IF(Table_TRM_Fixtures[[#This Row],[Pre-EISA Baseline]]="Nominal", Table_TRM_Fixtures[[#This Row],[Fixture Watts  (TRM Data)]], Table_TRM_Fixtures[[#This Row],[Modified Baseline Fixture Watts]])</f>
        <v>62</v>
      </c>
    </row>
    <row r="1163" spans="1:27" x14ac:dyDescent="0.2">
      <c r="A1163" t="s">
        <v>2065</v>
      </c>
      <c r="B1163" t="s">
        <v>5699</v>
      </c>
      <c r="C1163" t="s">
        <v>2064</v>
      </c>
      <c r="D1163" t="s">
        <v>5704</v>
      </c>
      <c r="E1163" t="s">
        <v>187</v>
      </c>
      <c r="F1163">
        <v>2</v>
      </c>
      <c r="G1163">
        <v>30</v>
      </c>
      <c r="H1163">
        <v>49</v>
      </c>
      <c r="I1163">
        <v>15.5</v>
      </c>
      <c r="J1163" s="110">
        <v>1161</v>
      </c>
      <c r="K1163" t="s">
        <v>1505</v>
      </c>
      <c r="L1163">
        <f>IF(Table_TRM_Fixtures[[#This Row],[Technology]]="LED", Table_TRM_Fixtures[[#This Row],[Fixture Watts  (TRM Data)]], Table_TRM_Fixtures[[#This Row],[Lamp Watts  (TRM Data)]])</f>
        <v>30</v>
      </c>
      <c r="M1163">
        <f>Table_TRM_Fixtures[[#This Row],[No. of Lamps  (TRM Data)]]</f>
        <v>2</v>
      </c>
      <c r="N1163">
        <v>48</v>
      </c>
      <c r="O1163" t="s">
        <v>1381</v>
      </c>
      <c r="P1163" t="s">
        <v>187</v>
      </c>
      <c r="Q1163" t="s">
        <v>5614</v>
      </c>
      <c r="R1163" t="str">
        <f>_xlfn.CONCAT(Table_TRM_Fixtures[[#This Row],[Technology]], ", ", Table_TRM_Fixtures[[#This Row],[Ballast Code]], " Ballast")</f>
        <v>T8, Electronic RLO Ballast</v>
      </c>
      <c r="S1163" t="str">
        <f>Table_TRM_Fixtures[[#This Row],[Description  (TRM Data)]]</f>
        <v>Fluorescent (2) 48" T-8 @ 30W lamps, Instant Start Ballast, RLO (BF&lt; 0.85)</v>
      </c>
      <c r="T1163" t="str">
        <f>Table_TRM_Fixtures[[#This Row],[Fixture code  (TRM Data)]]</f>
        <v>F42IELL-R</v>
      </c>
      <c r="U1163" t="s">
        <v>2882</v>
      </c>
      <c r="V1163" t="s">
        <v>186</v>
      </c>
      <c r="W1163" t="s">
        <v>3120</v>
      </c>
      <c r="X1163" t="s">
        <v>186</v>
      </c>
      <c r="Y1163" t="str">
        <f>_xlfn.CONCAT(Table_TRM_Fixtures[[#This Row],[Combined Lighting/Ballast Types]],":",Table_TRM_Fixtures[[#This Row],[No. of Lamps]], ":", Table_TRM_Fixtures[[#This Row],[Lamp Watts  (TRM Data)]])</f>
        <v>T8, Electronic RLO Ballast:2:30</v>
      </c>
      <c r="Z1163" t="s">
        <v>4815</v>
      </c>
      <c r="AA1163">
        <f>IF(Table_TRM_Fixtures[[#This Row],[Pre-EISA Baseline]]="Nominal", Table_TRM_Fixtures[[#This Row],[Fixture Watts  (TRM Data)]], Table_TRM_Fixtures[[#This Row],[Modified Baseline Fixture Watts]])</f>
        <v>49</v>
      </c>
    </row>
    <row r="1164" spans="1:27" x14ac:dyDescent="0.2">
      <c r="A1164" t="s">
        <v>2067</v>
      </c>
      <c r="B1164" t="s">
        <v>5699</v>
      </c>
      <c r="C1164" t="s">
        <v>2066</v>
      </c>
      <c r="D1164" t="s">
        <v>5703</v>
      </c>
      <c r="E1164" t="s">
        <v>187</v>
      </c>
      <c r="F1164">
        <v>2</v>
      </c>
      <c r="G1164">
        <v>30</v>
      </c>
      <c r="H1164">
        <v>53</v>
      </c>
      <c r="I1164">
        <v>15.5</v>
      </c>
      <c r="J1164" s="110">
        <v>1162</v>
      </c>
      <c r="K1164" t="s">
        <v>1505</v>
      </c>
      <c r="L1164">
        <f>IF(Table_TRM_Fixtures[[#This Row],[Technology]]="LED", Table_TRM_Fixtures[[#This Row],[Fixture Watts  (TRM Data)]], Table_TRM_Fixtures[[#This Row],[Lamp Watts  (TRM Data)]])</f>
        <v>30</v>
      </c>
      <c r="M1164">
        <f>Table_TRM_Fixtures[[#This Row],[No. of Lamps  (TRM Data)]]</f>
        <v>2</v>
      </c>
      <c r="N1164">
        <v>48</v>
      </c>
      <c r="O1164" t="s">
        <v>1381</v>
      </c>
      <c r="P1164" t="s">
        <v>187</v>
      </c>
      <c r="Q1164" t="s">
        <v>5612</v>
      </c>
      <c r="R1164" t="str">
        <f>_xlfn.CONCAT(Table_TRM_Fixtures[[#This Row],[Technology]], ", ", Table_TRM_Fixtures[[#This Row],[Ballast Code]], " Ballast")</f>
        <v>T8, Electronic STD Ballast</v>
      </c>
      <c r="S1164" t="str">
        <f>Table_TRM_Fixtures[[#This Row],[Description  (TRM Data)]]</f>
        <v>Fluorescent (4) 48" T-8 @ 30W lamps, Tandem 4-lamp IS Ballast, NLO (0.85 &lt; BF &lt; 0.95)</v>
      </c>
      <c r="T1164" t="str">
        <f>Table_TRM_Fixtures[[#This Row],[Fixture code  (TRM Data)]]</f>
        <v>F42IELL/T4</v>
      </c>
      <c r="U1164" t="s">
        <v>2882</v>
      </c>
      <c r="V1164" t="s">
        <v>186</v>
      </c>
      <c r="W1164" t="s">
        <v>3120</v>
      </c>
      <c r="X1164" t="s">
        <v>186</v>
      </c>
      <c r="Y1164" t="s">
        <v>4815</v>
      </c>
      <c r="Z1164" t="s">
        <v>4815</v>
      </c>
      <c r="AA1164">
        <f>IF(Table_TRM_Fixtures[[#This Row],[Pre-EISA Baseline]]="Nominal", Table_TRM_Fixtures[[#This Row],[Fixture Watts  (TRM Data)]], Table_TRM_Fixtures[[#This Row],[Modified Baseline Fixture Watts]])</f>
        <v>53</v>
      </c>
    </row>
    <row r="1165" spans="1:27" x14ac:dyDescent="0.2">
      <c r="A1165" t="s">
        <v>2069</v>
      </c>
      <c r="B1165" t="s">
        <v>5699</v>
      </c>
      <c r="C1165" t="s">
        <v>2068</v>
      </c>
      <c r="D1165" t="s">
        <v>5704</v>
      </c>
      <c r="E1165" t="s">
        <v>187</v>
      </c>
      <c r="F1165">
        <v>2</v>
      </c>
      <c r="G1165">
        <v>30</v>
      </c>
      <c r="H1165">
        <v>46</v>
      </c>
      <c r="I1165">
        <v>15.5</v>
      </c>
      <c r="J1165" s="110">
        <v>1163</v>
      </c>
      <c r="K1165" t="s">
        <v>1505</v>
      </c>
      <c r="L1165">
        <f>IF(Table_TRM_Fixtures[[#This Row],[Technology]]="LED", Table_TRM_Fixtures[[#This Row],[Fixture Watts  (TRM Data)]], Table_TRM_Fixtures[[#This Row],[Lamp Watts  (TRM Data)]])</f>
        <v>30</v>
      </c>
      <c r="M1165">
        <f>Table_TRM_Fixtures[[#This Row],[No. of Lamps  (TRM Data)]]</f>
        <v>2</v>
      </c>
      <c r="N1165">
        <v>48</v>
      </c>
      <c r="O1165" t="s">
        <v>1381</v>
      </c>
      <c r="P1165" t="s">
        <v>187</v>
      </c>
      <c r="Q1165" t="s">
        <v>5614</v>
      </c>
      <c r="R1165" t="str">
        <f>_xlfn.CONCAT(Table_TRM_Fixtures[[#This Row],[Technology]], ", ", Table_TRM_Fixtures[[#This Row],[Ballast Code]], " Ballast")</f>
        <v>T8, Electronic RLO Ballast</v>
      </c>
      <c r="S1165" t="str">
        <f>Table_TRM_Fixtures[[#This Row],[Description  (TRM Data)]]</f>
        <v>Fluorescent (4) 48" T-8 @ 30W lamps, Tandem 4-lamp IS Ballast, RLO (BF&lt; 0.85)</v>
      </c>
      <c r="T1165" t="str">
        <f>Table_TRM_Fixtures[[#This Row],[Fixture code  (TRM Data)]]</f>
        <v>F42IELL/T4-R</v>
      </c>
      <c r="U1165" t="s">
        <v>2882</v>
      </c>
      <c r="V1165" t="s">
        <v>186</v>
      </c>
      <c r="W1165" t="s">
        <v>3120</v>
      </c>
      <c r="X1165" t="s">
        <v>186</v>
      </c>
      <c r="Y1165" t="s">
        <v>4815</v>
      </c>
      <c r="Z1165" t="s">
        <v>4815</v>
      </c>
      <c r="AA1165">
        <f>IF(Table_TRM_Fixtures[[#This Row],[Pre-EISA Baseline]]="Nominal", Table_TRM_Fixtures[[#This Row],[Fixture Watts  (TRM Data)]], Table_TRM_Fixtures[[#This Row],[Modified Baseline Fixture Watts]])</f>
        <v>46</v>
      </c>
    </row>
    <row r="1166" spans="1:27" x14ac:dyDescent="0.2">
      <c r="A1166" t="s">
        <v>2070</v>
      </c>
      <c r="B1166" t="s">
        <v>5699</v>
      </c>
      <c r="C1166" t="s">
        <v>2060</v>
      </c>
      <c r="D1166" t="s">
        <v>5703</v>
      </c>
      <c r="E1166" t="s">
        <v>187</v>
      </c>
      <c r="F1166">
        <v>2</v>
      </c>
      <c r="G1166">
        <v>30</v>
      </c>
      <c r="H1166">
        <v>52</v>
      </c>
      <c r="I1166">
        <v>15.5</v>
      </c>
      <c r="J1166" s="110">
        <v>1164</v>
      </c>
      <c r="K1166" t="s">
        <v>1505</v>
      </c>
      <c r="L1166">
        <f>IF(Table_TRM_Fixtures[[#This Row],[Technology]]="LED", Table_TRM_Fixtures[[#This Row],[Fixture Watts  (TRM Data)]], Table_TRM_Fixtures[[#This Row],[Lamp Watts  (TRM Data)]])</f>
        <v>30</v>
      </c>
      <c r="M1166">
        <f>Table_TRM_Fixtures[[#This Row],[No. of Lamps  (TRM Data)]]</f>
        <v>2</v>
      </c>
      <c r="N1166">
        <v>48</v>
      </c>
      <c r="O1166" t="s">
        <v>1381</v>
      </c>
      <c r="P1166" t="s">
        <v>187</v>
      </c>
      <c r="Q1166" t="s">
        <v>5612</v>
      </c>
      <c r="R1166" t="str">
        <f>_xlfn.CONCAT(Table_TRM_Fixtures[[#This Row],[Technology]], ", ", Table_TRM_Fixtures[[#This Row],[Ballast Code]], " Ballast")</f>
        <v>T8, Electronic STD Ballast</v>
      </c>
      <c r="S1166" t="str">
        <f>Table_TRM_Fixtures[[#This Row],[Description  (TRM Data)]]</f>
        <v>Fluorescent (2) 48" T-8 @ 30W lamps, Instant Start Ballast, NLO (0.85 &lt; BF &lt; 0.95)</v>
      </c>
      <c r="T1166" t="str">
        <f>Table_TRM_Fixtures[[#This Row],[Fixture code  (TRM Data)]]</f>
        <v>F42IELU</v>
      </c>
      <c r="U1166" t="s">
        <v>2882</v>
      </c>
      <c r="V1166" t="s">
        <v>186</v>
      </c>
      <c r="W1166" t="s">
        <v>3120</v>
      </c>
      <c r="X1166" t="s">
        <v>186</v>
      </c>
      <c r="Y1166" t="s">
        <v>4815</v>
      </c>
      <c r="Z1166" t="s">
        <v>4815</v>
      </c>
      <c r="AA1166">
        <f>IF(Table_TRM_Fixtures[[#This Row],[Pre-EISA Baseline]]="Nominal", Table_TRM_Fixtures[[#This Row],[Fixture Watts  (TRM Data)]], Table_TRM_Fixtures[[#This Row],[Modified Baseline Fixture Watts]])</f>
        <v>52</v>
      </c>
    </row>
    <row r="1167" spans="1:27" x14ac:dyDescent="0.2">
      <c r="A1167" t="s">
        <v>2072</v>
      </c>
      <c r="B1167" t="s">
        <v>5699</v>
      </c>
      <c r="C1167" t="s">
        <v>2071</v>
      </c>
      <c r="D1167" t="s">
        <v>5704</v>
      </c>
      <c r="E1167" t="s">
        <v>187</v>
      </c>
      <c r="F1167">
        <v>2</v>
      </c>
      <c r="G1167">
        <v>30</v>
      </c>
      <c r="H1167">
        <v>45</v>
      </c>
      <c r="I1167">
        <v>15.5</v>
      </c>
      <c r="J1167" s="110">
        <v>1165</v>
      </c>
      <c r="K1167" t="s">
        <v>1505</v>
      </c>
      <c r="L1167">
        <f>IF(Table_TRM_Fixtures[[#This Row],[Technology]]="LED", Table_TRM_Fixtures[[#This Row],[Fixture Watts  (TRM Data)]], Table_TRM_Fixtures[[#This Row],[Lamp Watts  (TRM Data)]])</f>
        <v>30</v>
      </c>
      <c r="M1167">
        <f>Table_TRM_Fixtures[[#This Row],[No. of Lamps  (TRM Data)]]</f>
        <v>2</v>
      </c>
      <c r="N1167">
        <v>48</v>
      </c>
      <c r="O1167" t="s">
        <v>1381</v>
      </c>
      <c r="P1167" t="s">
        <v>187</v>
      </c>
      <c r="Q1167" t="s">
        <v>5614</v>
      </c>
      <c r="R1167" t="str">
        <f>_xlfn.CONCAT(Table_TRM_Fixtures[[#This Row],[Technology]], ", ", Table_TRM_Fixtures[[#This Row],[Ballast Code]], " Ballast")</f>
        <v>T8, Electronic RLO Ballast</v>
      </c>
      <c r="S1167" t="str">
        <f>Table_TRM_Fixtures[[#This Row],[Description  (TRM Data)]]</f>
        <v>Fluorescent (2) 48" T-8 @ 30W lamps, Instant Start, RLO (BF&lt; 0.85)</v>
      </c>
      <c r="T1167" t="str">
        <f>Table_TRM_Fixtures[[#This Row],[Fixture code  (TRM Data)]]</f>
        <v>F42IELU-R</v>
      </c>
      <c r="U1167" t="s">
        <v>2882</v>
      </c>
      <c r="V1167" t="s">
        <v>186</v>
      </c>
      <c r="W1167" t="s">
        <v>3120</v>
      </c>
      <c r="X1167" t="s">
        <v>186</v>
      </c>
      <c r="Y1167" t="s">
        <v>4815</v>
      </c>
      <c r="Z1167" t="s">
        <v>4815</v>
      </c>
      <c r="AA1167">
        <f>IF(Table_TRM_Fixtures[[#This Row],[Pre-EISA Baseline]]="Nominal", Table_TRM_Fixtures[[#This Row],[Fixture Watts  (TRM Data)]], Table_TRM_Fixtures[[#This Row],[Modified Baseline Fixture Watts]])</f>
        <v>45</v>
      </c>
    </row>
    <row r="1168" spans="1:27" x14ac:dyDescent="0.2">
      <c r="A1168" t="s">
        <v>2074</v>
      </c>
      <c r="B1168" t="s">
        <v>5699</v>
      </c>
      <c r="C1168" t="s">
        <v>2073</v>
      </c>
      <c r="D1168" t="s">
        <v>5705</v>
      </c>
      <c r="E1168" t="s">
        <v>187</v>
      </c>
      <c r="F1168">
        <v>2</v>
      </c>
      <c r="G1168">
        <v>30</v>
      </c>
      <c r="H1168">
        <v>70</v>
      </c>
      <c r="I1168">
        <v>15.5</v>
      </c>
      <c r="J1168" s="110">
        <v>1166</v>
      </c>
      <c r="K1168" t="s">
        <v>1505</v>
      </c>
      <c r="L1168">
        <f>IF(Table_TRM_Fixtures[[#This Row],[Technology]]="LED", Table_TRM_Fixtures[[#This Row],[Fixture Watts  (TRM Data)]], Table_TRM_Fixtures[[#This Row],[Lamp Watts  (TRM Data)]])</f>
        <v>30</v>
      </c>
      <c r="M1168">
        <f>Table_TRM_Fixtures[[#This Row],[No. of Lamps  (TRM Data)]]</f>
        <v>2</v>
      </c>
      <c r="N1168">
        <v>48</v>
      </c>
      <c r="O1168" t="s">
        <v>1381</v>
      </c>
      <c r="P1168" t="s">
        <v>187</v>
      </c>
      <c r="Q1168" t="s">
        <v>5616</v>
      </c>
      <c r="R1168" t="str">
        <f>_xlfn.CONCAT(Table_TRM_Fixtures[[#This Row],[Technology]], ", ", Table_TRM_Fixtures[[#This Row],[Ballast Code]], " Ballast")</f>
        <v>T8, Electronic VHLO Ballast</v>
      </c>
      <c r="S1168" t="str">
        <f>Table_TRM_Fixtures[[#This Row],[Description  (TRM Data)]]</f>
        <v>Fluorescent (2) 48" T-8 @ 30W lamps, Instant Start, VHLO (BF &gt; 1.1)</v>
      </c>
      <c r="T1168" t="str">
        <f>Table_TRM_Fixtures[[#This Row],[Fixture code  (TRM Data)]]</f>
        <v>F42IELU-V</v>
      </c>
      <c r="U1168" t="s">
        <v>2882</v>
      </c>
      <c r="V1168" t="s">
        <v>186</v>
      </c>
      <c r="W1168" t="s">
        <v>3120</v>
      </c>
      <c r="X1168" t="s">
        <v>186</v>
      </c>
      <c r="Y1168" t="str">
        <f>_xlfn.CONCAT(Table_TRM_Fixtures[[#This Row],[Combined Lighting/Ballast Types]],":",Table_TRM_Fixtures[[#This Row],[No. of Lamps]], ":", Table_TRM_Fixtures[[#This Row],[Lamp Watts  (TRM Data)]])</f>
        <v>T8, Electronic VHLO Ballast:2:30</v>
      </c>
      <c r="Z1168" t="s">
        <v>4815</v>
      </c>
      <c r="AA1168">
        <f>IF(Table_TRM_Fixtures[[#This Row],[Pre-EISA Baseline]]="Nominal", Table_TRM_Fixtures[[#This Row],[Fixture Watts  (TRM Data)]], Table_TRM_Fixtures[[#This Row],[Modified Baseline Fixture Watts]])</f>
        <v>70</v>
      </c>
    </row>
    <row r="1169" spans="1:27" x14ac:dyDescent="0.2">
      <c r="A1169" t="s">
        <v>2076</v>
      </c>
      <c r="B1169" t="s">
        <v>5699</v>
      </c>
      <c r="C1169" t="s">
        <v>2075</v>
      </c>
      <c r="D1169" t="s">
        <v>5703</v>
      </c>
      <c r="E1169" t="s">
        <v>187</v>
      </c>
      <c r="F1169">
        <v>2</v>
      </c>
      <c r="G1169">
        <v>30</v>
      </c>
      <c r="H1169">
        <v>51</v>
      </c>
      <c r="I1169">
        <v>15.5</v>
      </c>
      <c r="J1169" s="110">
        <v>1167</v>
      </c>
      <c r="K1169" t="s">
        <v>1505</v>
      </c>
      <c r="L1169">
        <f>IF(Table_TRM_Fixtures[[#This Row],[Technology]]="LED", Table_TRM_Fixtures[[#This Row],[Fixture Watts  (TRM Data)]], Table_TRM_Fixtures[[#This Row],[Lamp Watts  (TRM Data)]])</f>
        <v>30</v>
      </c>
      <c r="M1169">
        <f>Table_TRM_Fixtures[[#This Row],[No. of Lamps  (TRM Data)]]</f>
        <v>2</v>
      </c>
      <c r="N1169">
        <v>48</v>
      </c>
      <c r="O1169" t="s">
        <v>1381</v>
      </c>
      <c r="P1169" t="s">
        <v>187</v>
      </c>
      <c r="Q1169" t="s">
        <v>5612</v>
      </c>
      <c r="R1169" t="str">
        <f>_xlfn.CONCAT(Table_TRM_Fixtures[[#This Row],[Technology]], ", ", Table_TRM_Fixtures[[#This Row],[Ballast Code]], " Ballast")</f>
        <v>T8, Electronic STD Ballast</v>
      </c>
      <c r="S1169" t="str">
        <f>Table_TRM_Fixtures[[#This Row],[Description  (TRM Data)]]</f>
        <v>Fluorescent (2) 48" T-8 @ 30W lamps, Tandem 4-lamp IS Ballast, NLO (0.85 &lt; BF &lt; 0.95)</v>
      </c>
      <c r="T1169" t="str">
        <f>Table_TRM_Fixtures[[#This Row],[Fixture code  (TRM Data)]]</f>
        <v>F42IELU/T4</v>
      </c>
      <c r="U1169" t="s">
        <v>2882</v>
      </c>
      <c r="V1169" t="s">
        <v>186</v>
      </c>
      <c r="W1169" t="s">
        <v>3120</v>
      </c>
      <c r="X1169" t="s">
        <v>186</v>
      </c>
      <c r="Y1169" t="s">
        <v>4815</v>
      </c>
      <c r="Z1169" t="s">
        <v>4815</v>
      </c>
      <c r="AA1169">
        <f>IF(Table_TRM_Fixtures[[#This Row],[Pre-EISA Baseline]]="Nominal", Table_TRM_Fixtures[[#This Row],[Fixture Watts  (TRM Data)]], Table_TRM_Fixtures[[#This Row],[Modified Baseline Fixture Watts]])</f>
        <v>51</v>
      </c>
    </row>
    <row r="1170" spans="1:27" x14ac:dyDescent="0.2">
      <c r="A1170" t="s">
        <v>2078</v>
      </c>
      <c r="B1170" t="s">
        <v>5699</v>
      </c>
      <c r="C1170" t="s">
        <v>2077</v>
      </c>
      <c r="D1170" t="s">
        <v>5704</v>
      </c>
      <c r="E1170" t="s">
        <v>187</v>
      </c>
      <c r="F1170">
        <v>2</v>
      </c>
      <c r="G1170">
        <v>30</v>
      </c>
      <c r="H1170">
        <v>45</v>
      </c>
      <c r="I1170">
        <v>15.5</v>
      </c>
      <c r="J1170" s="110">
        <v>1168</v>
      </c>
      <c r="K1170" t="s">
        <v>1505</v>
      </c>
      <c r="L1170">
        <f>IF(Table_TRM_Fixtures[[#This Row],[Technology]]="LED", Table_TRM_Fixtures[[#This Row],[Fixture Watts  (TRM Data)]], Table_TRM_Fixtures[[#This Row],[Lamp Watts  (TRM Data)]])</f>
        <v>30</v>
      </c>
      <c r="M1170">
        <f>Table_TRM_Fixtures[[#This Row],[No. of Lamps  (TRM Data)]]</f>
        <v>2</v>
      </c>
      <c r="N1170">
        <v>48</v>
      </c>
      <c r="O1170" t="s">
        <v>1381</v>
      </c>
      <c r="P1170" t="s">
        <v>187</v>
      </c>
      <c r="Q1170" t="s">
        <v>5614</v>
      </c>
      <c r="R1170" t="str">
        <f>_xlfn.CONCAT(Table_TRM_Fixtures[[#This Row],[Technology]], ", ", Table_TRM_Fixtures[[#This Row],[Ballast Code]], " Ballast")</f>
        <v>T8, Electronic RLO Ballast</v>
      </c>
      <c r="S1170" t="str">
        <f>Table_TRM_Fixtures[[#This Row],[Description  (TRM Data)]]</f>
        <v>Fluorescent (2) 48" T-8 @ 30W lamps, Tandem 4-lamp IS Ballast, RLO (BF&lt; 0.85)</v>
      </c>
      <c r="T1170" t="str">
        <f>Table_TRM_Fixtures[[#This Row],[Fixture code  (TRM Data)]]</f>
        <v>F42IELU/T4-R</v>
      </c>
      <c r="U1170" t="s">
        <v>2882</v>
      </c>
      <c r="V1170" t="s">
        <v>186</v>
      </c>
      <c r="W1170" t="s">
        <v>3120</v>
      </c>
      <c r="X1170" t="s">
        <v>186</v>
      </c>
      <c r="Y1170" t="s">
        <v>4815</v>
      </c>
      <c r="Z1170" t="s">
        <v>4815</v>
      </c>
      <c r="AA1170">
        <f>IF(Table_TRM_Fixtures[[#This Row],[Pre-EISA Baseline]]="Nominal", Table_TRM_Fixtures[[#This Row],[Fixture Watts  (TRM Data)]], Table_TRM_Fixtures[[#This Row],[Modified Baseline Fixture Watts]])</f>
        <v>45</v>
      </c>
    </row>
    <row r="1171" spans="1:27" x14ac:dyDescent="0.2">
      <c r="A1171" t="s">
        <v>2080</v>
      </c>
      <c r="B1171" t="s">
        <v>5699</v>
      </c>
      <c r="C1171" t="s">
        <v>2079</v>
      </c>
      <c r="D1171" t="s">
        <v>5706</v>
      </c>
      <c r="E1171" t="s">
        <v>1386</v>
      </c>
      <c r="F1171">
        <v>3</v>
      </c>
      <c r="G1171">
        <v>30</v>
      </c>
      <c r="H1171">
        <v>83</v>
      </c>
      <c r="I1171">
        <v>15.5</v>
      </c>
      <c r="J1171" s="110">
        <v>1169</v>
      </c>
      <c r="K1171" t="s">
        <v>1505</v>
      </c>
      <c r="L1171">
        <f>IF(Table_TRM_Fixtures[[#This Row],[Technology]]="LED", Table_TRM_Fixtures[[#This Row],[Fixture Watts  (TRM Data)]], Table_TRM_Fixtures[[#This Row],[Lamp Watts  (TRM Data)]])</f>
        <v>30</v>
      </c>
      <c r="M1171">
        <f>Table_TRM_Fixtures[[#This Row],[No. of Lamps  (TRM Data)]]</f>
        <v>3</v>
      </c>
      <c r="N1171">
        <v>48</v>
      </c>
      <c r="O1171" t="s">
        <v>1381</v>
      </c>
      <c r="P1171" t="s">
        <v>187</v>
      </c>
      <c r="Q1171" t="s">
        <v>5612</v>
      </c>
      <c r="R1171" t="str">
        <f>_xlfn.CONCAT(Table_TRM_Fixtures[[#This Row],[Technology]], ", ", Table_TRM_Fixtures[[#This Row],[Ballast Code]], " Ballast")</f>
        <v>T8, Electronic STD Ballast</v>
      </c>
      <c r="S1171" t="str">
        <f>Table_TRM_Fixtures[[#This Row],[Description  (TRM Data)]]</f>
        <v>Fluorescent (3) 48" T-8 @ 30W lamps, Prog. Start or PRS Ballast, NLO (0.85 &lt; BF &lt; 0.95)</v>
      </c>
      <c r="T1171" t="str">
        <f>Table_TRM_Fixtures[[#This Row],[Fixture code  (TRM Data)]]</f>
        <v>F43GELL</v>
      </c>
      <c r="U1171" t="s">
        <v>2882</v>
      </c>
      <c r="V1171" t="s">
        <v>186</v>
      </c>
      <c r="W1171" t="s">
        <v>3120</v>
      </c>
      <c r="X1171" t="s">
        <v>186</v>
      </c>
      <c r="Y1171" t="s">
        <v>4815</v>
      </c>
      <c r="Z1171" t="s">
        <v>4815</v>
      </c>
      <c r="AA1171">
        <f>IF(Table_TRM_Fixtures[[#This Row],[Pre-EISA Baseline]]="Nominal", Table_TRM_Fixtures[[#This Row],[Fixture Watts  (TRM Data)]], Table_TRM_Fixtures[[#This Row],[Modified Baseline Fixture Watts]])</f>
        <v>83</v>
      </c>
    </row>
    <row r="1172" spans="1:27" x14ac:dyDescent="0.2">
      <c r="A1172" t="s">
        <v>2082</v>
      </c>
      <c r="B1172" t="s">
        <v>5699</v>
      </c>
      <c r="C1172" t="s">
        <v>2081</v>
      </c>
      <c r="D1172" t="s">
        <v>5707</v>
      </c>
      <c r="E1172" t="s">
        <v>1386</v>
      </c>
      <c r="F1172">
        <v>3</v>
      </c>
      <c r="G1172">
        <v>30</v>
      </c>
      <c r="H1172">
        <v>67</v>
      </c>
      <c r="I1172">
        <v>15.5</v>
      </c>
      <c r="J1172" s="110">
        <v>1170</v>
      </c>
      <c r="K1172" t="s">
        <v>1505</v>
      </c>
      <c r="L1172">
        <f>IF(Table_TRM_Fixtures[[#This Row],[Technology]]="LED", Table_TRM_Fixtures[[#This Row],[Fixture Watts  (TRM Data)]], Table_TRM_Fixtures[[#This Row],[Lamp Watts  (TRM Data)]])</f>
        <v>30</v>
      </c>
      <c r="M1172">
        <f>Table_TRM_Fixtures[[#This Row],[No. of Lamps  (TRM Data)]]</f>
        <v>3</v>
      </c>
      <c r="N1172">
        <v>48</v>
      </c>
      <c r="O1172" t="s">
        <v>1381</v>
      </c>
      <c r="P1172" t="s">
        <v>187</v>
      </c>
      <c r="Q1172" t="s">
        <v>5614</v>
      </c>
      <c r="R1172" t="str">
        <f>_xlfn.CONCAT(Table_TRM_Fixtures[[#This Row],[Technology]], ", ", Table_TRM_Fixtures[[#This Row],[Ballast Code]], " Ballast")</f>
        <v>T8, Electronic RLO Ballast</v>
      </c>
      <c r="S1172" t="str">
        <f>Table_TRM_Fixtures[[#This Row],[Description  (TRM Data)]]</f>
        <v>Fluorescent (3) 48" T-8 @ 30W lamps, Prog. Start or PRS Ballast, RLO (BF &lt; 0.85)</v>
      </c>
      <c r="T1172" t="str">
        <f>Table_TRM_Fixtures[[#This Row],[Fixture code  (TRM Data)]]</f>
        <v>F43GELL-R</v>
      </c>
      <c r="U1172" t="s">
        <v>2882</v>
      </c>
      <c r="V1172" t="s">
        <v>186</v>
      </c>
      <c r="W1172" t="s">
        <v>3120</v>
      </c>
      <c r="X1172" t="s">
        <v>186</v>
      </c>
      <c r="Y1172" t="s">
        <v>4815</v>
      </c>
      <c r="Z1172" t="s">
        <v>4815</v>
      </c>
      <c r="AA1172">
        <f>IF(Table_TRM_Fixtures[[#This Row],[Pre-EISA Baseline]]="Nominal", Table_TRM_Fixtures[[#This Row],[Fixture Watts  (TRM Data)]], Table_TRM_Fixtures[[#This Row],[Modified Baseline Fixture Watts]])</f>
        <v>67</v>
      </c>
    </row>
    <row r="1173" spans="1:27" x14ac:dyDescent="0.2">
      <c r="A1173" t="s">
        <v>2084</v>
      </c>
      <c r="B1173" t="s">
        <v>5699</v>
      </c>
      <c r="C1173" t="s">
        <v>2083</v>
      </c>
      <c r="D1173" t="s">
        <v>5706</v>
      </c>
      <c r="E1173" t="s">
        <v>187</v>
      </c>
      <c r="F1173">
        <v>3</v>
      </c>
      <c r="G1173">
        <v>30</v>
      </c>
      <c r="H1173">
        <v>81</v>
      </c>
      <c r="I1173">
        <v>15.5</v>
      </c>
      <c r="J1173" s="110">
        <v>1171</v>
      </c>
      <c r="K1173" t="s">
        <v>1505</v>
      </c>
      <c r="L1173">
        <f>IF(Table_TRM_Fixtures[[#This Row],[Technology]]="LED", Table_TRM_Fixtures[[#This Row],[Fixture Watts  (TRM Data)]], Table_TRM_Fixtures[[#This Row],[Lamp Watts  (TRM Data)]])</f>
        <v>30</v>
      </c>
      <c r="M1173">
        <f>Table_TRM_Fixtures[[#This Row],[No. of Lamps  (TRM Data)]]</f>
        <v>3</v>
      </c>
      <c r="N1173">
        <v>48</v>
      </c>
      <c r="O1173" t="s">
        <v>1381</v>
      </c>
      <c r="P1173" t="s">
        <v>187</v>
      </c>
      <c r="Q1173" t="s">
        <v>5612</v>
      </c>
      <c r="R1173" t="str">
        <f>_xlfn.CONCAT(Table_TRM_Fixtures[[#This Row],[Technology]], ", ", Table_TRM_Fixtures[[#This Row],[Ballast Code]], " Ballast")</f>
        <v>T8, Electronic STD Ballast</v>
      </c>
      <c r="S1173" t="str">
        <f>Table_TRM_Fixtures[[#This Row],[Description  (TRM Data)]]</f>
        <v>Fluorescent (3) 48" T-8 @ 30 W lamps, Instant Start Ballast, NLO (0.85 &lt; BF &lt; 0.95)</v>
      </c>
      <c r="T1173" t="str">
        <f>Table_TRM_Fixtures[[#This Row],[Fixture code  (TRM Data)]]</f>
        <v>F43IELL</v>
      </c>
      <c r="U1173" t="s">
        <v>2882</v>
      </c>
      <c r="V1173" t="s">
        <v>186</v>
      </c>
      <c r="W1173" t="s">
        <v>3120</v>
      </c>
      <c r="X1173" t="s">
        <v>186</v>
      </c>
      <c r="Y1173" t="str">
        <f>_xlfn.CONCAT(Table_TRM_Fixtures[[#This Row],[Combined Lighting/Ballast Types]],":",Table_TRM_Fixtures[[#This Row],[No. of Lamps]], ":", Table_TRM_Fixtures[[#This Row],[Lamp Watts  (TRM Data)]])</f>
        <v>T8, Electronic STD Ballast:3:30</v>
      </c>
      <c r="Z1173"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T8:3:30</v>
      </c>
      <c r="AA1173">
        <f>IF(Table_TRM_Fixtures[[#This Row],[Pre-EISA Baseline]]="Nominal", Table_TRM_Fixtures[[#This Row],[Fixture Watts  (TRM Data)]], Table_TRM_Fixtures[[#This Row],[Modified Baseline Fixture Watts]])</f>
        <v>81</v>
      </c>
    </row>
    <row r="1174" spans="1:27" x14ac:dyDescent="0.2">
      <c r="A1174" t="s">
        <v>2086</v>
      </c>
      <c r="B1174" t="s">
        <v>5699</v>
      </c>
      <c r="C1174" t="s">
        <v>2085</v>
      </c>
      <c r="D1174" t="s">
        <v>5708</v>
      </c>
      <c r="E1174" t="s">
        <v>187</v>
      </c>
      <c r="F1174">
        <v>3</v>
      </c>
      <c r="G1174">
        <v>30</v>
      </c>
      <c r="H1174">
        <v>86</v>
      </c>
      <c r="I1174">
        <v>15.5</v>
      </c>
      <c r="J1174" s="110">
        <v>1172</v>
      </c>
      <c r="K1174" t="s">
        <v>1505</v>
      </c>
      <c r="L1174">
        <f>IF(Table_TRM_Fixtures[[#This Row],[Technology]]="LED", Table_TRM_Fixtures[[#This Row],[Fixture Watts  (TRM Data)]], Table_TRM_Fixtures[[#This Row],[Lamp Watts  (TRM Data)]])</f>
        <v>30</v>
      </c>
      <c r="M1174">
        <f>Table_TRM_Fixtures[[#This Row],[No. of Lamps  (TRM Data)]]</f>
        <v>3</v>
      </c>
      <c r="N1174">
        <v>48</v>
      </c>
      <c r="O1174" t="s">
        <v>1381</v>
      </c>
      <c r="P1174" t="s">
        <v>187</v>
      </c>
      <c r="Q1174" t="s">
        <v>5566</v>
      </c>
      <c r="R1174" t="str">
        <f>_xlfn.CONCAT(Table_TRM_Fixtures[[#This Row],[Technology]], ", ", Table_TRM_Fixtures[[#This Row],[Ballast Code]], " Ballast")</f>
        <v>T8, Electronic HLO Ballast</v>
      </c>
      <c r="S1174" t="str">
        <f>Table_TRM_Fixtures[[#This Row],[Description  (TRM Data)]]</f>
        <v>Fluorescent (3) 48" T-8 @ 30 W lamps, Instant Start Ballast, HLO (0.95 &lt; BF &lt; 1.1)</v>
      </c>
      <c r="T1174" t="str">
        <f>Table_TRM_Fixtures[[#This Row],[Fixture code  (TRM Data)]]</f>
        <v>F43IELL-H</v>
      </c>
      <c r="U1174" t="s">
        <v>2882</v>
      </c>
      <c r="V1174" t="s">
        <v>186</v>
      </c>
      <c r="W1174" t="s">
        <v>3120</v>
      </c>
      <c r="X1174" t="s">
        <v>186</v>
      </c>
      <c r="Y1174" t="str">
        <f>_xlfn.CONCAT(Table_TRM_Fixtures[[#This Row],[Combined Lighting/Ballast Types]],":",Table_TRM_Fixtures[[#This Row],[No. of Lamps]], ":", Table_TRM_Fixtures[[#This Row],[Lamp Watts  (TRM Data)]])</f>
        <v>T8, Electronic HLO Ballast:3:30</v>
      </c>
      <c r="Z1174" t="s">
        <v>4815</v>
      </c>
      <c r="AA1174">
        <f>IF(Table_TRM_Fixtures[[#This Row],[Pre-EISA Baseline]]="Nominal", Table_TRM_Fixtures[[#This Row],[Fixture Watts  (TRM Data)]], Table_TRM_Fixtures[[#This Row],[Modified Baseline Fixture Watts]])</f>
        <v>86</v>
      </c>
    </row>
    <row r="1175" spans="1:27" x14ac:dyDescent="0.2">
      <c r="A1175" t="s">
        <v>2088</v>
      </c>
      <c r="B1175" t="s">
        <v>5699</v>
      </c>
      <c r="C1175" t="s">
        <v>2087</v>
      </c>
      <c r="D1175" t="s">
        <v>5707</v>
      </c>
      <c r="E1175" t="s">
        <v>187</v>
      </c>
      <c r="F1175">
        <v>3</v>
      </c>
      <c r="G1175">
        <v>30</v>
      </c>
      <c r="H1175">
        <v>71</v>
      </c>
      <c r="I1175">
        <v>15.5</v>
      </c>
      <c r="J1175" s="110">
        <v>1173</v>
      </c>
      <c r="K1175" t="s">
        <v>1505</v>
      </c>
      <c r="L1175">
        <f>IF(Table_TRM_Fixtures[[#This Row],[Technology]]="LED", Table_TRM_Fixtures[[#This Row],[Fixture Watts  (TRM Data)]], Table_TRM_Fixtures[[#This Row],[Lamp Watts  (TRM Data)]])</f>
        <v>30</v>
      </c>
      <c r="M1175">
        <f>Table_TRM_Fixtures[[#This Row],[No. of Lamps  (TRM Data)]]</f>
        <v>3</v>
      </c>
      <c r="N1175">
        <v>48</v>
      </c>
      <c r="O1175" t="s">
        <v>1381</v>
      </c>
      <c r="P1175" t="s">
        <v>187</v>
      </c>
      <c r="Q1175" t="s">
        <v>5614</v>
      </c>
      <c r="R1175" t="str">
        <f>_xlfn.CONCAT(Table_TRM_Fixtures[[#This Row],[Technology]], ", ", Table_TRM_Fixtures[[#This Row],[Ballast Code]], " Ballast")</f>
        <v>T8, Electronic RLO Ballast</v>
      </c>
      <c r="S1175" t="str">
        <f>Table_TRM_Fixtures[[#This Row],[Description  (TRM Data)]]</f>
        <v>Fluorescent (3) 48" T-8 @ 30 W lamps, Instant Start Ballast, RLO (BF &lt; 0.85)</v>
      </c>
      <c r="T1175" t="str">
        <f>Table_TRM_Fixtures[[#This Row],[Fixture code  (TRM Data)]]</f>
        <v>F43IELL-R</v>
      </c>
      <c r="U1175" t="s">
        <v>2882</v>
      </c>
      <c r="V1175" t="s">
        <v>186</v>
      </c>
      <c r="W1175" t="s">
        <v>3120</v>
      </c>
      <c r="X1175" t="s">
        <v>186</v>
      </c>
      <c r="Y1175" t="str">
        <f>_xlfn.CONCAT(Table_TRM_Fixtures[[#This Row],[Combined Lighting/Ballast Types]],":",Table_TRM_Fixtures[[#This Row],[No. of Lamps]], ":", Table_TRM_Fixtures[[#This Row],[Lamp Watts  (TRM Data)]])</f>
        <v>T8, Electronic RLO Ballast:3:30</v>
      </c>
      <c r="Z1175" t="s">
        <v>4815</v>
      </c>
      <c r="AA1175">
        <f>IF(Table_TRM_Fixtures[[#This Row],[Pre-EISA Baseline]]="Nominal", Table_TRM_Fixtures[[#This Row],[Fixture Watts  (TRM Data)]], Table_TRM_Fixtures[[#This Row],[Modified Baseline Fixture Watts]])</f>
        <v>71</v>
      </c>
    </row>
    <row r="1176" spans="1:27" x14ac:dyDescent="0.2">
      <c r="A1176" t="s">
        <v>2090</v>
      </c>
      <c r="B1176" t="s">
        <v>5699</v>
      </c>
      <c r="C1176" t="s">
        <v>2089</v>
      </c>
      <c r="D1176" t="s">
        <v>5706</v>
      </c>
      <c r="E1176" t="s">
        <v>187</v>
      </c>
      <c r="F1176">
        <v>3</v>
      </c>
      <c r="G1176">
        <v>30</v>
      </c>
      <c r="H1176">
        <v>84</v>
      </c>
      <c r="I1176">
        <v>15.5</v>
      </c>
      <c r="J1176" s="110">
        <v>1174</v>
      </c>
      <c r="K1176" t="s">
        <v>1505</v>
      </c>
      <c r="L1176">
        <f>IF(Table_TRM_Fixtures[[#This Row],[Technology]]="LED", Table_TRM_Fixtures[[#This Row],[Fixture Watts  (TRM Data)]], Table_TRM_Fixtures[[#This Row],[Lamp Watts  (TRM Data)]])</f>
        <v>30</v>
      </c>
      <c r="M1176">
        <f>Table_TRM_Fixtures[[#This Row],[No. of Lamps  (TRM Data)]]</f>
        <v>3</v>
      </c>
      <c r="N1176">
        <v>48</v>
      </c>
      <c r="O1176" t="s">
        <v>1381</v>
      </c>
      <c r="P1176" t="s">
        <v>187</v>
      </c>
      <c r="Q1176" t="s">
        <v>5612</v>
      </c>
      <c r="R1176" t="str">
        <f>_xlfn.CONCAT(Table_TRM_Fixtures[[#This Row],[Technology]], ", ", Table_TRM_Fixtures[[#This Row],[Ballast Code]], " Ballast")</f>
        <v>T8, Electronic STD Ballast</v>
      </c>
      <c r="S1176" t="str">
        <f>Table_TRM_Fixtures[[#This Row],[Description  (TRM Data)]]</f>
        <v>Fluorescent (3) 48" T-8 @ 30 W lamps, (1) 1-lamp and (1) 2-lamp IS Ballast, NLO (0.85 &lt; BF &lt; 0.95)</v>
      </c>
      <c r="T1176" t="str">
        <f>Table_TRM_Fixtures[[#This Row],[Fixture code  (TRM Data)]]</f>
        <v>F43IELL/2</v>
      </c>
      <c r="U1176" t="s">
        <v>2882</v>
      </c>
      <c r="V1176" t="s">
        <v>186</v>
      </c>
      <c r="W1176" t="s">
        <v>3120</v>
      </c>
      <c r="X1176" t="s">
        <v>186</v>
      </c>
      <c r="Y1176" t="s">
        <v>4815</v>
      </c>
      <c r="Z1176" t="s">
        <v>4815</v>
      </c>
      <c r="AA1176">
        <f>IF(Table_TRM_Fixtures[[#This Row],[Pre-EISA Baseline]]="Nominal", Table_TRM_Fixtures[[#This Row],[Fixture Watts  (TRM Data)]], Table_TRM_Fixtures[[#This Row],[Modified Baseline Fixture Watts]])</f>
        <v>84</v>
      </c>
    </row>
    <row r="1177" spans="1:27" x14ac:dyDescent="0.2">
      <c r="A1177" t="s">
        <v>2092</v>
      </c>
      <c r="B1177" t="s">
        <v>5699</v>
      </c>
      <c r="C1177" t="s">
        <v>2091</v>
      </c>
      <c r="D1177" t="s">
        <v>5708</v>
      </c>
      <c r="E1177" t="s">
        <v>187</v>
      </c>
      <c r="F1177">
        <v>3</v>
      </c>
      <c r="G1177">
        <v>30</v>
      </c>
      <c r="H1177">
        <v>96</v>
      </c>
      <c r="I1177">
        <v>15.5</v>
      </c>
      <c r="J1177" s="110">
        <v>1175</v>
      </c>
      <c r="K1177" t="s">
        <v>1505</v>
      </c>
      <c r="L1177">
        <f>IF(Table_TRM_Fixtures[[#This Row],[Technology]]="LED", Table_TRM_Fixtures[[#This Row],[Fixture Watts  (TRM Data)]], Table_TRM_Fixtures[[#This Row],[Lamp Watts  (TRM Data)]])</f>
        <v>30</v>
      </c>
      <c r="M1177">
        <f>Table_TRM_Fixtures[[#This Row],[No. of Lamps  (TRM Data)]]</f>
        <v>3</v>
      </c>
      <c r="N1177">
        <v>48</v>
      </c>
      <c r="O1177" t="s">
        <v>1381</v>
      </c>
      <c r="P1177" t="s">
        <v>187</v>
      </c>
      <c r="Q1177" t="s">
        <v>5566</v>
      </c>
      <c r="R1177" t="str">
        <f>_xlfn.CONCAT(Table_TRM_Fixtures[[#This Row],[Technology]], ", ", Table_TRM_Fixtures[[#This Row],[Ballast Code]], " Ballast")</f>
        <v>T8, Electronic HLO Ballast</v>
      </c>
      <c r="S1177" t="str">
        <f>Table_TRM_Fixtures[[#This Row],[Description  (TRM Data)]]</f>
        <v>Fluorescent (3) 48" T-8 @ 30 W lamps, (1) 2-lamp, (1) 3-lamp IS Ballast, 1 lead capped, HLO (0.95 &lt; BF &lt; 1.1)</v>
      </c>
      <c r="T1177" t="str">
        <f>Table_TRM_Fixtures[[#This Row],[Fixture code  (TRM Data)]]</f>
        <v>F43IELL/2-H</v>
      </c>
      <c r="U1177" t="s">
        <v>2882</v>
      </c>
      <c r="V1177" t="s">
        <v>186</v>
      </c>
      <c r="W1177" t="s">
        <v>3120</v>
      </c>
      <c r="X1177" t="s">
        <v>186</v>
      </c>
      <c r="Y1177" t="s">
        <v>4815</v>
      </c>
      <c r="Z1177" t="s">
        <v>4815</v>
      </c>
      <c r="AA1177">
        <f>IF(Table_TRM_Fixtures[[#This Row],[Pre-EISA Baseline]]="Nominal", Table_TRM_Fixtures[[#This Row],[Fixture Watts  (TRM Data)]], Table_TRM_Fixtures[[#This Row],[Modified Baseline Fixture Watts]])</f>
        <v>96</v>
      </c>
    </row>
    <row r="1178" spans="1:27" x14ac:dyDescent="0.2">
      <c r="A1178" t="s">
        <v>2094</v>
      </c>
      <c r="B1178" t="s">
        <v>5699</v>
      </c>
      <c r="C1178" t="s">
        <v>2093</v>
      </c>
      <c r="D1178" t="s">
        <v>5707</v>
      </c>
      <c r="E1178" t="s">
        <v>187</v>
      </c>
      <c r="F1178">
        <v>3</v>
      </c>
      <c r="G1178">
        <v>30</v>
      </c>
      <c r="H1178">
        <v>75</v>
      </c>
      <c r="I1178">
        <v>15.5</v>
      </c>
      <c r="J1178" s="110">
        <v>1176</v>
      </c>
      <c r="K1178" t="s">
        <v>1505</v>
      </c>
      <c r="L1178">
        <f>IF(Table_TRM_Fixtures[[#This Row],[Technology]]="LED", Table_TRM_Fixtures[[#This Row],[Fixture Watts  (TRM Data)]], Table_TRM_Fixtures[[#This Row],[Lamp Watts  (TRM Data)]])</f>
        <v>30</v>
      </c>
      <c r="M1178">
        <f>Table_TRM_Fixtures[[#This Row],[No. of Lamps  (TRM Data)]]</f>
        <v>3</v>
      </c>
      <c r="N1178">
        <v>48</v>
      </c>
      <c r="O1178" t="s">
        <v>1381</v>
      </c>
      <c r="P1178" t="s">
        <v>187</v>
      </c>
      <c r="Q1178" t="s">
        <v>5614</v>
      </c>
      <c r="R1178" t="str">
        <f>_xlfn.CONCAT(Table_TRM_Fixtures[[#This Row],[Technology]], ", ", Table_TRM_Fixtures[[#This Row],[Ballast Code]], " Ballast")</f>
        <v>T8, Electronic RLO Ballast</v>
      </c>
      <c r="S1178" t="str">
        <f>Table_TRM_Fixtures[[#This Row],[Description  (TRM Data)]]</f>
        <v>Fluorescent (3) 48" T-8 @ 30 W lamps, (1) 1-lamp and (1) 2-lamp IS Ballast, RLO (BF &lt; 0.85)</v>
      </c>
      <c r="T1178" t="str">
        <f>Table_TRM_Fixtures[[#This Row],[Fixture code  (TRM Data)]]</f>
        <v>F43IELL/2-R</v>
      </c>
      <c r="U1178" t="s">
        <v>2882</v>
      </c>
      <c r="V1178" t="s">
        <v>186</v>
      </c>
      <c r="W1178" t="s">
        <v>3120</v>
      </c>
      <c r="X1178" t="s">
        <v>186</v>
      </c>
      <c r="Y1178" t="s">
        <v>4815</v>
      </c>
      <c r="Z1178" t="s">
        <v>4815</v>
      </c>
      <c r="AA1178">
        <f>IF(Table_TRM_Fixtures[[#This Row],[Pre-EISA Baseline]]="Nominal", Table_TRM_Fixtures[[#This Row],[Fixture Watts  (TRM Data)]], Table_TRM_Fixtures[[#This Row],[Modified Baseline Fixture Watts]])</f>
        <v>75</v>
      </c>
    </row>
    <row r="1179" spans="1:27" x14ac:dyDescent="0.2">
      <c r="A1179" t="s">
        <v>2096</v>
      </c>
      <c r="B1179" t="s">
        <v>5699</v>
      </c>
      <c r="C1179" t="s">
        <v>2095</v>
      </c>
      <c r="D1179" t="s">
        <v>5706</v>
      </c>
      <c r="E1179" t="s">
        <v>187</v>
      </c>
      <c r="F1179">
        <v>3</v>
      </c>
      <c r="G1179">
        <v>30</v>
      </c>
      <c r="H1179">
        <v>77</v>
      </c>
      <c r="I1179">
        <v>15.5</v>
      </c>
      <c r="J1179" s="110">
        <v>1177</v>
      </c>
      <c r="K1179" t="s">
        <v>1505</v>
      </c>
      <c r="L1179">
        <f>IF(Table_TRM_Fixtures[[#This Row],[Technology]]="LED", Table_TRM_Fixtures[[#This Row],[Fixture Watts  (TRM Data)]], Table_TRM_Fixtures[[#This Row],[Lamp Watts  (TRM Data)]])</f>
        <v>30</v>
      </c>
      <c r="M1179">
        <f>Table_TRM_Fixtures[[#This Row],[No. of Lamps  (TRM Data)]]</f>
        <v>3</v>
      </c>
      <c r="N1179">
        <v>48</v>
      </c>
      <c r="O1179" t="s">
        <v>1381</v>
      </c>
      <c r="P1179" t="s">
        <v>187</v>
      </c>
      <c r="Q1179" t="s">
        <v>5612</v>
      </c>
      <c r="R1179" t="str">
        <f>_xlfn.CONCAT(Table_TRM_Fixtures[[#This Row],[Technology]], ", ", Table_TRM_Fixtures[[#This Row],[Ballast Code]], " Ballast")</f>
        <v>T8, Electronic STD Ballast</v>
      </c>
      <c r="S1179" t="str">
        <f>Table_TRM_Fixtures[[#This Row],[Description  (TRM Data)]]</f>
        <v>Fluorescent (3) 48" T-8 @ 30W lamps, Instant Start Ballast, NLO (0.85 &lt; BF &lt; 0.95)</v>
      </c>
      <c r="T1179" t="str">
        <f>Table_TRM_Fixtures[[#This Row],[Fixture code  (TRM Data)]]</f>
        <v>F43IELU</v>
      </c>
      <c r="U1179" t="s">
        <v>2882</v>
      </c>
      <c r="V1179" t="s">
        <v>186</v>
      </c>
      <c r="W1179" t="s">
        <v>3120</v>
      </c>
      <c r="X1179" t="s">
        <v>186</v>
      </c>
      <c r="Y1179" t="s">
        <v>4815</v>
      </c>
      <c r="Z1179" t="s">
        <v>4815</v>
      </c>
      <c r="AA1179">
        <f>IF(Table_TRM_Fixtures[[#This Row],[Pre-EISA Baseline]]="Nominal", Table_TRM_Fixtures[[#This Row],[Fixture Watts  (TRM Data)]], Table_TRM_Fixtures[[#This Row],[Modified Baseline Fixture Watts]])</f>
        <v>77</v>
      </c>
    </row>
    <row r="1180" spans="1:27" x14ac:dyDescent="0.2">
      <c r="A1180" t="s">
        <v>2098</v>
      </c>
      <c r="B1180" t="s">
        <v>5699</v>
      </c>
      <c r="C1180" t="s">
        <v>2097</v>
      </c>
      <c r="D1180" t="s">
        <v>5707</v>
      </c>
      <c r="E1180" t="s">
        <v>187</v>
      </c>
      <c r="F1180">
        <v>3</v>
      </c>
      <c r="G1180">
        <v>30</v>
      </c>
      <c r="H1180">
        <v>68</v>
      </c>
      <c r="I1180">
        <v>15.5</v>
      </c>
      <c r="J1180" s="110">
        <v>1178</v>
      </c>
      <c r="K1180" t="s">
        <v>1505</v>
      </c>
      <c r="L1180">
        <f>IF(Table_TRM_Fixtures[[#This Row],[Technology]]="LED", Table_TRM_Fixtures[[#This Row],[Fixture Watts  (TRM Data)]], Table_TRM_Fixtures[[#This Row],[Lamp Watts  (TRM Data)]])</f>
        <v>30</v>
      </c>
      <c r="M1180">
        <f>Table_TRM_Fixtures[[#This Row],[No. of Lamps  (TRM Data)]]</f>
        <v>3</v>
      </c>
      <c r="N1180">
        <v>48</v>
      </c>
      <c r="O1180" t="s">
        <v>1381</v>
      </c>
      <c r="P1180" t="s">
        <v>187</v>
      </c>
      <c r="Q1180" t="s">
        <v>5614</v>
      </c>
      <c r="R1180" t="str">
        <f>_xlfn.CONCAT(Table_TRM_Fixtures[[#This Row],[Technology]], ", ", Table_TRM_Fixtures[[#This Row],[Ballast Code]], " Ballast")</f>
        <v>T8, Electronic RLO Ballast</v>
      </c>
      <c r="S1180" t="str">
        <f>Table_TRM_Fixtures[[#This Row],[Description  (TRM Data)]]</f>
        <v>Fluorescent (3) 48" T-8 @ 30W lamps, Instant Start Ballast, RLO (BF &lt; 0.85)</v>
      </c>
      <c r="T1180" t="str">
        <f>Table_TRM_Fixtures[[#This Row],[Fixture code  (TRM Data)]]</f>
        <v>F43IELU-R</v>
      </c>
      <c r="U1180" t="s">
        <v>2882</v>
      </c>
      <c r="V1180" t="s">
        <v>186</v>
      </c>
      <c r="W1180" t="s">
        <v>3120</v>
      </c>
      <c r="X1180" t="s">
        <v>186</v>
      </c>
      <c r="Y1180" t="s">
        <v>4815</v>
      </c>
      <c r="Z1180" t="s">
        <v>4815</v>
      </c>
      <c r="AA1180">
        <f>IF(Table_TRM_Fixtures[[#This Row],[Pre-EISA Baseline]]="Nominal", Table_TRM_Fixtures[[#This Row],[Fixture Watts  (TRM Data)]], Table_TRM_Fixtures[[#This Row],[Modified Baseline Fixture Watts]])</f>
        <v>68</v>
      </c>
    </row>
    <row r="1181" spans="1:27" x14ac:dyDescent="0.2">
      <c r="A1181" t="s">
        <v>2100</v>
      </c>
      <c r="B1181" t="s">
        <v>5699</v>
      </c>
      <c r="C1181" t="s">
        <v>2099</v>
      </c>
      <c r="D1181" t="s">
        <v>5709</v>
      </c>
      <c r="E1181" t="s">
        <v>187</v>
      </c>
      <c r="F1181">
        <v>3</v>
      </c>
      <c r="G1181">
        <v>30</v>
      </c>
      <c r="H1181">
        <v>104</v>
      </c>
      <c r="I1181">
        <v>15.5</v>
      </c>
      <c r="J1181" s="110">
        <v>1179</v>
      </c>
      <c r="K1181" t="s">
        <v>1505</v>
      </c>
      <c r="L1181">
        <f>IF(Table_TRM_Fixtures[[#This Row],[Technology]]="LED", Table_TRM_Fixtures[[#This Row],[Fixture Watts  (TRM Data)]], Table_TRM_Fixtures[[#This Row],[Lamp Watts  (TRM Data)]])</f>
        <v>30</v>
      </c>
      <c r="M1181">
        <f>Table_TRM_Fixtures[[#This Row],[No. of Lamps  (TRM Data)]]</f>
        <v>3</v>
      </c>
      <c r="N1181">
        <v>48</v>
      </c>
      <c r="O1181" t="s">
        <v>1381</v>
      </c>
      <c r="P1181" t="s">
        <v>187</v>
      </c>
      <c r="Q1181" t="s">
        <v>5616</v>
      </c>
      <c r="R1181" t="str">
        <f>_xlfn.CONCAT(Table_TRM_Fixtures[[#This Row],[Technology]], ", ", Table_TRM_Fixtures[[#This Row],[Ballast Code]], " Ballast")</f>
        <v>T8, Electronic VHLO Ballast</v>
      </c>
      <c r="S1181" t="str">
        <f>Table_TRM_Fixtures[[#This Row],[Description  (TRM Data)]]</f>
        <v>Fluorescent (3) 48" T-8 @ 30W lamps, Instant Start Ballast, VHLO (BF &gt; 1.1)</v>
      </c>
      <c r="T1181" t="str">
        <f>Table_TRM_Fixtures[[#This Row],[Fixture code  (TRM Data)]]</f>
        <v>F43IELU-V</v>
      </c>
      <c r="U1181" t="s">
        <v>2882</v>
      </c>
      <c r="V1181" t="s">
        <v>186</v>
      </c>
      <c r="W1181" t="s">
        <v>3120</v>
      </c>
      <c r="X1181" t="s">
        <v>186</v>
      </c>
      <c r="Y1181" t="str">
        <f>_xlfn.CONCAT(Table_TRM_Fixtures[[#This Row],[Combined Lighting/Ballast Types]],":",Table_TRM_Fixtures[[#This Row],[No. of Lamps]], ":", Table_TRM_Fixtures[[#This Row],[Lamp Watts  (TRM Data)]])</f>
        <v>T8, Electronic VHLO Ballast:3:30</v>
      </c>
      <c r="Z1181" t="s">
        <v>4815</v>
      </c>
      <c r="AA1181">
        <f>IF(Table_TRM_Fixtures[[#This Row],[Pre-EISA Baseline]]="Nominal", Table_TRM_Fixtures[[#This Row],[Fixture Watts  (TRM Data)]], Table_TRM_Fixtures[[#This Row],[Modified Baseline Fixture Watts]])</f>
        <v>104</v>
      </c>
    </row>
    <row r="1182" spans="1:27" x14ac:dyDescent="0.2">
      <c r="A1182" t="s">
        <v>2102</v>
      </c>
      <c r="B1182" t="s">
        <v>5699</v>
      </c>
      <c r="C1182" t="s">
        <v>2101</v>
      </c>
      <c r="D1182" t="s">
        <v>5710</v>
      </c>
      <c r="E1182" t="s">
        <v>1386</v>
      </c>
      <c r="F1182">
        <v>4</v>
      </c>
      <c r="G1182">
        <v>30</v>
      </c>
      <c r="H1182">
        <v>109</v>
      </c>
      <c r="I1182">
        <v>15.5</v>
      </c>
      <c r="J1182" s="110">
        <v>1180</v>
      </c>
      <c r="K1182" t="s">
        <v>1505</v>
      </c>
      <c r="L1182">
        <f>IF(Table_TRM_Fixtures[[#This Row],[Technology]]="LED", Table_TRM_Fixtures[[#This Row],[Fixture Watts  (TRM Data)]], Table_TRM_Fixtures[[#This Row],[Lamp Watts  (TRM Data)]])</f>
        <v>30</v>
      </c>
      <c r="M1182">
        <f>Table_TRM_Fixtures[[#This Row],[No. of Lamps  (TRM Data)]]</f>
        <v>4</v>
      </c>
      <c r="N1182">
        <v>48</v>
      </c>
      <c r="O1182" t="s">
        <v>1381</v>
      </c>
      <c r="P1182" t="s">
        <v>187</v>
      </c>
      <c r="Q1182" t="s">
        <v>5612</v>
      </c>
      <c r="R1182" t="str">
        <f>_xlfn.CONCAT(Table_TRM_Fixtures[[#This Row],[Technology]], ", ", Table_TRM_Fixtures[[#This Row],[Ballast Code]], " Ballast")</f>
        <v>T8, Electronic STD Ballast</v>
      </c>
      <c r="S1182" t="str">
        <f>Table_TRM_Fixtures[[#This Row],[Description  (TRM Data)]]</f>
        <v>Fluorescent (4) 48" T-8 @ 30W lamps, Prog. Start or PRS Ballast, NLO (0.85 &lt; BF &lt; 0.95)</v>
      </c>
      <c r="T1182" t="str">
        <f>Table_TRM_Fixtures[[#This Row],[Fixture code  (TRM Data)]]</f>
        <v>F44GELL</v>
      </c>
      <c r="U1182" t="s">
        <v>2882</v>
      </c>
      <c r="V1182" t="s">
        <v>186</v>
      </c>
      <c r="W1182" t="s">
        <v>3120</v>
      </c>
      <c r="X1182" t="s">
        <v>186</v>
      </c>
      <c r="Y1182" t="s">
        <v>4815</v>
      </c>
      <c r="Z1182" t="s">
        <v>4815</v>
      </c>
      <c r="AA1182">
        <f>IF(Table_TRM_Fixtures[[#This Row],[Pre-EISA Baseline]]="Nominal", Table_TRM_Fixtures[[#This Row],[Fixture Watts  (TRM Data)]], Table_TRM_Fixtures[[#This Row],[Modified Baseline Fixture Watts]])</f>
        <v>109</v>
      </c>
    </row>
    <row r="1183" spans="1:27" x14ac:dyDescent="0.2">
      <c r="A1183" t="s">
        <v>2104</v>
      </c>
      <c r="B1183" t="s">
        <v>5699</v>
      </c>
      <c r="C1183" t="s">
        <v>2103</v>
      </c>
      <c r="D1183" t="s">
        <v>5711</v>
      </c>
      <c r="E1183" t="s">
        <v>1386</v>
      </c>
      <c r="F1183">
        <v>4</v>
      </c>
      <c r="G1183">
        <v>30</v>
      </c>
      <c r="H1183">
        <v>86</v>
      </c>
      <c r="I1183">
        <v>15.5</v>
      </c>
      <c r="J1183" s="110">
        <v>1181</v>
      </c>
      <c r="K1183" t="s">
        <v>1505</v>
      </c>
      <c r="L1183">
        <f>IF(Table_TRM_Fixtures[[#This Row],[Technology]]="LED", Table_TRM_Fixtures[[#This Row],[Fixture Watts  (TRM Data)]], Table_TRM_Fixtures[[#This Row],[Lamp Watts  (TRM Data)]])</f>
        <v>30</v>
      </c>
      <c r="M1183">
        <f>Table_TRM_Fixtures[[#This Row],[No. of Lamps  (TRM Data)]]</f>
        <v>4</v>
      </c>
      <c r="N1183">
        <v>48</v>
      </c>
      <c r="O1183" t="s">
        <v>1381</v>
      </c>
      <c r="P1183" t="s">
        <v>187</v>
      </c>
      <c r="Q1183" t="s">
        <v>5614</v>
      </c>
      <c r="R1183" t="str">
        <f>_xlfn.CONCAT(Table_TRM_Fixtures[[#This Row],[Technology]], ", ", Table_TRM_Fixtures[[#This Row],[Ballast Code]], " Ballast")</f>
        <v>T8, Electronic RLO Ballast</v>
      </c>
      <c r="S1183" t="str">
        <f>Table_TRM_Fixtures[[#This Row],[Description  (TRM Data)]]</f>
        <v>Fluorescent (4) 48" T-8 @ 30W lamps, Prog. Start or PRS Ballast, RLO (BF &lt; 0.85)</v>
      </c>
      <c r="T1183" t="str">
        <f>Table_TRM_Fixtures[[#This Row],[Fixture code  (TRM Data)]]</f>
        <v>F44GELL-R</v>
      </c>
      <c r="U1183" t="s">
        <v>2882</v>
      </c>
      <c r="V1183" t="s">
        <v>186</v>
      </c>
      <c r="W1183" t="s">
        <v>3120</v>
      </c>
      <c r="X1183" t="s">
        <v>186</v>
      </c>
      <c r="Y1183" t="s">
        <v>4815</v>
      </c>
      <c r="Z1183" t="s">
        <v>4815</v>
      </c>
      <c r="AA1183">
        <f>IF(Table_TRM_Fixtures[[#This Row],[Pre-EISA Baseline]]="Nominal", Table_TRM_Fixtures[[#This Row],[Fixture Watts  (TRM Data)]], Table_TRM_Fixtures[[#This Row],[Modified Baseline Fixture Watts]])</f>
        <v>86</v>
      </c>
    </row>
    <row r="1184" spans="1:27" x14ac:dyDescent="0.2">
      <c r="A1184" t="s">
        <v>2106</v>
      </c>
      <c r="B1184" t="s">
        <v>5699</v>
      </c>
      <c r="C1184" t="s">
        <v>2105</v>
      </c>
      <c r="D1184" t="s">
        <v>5710</v>
      </c>
      <c r="E1184" t="s">
        <v>187</v>
      </c>
      <c r="F1184">
        <v>4</v>
      </c>
      <c r="G1184">
        <v>30</v>
      </c>
      <c r="H1184">
        <v>106</v>
      </c>
      <c r="I1184">
        <v>15.5</v>
      </c>
      <c r="J1184" s="110">
        <v>1182</v>
      </c>
      <c r="K1184" t="s">
        <v>1505</v>
      </c>
      <c r="L1184">
        <f>IF(Table_TRM_Fixtures[[#This Row],[Technology]]="LED", Table_TRM_Fixtures[[#This Row],[Fixture Watts  (TRM Data)]], Table_TRM_Fixtures[[#This Row],[Lamp Watts  (TRM Data)]])</f>
        <v>30</v>
      </c>
      <c r="M1184">
        <f>Table_TRM_Fixtures[[#This Row],[No. of Lamps  (TRM Data)]]</f>
        <v>4</v>
      </c>
      <c r="N1184">
        <v>48</v>
      </c>
      <c r="O1184" t="s">
        <v>1381</v>
      </c>
      <c r="P1184" t="s">
        <v>187</v>
      </c>
      <c r="Q1184" t="s">
        <v>5612</v>
      </c>
      <c r="R1184" t="str">
        <f>_xlfn.CONCAT(Table_TRM_Fixtures[[#This Row],[Technology]], ", ", Table_TRM_Fixtures[[#This Row],[Ballast Code]], " Ballast")</f>
        <v>T8, Electronic STD Ballast</v>
      </c>
      <c r="S1184" t="str">
        <f>Table_TRM_Fixtures[[#This Row],[Description  (TRM Data)]]</f>
        <v>Fluorescent (4) 48" T-8 @ 30W lamps, Instant Start Ballast, NLO (0.85 &lt; BF &lt; 0.95)</v>
      </c>
      <c r="T1184" t="str">
        <f>Table_TRM_Fixtures[[#This Row],[Fixture code  (TRM Data)]]</f>
        <v>F44IELL</v>
      </c>
      <c r="U1184" t="s">
        <v>2882</v>
      </c>
      <c r="V1184" t="s">
        <v>186</v>
      </c>
      <c r="W1184" t="s">
        <v>3120</v>
      </c>
      <c r="X1184" t="s">
        <v>186</v>
      </c>
      <c r="Y1184" t="str">
        <f>_xlfn.CONCAT(Table_TRM_Fixtures[[#This Row],[Combined Lighting/Ballast Types]],":",Table_TRM_Fixtures[[#This Row],[No. of Lamps]], ":", Table_TRM_Fixtures[[#This Row],[Lamp Watts  (TRM Data)]])</f>
        <v>T8, Electronic STD Ballast:4:30</v>
      </c>
      <c r="Z1184"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T8:4:30</v>
      </c>
      <c r="AA1184">
        <f>IF(Table_TRM_Fixtures[[#This Row],[Pre-EISA Baseline]]="Nominal", Table_TRM_Fixtures[[#This Row],[Fixture Watts  (TRM Data)]], Table_TRM_Fixtures[[#This Row],[Modified Baseline Fixture Watts]])</f>
        <v>106</v>
      </c>
    </row>
    <row r="1185" spans="1:27" x14ac:dyDescent="0.2">
      <c r="A1185" t="s">
        <v>2108</v>
      </c>
      <c r="B1185" t="s">
        <v>5699</v>
      </c>
      <c r="C1185" t="s">
        <v>2107</v>
      </c>
      <c r="D1185" t="s">
        <v>5711</v>
      </c>
      <c r="E1185" t="s">
        <v>187</v>
      </c>
      <c r="F1185">
        <v>4</v>
      </c>
      <c r="G1185">
        <v>30</v>
      </c>
      <c r="H1185">
        <v>92</v>
      </c>
      <c r="I1185">
        <v>15.5</v>
      </c>
      <c r="J1185" s="110">
        <v>1183</v>
      </c>
      <c r="K1185" t="s">
        <v>1505</v>
      </c>
      <c r="L1185">
        <f>IF(Table_TRM_Fixtures[[#This Row],[Technology]]="LED", Table_TRM_Fixtures[[#This Row],[Fixture Watts  (TRM Data)]], Table_TRM_Fixtures[[#This Row],[Lamp Watts  (TRM Data)]])</f>
        <v>30</v>
      </c>
      <c r="M1185">
        <f>Table_TRM_Fixtures[[#This Row],[No. of Lamps  (TRM Data)]]</f>
        <v>4</v>
      </c>
      <c r="N1185">
        <v>48</v>
      </c>
      <c r="O1185" t="s">
        <v>1381</v>
      </c>
      <c r="P1185" t="s">
        <v>187</v>
      </c>
      <c r="Q1185" t="s">
        <v>5614</v>
      </c>
      <c r="R1185" t="str">
        <f>_xlfn.CONCAT(Table_TRM_Fixtures[[#This Row],[Technology]], ", ", Table_TRM_Fixtures[[#This Row],[Ballast Code]], " Ballast")</f>
        <v>T8, Electronic RLO Ballast</v>
      </c>
      <c r="S1185" t="str">
        <f>Table_TRM_Fixtures[[#This Row],[Description  (TRM Data)]]</f>
        <v>Fluorescent (4) 48" T-8 @ 30W lamps, Instant Start Ballast, RLO (BF &lt; 0.85)</v>
      </c>
      <c r="T1185" t="str">
        <f>Table_TRM_Fixtures[[#This Row],[Fixture code  (TRM Data)]]</f>
        <v>F44IELL-R</v>
      </c>
      <c r="U1185" t="s">
        <v>2882</v>
      </c>
      <c r="V1185" t="s">
        <v>186</v>
      </c>
      <c r="W1185" t="s">
        <v>3120</v>
      </c>
      <c r="X1185" t="s">
        <v>186</v>
      </c>
      <c r="Y1185" t="str">
        <f>_xlfn.CONCAT(Table_TRM_Fixtures[[#This Row],[Combined Lighting/Ballast Types]],":",Table_TRM_Fixtures[[#This Row],[No. of Lamps]], ":", Table_TRM_Fixtures[[#This Row],[Lamp Watts  (TRM Data)]])</f>
        <v>T8, Electronic RLO Ballast:4:30</v>
      </c>
      <c r="Z1185" t="s">
        <v>4815</v>
      </c>
      <c r="AA1185">
        <f>IF(Table_TRM_Fixtures[[#This Row],[Pre-EISA Baseline]]="Nominal", Table_TRM_Fixtures[[#This Row],[Fixture Watts  (TRM Data)]], Table_TRM_Fixtures[[#This Row],[Modified Baseline Fixture Watts]])</f>
        <v>92</v>
      </c>
    </row>
    <row r="1186" spans="1:27" x14ac:dyDescent="0.2">
      <c r="A1186" t="s">
        <v>2110</v>
      </c>
      <c r="B1186" t="s">
        <v>5699</v>
      </c>
      <c r="C1186" t="s">
        <v>2109</v>
      </c>
      <c r="D1186" t="s">
        <v>5710</v>
      </c>
      <c r="E1186" t="s">
        <v>187</v>
      </c>
      <c r="F1186">
        <v>4</v>
      </c>
      <c r="G1186">
        <v>30</v>
      </c>
      <c r="H1186">
        <v>110</v>
      </c>
      <c r="I1186">
        <v>15.5</v>
      </c>
      <c r="J1186" s="110">
        <v>1184</v>
      </c>
      <c r="K1186" t="s">
        <v>1505</v>
      </c>
      <c r="L1186">
        <f>IF(Table_TRM_Fixtures[[#This Row],[Technology]]="LED", Table_TRM_Fixtures[[#This Row],[Fixture Watts  (TRM Data)]], Table_TRM_Fixtures[[#This Row],[Lamp Watts  (TRM Data)]])</f>
        <v>30</v>
      </c>
      <c r="M1186">
        <f>Table_TRM_Fixtures[[#This Row],[No. of Lamps  (TRM Data)]]</f>
        <v>4</v>
      </c>
      <c r="N1186">
        <v>48</v>
      </c>
      <c r="O1186" t="s">
        <v>1381</v>
      </c>
      <c r="P1186" t="s">
        <v>187</v>
      </c>
      <c r="Q1186" t="s">
        <v>5612</v>
      </c>
      <c r="R1186" t="str">
        <f>_xlfn.CONCAT(Table_TRM_Fixtures[[#This Row],[Technology]], ", ", Table_TRM_Fixtures[[#This Row],[Ballast Code]], " Ballast")</f>
        <v>T8, Electronic STD Ballast</v>
      </c>
      <c r="S1186" t="str">
        <f>Table_TRM_Fixtures[[#This Row],[Description  (TRM Data)]]</f>
        <v>Fluorescent (4) 48" T-8 @ 30W lamps, (2) 2-lamp IS Ballasts, NLO (0.85 &lt; BF &lt; 0.95)</v>
      </c>
      <c r="T1186" t="str">
        <f>Table_TRM_Fixtures[[#This Row],[Fixture code  (TRM Data)]]</f>
        <v>F44IELL/2</v>
      </c>
      <c r="U1186" t="s">
        <v>2882</v>
      </c>
      <c r="V1186" t="s">
        <v>186</v>
      </c>
      <c r="W1186" t="s">
        <v>3120</v>
      </c>
      <c r="X1186" t="s">
        <v>186</v>
      </c>
      <c r="Y1186" t="s">
        <v>4815</v>
      </c>
      <c r="Z1186" t="s">
        <v>4815</v>
      </c>
      <c r="AA1186">
        <f>IF(Table_TRM_Fixtures[[#This Row],[Pre-EISA Baseline]]="Nominal", Table_TRM_Fixtures[[#This Row],[Fixture Watts  (TRM Data)]], Table_TRM_Fixtures[[#This Row],[Modified Baseline Fixture Watts]])</f>
        <v>110</v>
      </c>
    </row>
    <row r="1187" spans="1:27" x14ac:dyDescent="0.2">
      <c r="A1187" t="s">
        <v>2112</v>
      </c>
      <c r="B1187" t="s">
        <v>5699</v>
      </c>
      <c r="C1187" t="s">
        <v>2111</v>
      </c>
      <c r="D1187" t="s">
        <v>5712</v>
      </c>
      <c r="E1187" t="s">
        <v>187</v>
      </c>
      <c r="F1187">
        <v>4</v>
      </c>
      <c r="G1187">
        <v>30</v>
      </c>
      <c r="H1187">
        <v>124</v>
      </c>
      <c r="I1187">
        <v>15.5</v>
      </c>
      <c r="J1187" s="110">
        <v>1185</v>
      </c>
      <c r="K1187" t="s">
        <v>1505</v>
      </c>
      <c r="L1187">
        <f>IF(Table_TRM_Fixtures[[#This Row],[Technology]]="LED", Table_TRM_Fixtures[[#This Row],[Fixture Watts  (TRM Data)]], Table_TRM_Fixtures[[#This Row],[Lamp Watts  (TRM Data)]])</f>
        <v>30</v>
      </c>
      <c r="M1187">
        <f>Table_TRM_Fixtures[[#This Row],[No. of Lamps  (TRM Data)]]</f>
        <v>4</v>
      </c>
      <c r="N1187">
        <v>48</v>
      </c>
      <c r="O1187" t="s">
        <v>1381</v>
      </c>
      <c r="P1187" t="s">
        <v>187</v>
      </c>
      <c r="Q1187" t="s">
        <v>5566</v>
      </c>
      <c r="R1187" t="str">
        <f>_xlfn.CONCAT(Table_TRM_Fixtures[[#This Row],[Technology]], ", ", Table_TRM_Fixtures[[#This Row],[Ballast Code]], " Ballast")</f>
        <v>T8, Electronic HLO Ballast</v>
      </c>
      <c r="S1187" t="str">
        <f>Table_TRM_Fixtures[[#This Row],[Description  (TRM Data)]]</f>
        <v>Fluorescent (4) 48" T-8 @ 30W lamps, (2) 3-lamp IS Ballasts, 1 lead capped, HLO (.95 &lt; BF &lt; 1.1)</v>
      </c>
      <c r="T1187" t="str">
        <f>Table_TRM_Fixtures[[#This Row],[Fixture code  (TRM Data)]]</f>
        <v>F44IELL/2-H</v>
      </c>
      <c r="U1187" t="s">
        <v>2882</v>
      </c>
      <c r="V1187" t="s">
        <v>186</v>
      </c>
      <c r="W1187" t="s">
        <v>3120</v>
      </c>
      <c r="X1187" t="s">
        <v>186</v>
      </c>
      <c r="Y1187" t="str">
        <f>_xlfn.CONCAT(Table_TRM_Fixtures[[#This Row],[Combined Lighting/Ballast Types]],":",Table_TRM_Fixtures[[#This Row],[No. of Lamps]], ":", Table_TRM_Fixtures[[#This Row],[Lamp Watts  (TRM Data)]])</f>
        <v>T8, Electronic HLO Ballast:4:30</v>
      </c>
      <c r="Z1187" t="s">
        <v>4815</v>
      </c>
      <c r="AA1187">
        <f>IF(Table_TRM_Fixtures[[#This Row],[Pre-EISA Baseline]]="Nominal", Table_TRM_Fixtures[[#This Row],[Fixture Watts  (TRM Data)]], Table_TRM_Fixtures[[#This Row],[Modified Baseline Fixture Watts]])</f>
        <v>124</v>
      </c>
    </row>
    <row r="1188" spans="1:27" x14ac:dyDescent="0.2">
      <c r="A1188" t="s">
        <v>2114</v>
      </c>
      <c r="B1188" t="s">
        <v>5699</v>
      </c>
      <c r="C1188" t="s">
        <v>2113</v>
      </c>
      <c r="D1188" t="s">
        <v>5711</v>
      </c>
      <c r="E1188" t="s">
        <v>187</v>
      </c>
      <c r="F1188">
        <v>4</v>
      </c>
      <c r="G1188">
        <v>30</v>
      </c>
      <c r="H1188">
        <v>98</v>
      </c>
      <c r="I1188">
        <v>15.5</v>
      </c>
      <c r="J1188" s="110">
        <v>1186</v>
      </c>
      <c r="K1188" t="s">
        <v>1505</v>
      </c>
      <c r="L1188">
        <f>IF(Table_TRM_Fixtures[[#This Row],[Technology]]="LED", Table_TRM_Fixtures[[#This Row],[Fixture Watts  (TRM Data)]], Table_TRM_Fixtures[[#This Row],[Lamp Watts  (TRM Data)]])</f>
        <v>30</v>
      </c>
      <c r="M1188">
        <f>Table_TRM_Fixtures[[#This Row],[No. of Lamps  (TRM Data)]]</f>
        <v>4</v>
      </c>
      <c r="N1188">
        <v>48</v>
      </c>
      <c r="O1188" t="s">
        <v>1381</v>
      </c>
      <c r="P1188" t="s">
        <v>187</v>
      </c>
      <c r="Q1188" t="s">
        <v>5614</v>
      </c>
      <c r="R1188" t="str">
        <f>_xlfn.CONCAT(Table_TRM_Fixtures[[#This Row],[Technology]], ", ", Table_TRM_Fixtures[[#This Row],[Ballast Code]], " Ballast")</f>
        <v>T8, Electronic RLO Ballast</v>
      </c>
      <c r="S1188" t="str">
        <f>Table_TRM_Fixtures[[#This Row],[Description  (TRM Data)]]</f>
        <v>Fluorescent (4) 48" T-8 @ 30W lamps, (2) 2-lamp IS Ballasts, RLO (BF&lt; 0.85)</v>
      </c>
      <c r="T1188" t="str">
        <f>Table_TRM_Fixtures[[#This Row],[Fixture code  (TRM Data)]]</f>
        <v>F44IELL/2-R</v>
      </c>
      <c r="U1188" t="s">
        <v>2882</v>
      </c>
      <c r="V1188" t="s">
        <v>186</v>
      </c>
      <c r="W1188" t="s">
        <v>3120</v>
      </c>
      <c r="X1188" t="s">
        <v>186</v>
      </c>
      <c r="Y1188" t="s">
        <v>4815</v>
      </c>
      <c r="Z1188" t="s">
        <v>4815</v>
      </c>
      <c r="AA1188">
        <f>IF(Table_TRM_Fixtures[[#This Row],[Pre-EISA Baseline]]="Nominal", Table_TRM_Fixtures[[#This Row],[Fixture Watts  (TRM Data)]], Table_TRM_Fixtures[[#This Row],[Modified Baseline Fixture Watts]])</f>
        <v>98</v>
      </c>
    </row>
    <row r="1189" spans="1:27" x14ac:dyDescent="0.2">
      <c r="A1189" t="s">
        <v>2115</v>
      </c>
      <c r="B1189" t="s">
        <v>5699</v>
      </c>
      <c r="C1189" t="s">
        <v>2105</v>
      </c>
      <c r="D1189" t="s">
        <v>5710</v>
      </c>
      <c r="E1189" t="s">
        <v>187</v>
      </c>
      <c r="F1189">
        <v>4</v>
      </c>
      <c r="G1189">
        <v>30</v>
      </c>
      <c r="H1189">
        <v>101</v>
      </c>
      <c r="I1189">
        <v>15.5</v>
      </c>
      <c r="J1189" s="110">
        <v>1187</v>
      </c>
      <c r="K1189" t="s">
        <v>1505</v>
      </c>
      <c r="L1189">
        <f>IF(Table_TRM_Fixtures[[#This Row],[Technology]]="LED", Table_TRM_Fixtures[[#This Row],[Fixture Watts  (TRM Data)]], Table_TRM_Fixtures[[#This Row],[Lamp Watts  (TRM Data)]])</f>
        <v>30</v>
      </c>
      <c r="M1189">
        <f>Table_TRM_Fixtures[[#This Row],[No. of Lamps  (TRM Data)]]</f>
        <v>4</v>
      </c>
      <c r="N1189">
        <v>48</v>
      </c>
      <c r="O1189" t="s">
        <v>1381</v>
      </c>
      <c r="P1189" t="s">
        <v>187</v>
      </c>
      <c r="Q1189" t="s">
        <v>5612</v>
      </c>
      <c r="R1189" t="str">
        <f>_xlfn.CONCAT(Table_TRM_Fixtures[[#This Row],[Technology]], ", ", Table_TRM_Fixtures[[#This Row],[Ballast Code]], " Ballast")</f>
        <v>T8, Electronic STD Ballast</v>
      </c>
      <c r="S1189" t="str">
        <f>Table_TRM_Fixtures[[#This Row],[Description  (TRM Data)]]</f>
        <v>Fluorescent (4) 48" T-8 @ 30W lamps, Instant Start Ballast, NLO (0.85 &lt; BF &lt; 0.95)</v>
      </c>
      <c r="T1189" t="str">
        <f>Table_TRM_Fixtures[[#This Row],[Fixture code  (TRM Data)]]</f>
        <v>F44IELU</v>
      </c>
      <c r="U1189" t="s">
        <v>2882</v>
      </c>
      <c r="V1189" t="s">
        <v>186</v>
      </c>
      <c r="W1189" t="s">
        <v>3120</v>
      </c>
      <c r="X1189" t="s">
        <v>186</v>
      </c>
      <c r="Y1189" t="s">
        <v>4815</v>
      </c>
      <c r="Z1189" t="s">
        <v>4815</v>
      </c>
      <c r="AA1189">
        <f>IF(Table_TRM_Fixtures[[#This Row],[Pre-EISA Baseline]]="Nominal", Table_TRM_Fixtures[[#This Row],[Fixture Watts  (TRM Data)]], Table_TRM_Fixtures[[#This Row],[Modified Baseline Fixture Watts]])</f>
        <v>101</v>
      </c>
    </row>
    <row r="1190" spans="1:27" x14ac:dyDescent="0.2">
      <c r="A1190" t="s">
        <v>2116</v>
      </c>
      <c r="B1190" t="s">
        <v>5699</v>
      </c>
      <c r="C1190" t="s">
        <v>2107</v>
      </c>
      <c r="D1190" t="s">
        <v>5711</v>
      </c>
      <c r="E1190" t="s">
        <v>187</v>
      </c>
      <c r="F1190">
        <v>4</v>
      </c>
      <c r="G1190">
        <v>30</v>
      </c>
      <c r="H1190">
        <v>89</v>
      </c>
      <c r="I1190">
        <v>15.5</v>
      </c>
      <c r="J1190" s="110">
        <v>1188</v>
      </c>
      <c r="K1190" t="s">
        <v>1505</v>
      </c>
      <c r="L1190">
        <f>IF(Table_TRM_Fixtures[[#This Row],[Technology]]="LED", Table_TRM_Fixtures[[#This Row],[Fixture Watts  (TRM Data)]], Table_TRM_Fixtures[[#This Row],[Lamp Watts  (TRM Data)]])</f>
        <v>30</v>
      </c>
      <c r="M1190">
        <f>Table_TRM_Fixtures[[#This Row],[No. of Lamps  (TRM Data)]]</f>
        <v>4</v>
      </c>
      <c r="N1190">
        <v>48</v>
      </c>
      <c r="O1190" t="s">
        <v>1381</v>
      </c>
      <c r="P1190" t="s">
        <v>187</v>
      </c>
      <c r="Q1190" t="s">
        <v>5614</v>
      </c>
      <c r="R1190" t="str">
        <f>_xlfn.CONCAT(Table_TRM_Fixtures[[#This Row],[Technology]], ", ", Table_TRM_Fixtures[[#This Row],[Ballast Code]], " Ballast")</f>
        <v>T8, Electronic RLO Ballast</v>
      </c>
      <c r="S1190" t="str">
        <f>Table_TRM_Fixtures[[#This Row],[Description  (TRM Data)]]</f>
        <v>Fluorescent (4) 48" T-8 @ 30W lamps, Instant Start Ballast, RLO (BF &lt; 0.85)</v>
      </c>
      <c r="T1190" t="str">
        <f>Table_TRM_Fixtures[[#This Row],[Fixture code  (TRM Data)]]</f>
        <v>F44IELU-R</v>
      </c>
      <c r="U1190" t="s">
        <v>2882</v>
      </c>
      <c r="V1190" t="s">
        <v>186</v>
      </c>
      <c r="W1190" t="s">
        <v>3120</v>
      </c>
      <c r="X1190" t="s">
        <v>186</v>
      </c>
      <c r="Y1190" t="s">
        <v>4815</v>
      </c>
      <c r="Z1190" t="s">
        <v>4815</v>
      </c>
      <c r="AA1190">
        <f>IF(Table_TRM_Fixtures[[#This Row],[Pre-EISA Baseline]]="Nominal", Table_TRM_Fixtures[[#This Row],[Fixture Watts  (TRM Data)]], Table_TRM_Fixtures[[#This Row],[Modified Baseline Fixture Watts]])</f>
        <v>89</v>
      </c>
    </row>
    <row r="1191" spans="1:27" x14ac:dyDescent="0.2">
      <c r="A1191" t="s">
        <v>2118</v>
      </c>
      <c r="B1191" t="s">
        <v>5699</v>
      </c>
      <c r="C1191" t="s">
        <v>2117</v>
      </c>
      <c r="D1191" t="s">
        <v>5713</v>
      </c>
      <c r="E1191" t="s">
        <v>187</v>
      </c>
      <c r="F1191">
        <v>6</v>
      </c>
      <c r="G1191">
        <v>30</v>
      </c>
      <c r="H1191">
        <v>154</v>
      </c>
      <c r="I1191">
        <v>15.5</v>
      </c>
      <c r="J1191" s="110">
        <v>1189</v>
      </c>
      <c r="K1191" t="s">
        <v>1505</v>
      </c>
      <c r="L1191">
        <f>IF(Table_TRM_Fixtures[[#This Row],[Technology]]="LED", Table_TRM_Fixtures[[#This Row],[Fixture Watts  (TRM Data)]], Table_TRM_Fixtures[[#This Row],[Lamp Watts  (TRM Data)]])</f>
        <v>30</v>
      </c>
      <c r="M1191">
        <f>Table_TRM_Fixtures[[#This Row],[No. of Lamps  (TRM Data)]]</f>
        <v>6</v>
      </c>
      <c r="N1191">
        <v>48</v>
      </c>
      <c r="O1191" t="s">
        <v>1381</v>
      </c>
      <c r="P1191" t="s">
        <v>187</v>
      </c>
      <c r="Q1191" t="s">
        <v>5612</v>
      </c>
      <c r="R1191" t="str">
        <f>_xlfn.CONCAT(Table_TRM_Fixtures[[#This Row],[Technology]], ", ", Table_TRM_Fixtures[[#This Row],[Ballast Code]], " Ballast")</f>
        <v>T8, Electronic STD Ballast</v>
      </c>
      <c r="S1191" t="str">
        <f>Table_TRM_Fixtures[[#This Row],[Description  (TRM Data)]]</f>
        <v>Fluorescent (6) 48" T-8 @ 30W lamps, (2) IS Ballasts, NLO (0.85 &lt; BF &lt; 0.95)</v>
      </c>
      <c r="T1191" t="str">
        <f>Table_TRM_Fixtures[[#This Row],[Fixture code  (TRM Data)]]</f>
        <v>F46IELU/2</v>
      </c>
      <c r="U1191" t="s">
        <v>2882</v>
      </c>
      <c r="V1191" t="s">
        <v>186</v>
      </c>
      <c r="W1191" t="s">
        <v>3120</v>
      </c>
      <c r="X1191" t="s">
        <v>186</v>
      </c>
      <c r="Y1191" t="str">
        <f>_xlfn.CONCAT(Table_TRM_Fixtures[[#This Row],[Combined Lighting/Ballast Types]],":",Table_TRM_Fixtures[[#This Row],[No. of Lamps]], ":", Table_TRM_Fixtures[[#This Row],[Lamp Watts  (TRM Data)]])</f>
        <v>T8, Electronic STD Ballast:6:30</v>
      </c>
      <c r="Z1191"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T8:6:30</v>
      </c>
      <c r="AA1191">
        <f>IF(Table_TRM_Fixtures[[#This Row],[Pre-EISA Baseline]]="Nominal", Table_TRM_Fixtures[[#This Row],[Fixture Watts  (TRM Data)]], Table_TRM_Fixtures[[#This Row],[Modified Baseline Fixture Watts]])</f>
        <v>154</v>
      </c>
    </row>
    <row r="1192" spans="1:27" x14ac:dyDescent="0.2">
      <c r="A1192" t="s">
        <v>2120</v>
      </c>
      <c r="B1192" t="s">
        <v>5699</v>
      </c>
      <c r="C1192" t="s">
        <v>2119</v>
      </c>
      <c r="D1192" t="s">
        <v>5714</v>
      </c>
      <c r="E1192" t="s">
        <v>187</v>
      </c>
      <c r="F1192">
        <v>6</v>
      </c>
      <c r="G1192">
        <v>30</v>
      </c>
      <c r="H1192">
        <v>135</v>
      </c>
      <c r="I1192">
        <v>15.5</v>
      </c>
      <c r="J1192" s="110">
        <v>1190</v>
      </c>
      <c r="K1192" t="s">
        <v>1505</v>
      </c>
      <c r="L1192">
        <f>IF(Table_TRM_Fixtures[[#This Row],[Technology]]="LED", Table_TRM_Fixtures[[#This Row],[Fixture Watts  (TRM Data)]], Table_TRM_Fixtures[[#This Row],[Lamp Watts  (TRM Data)]])</f>
        <v>30</v>
      </c>
      <c r="M1192">
        <f>Table_TRM_Fixtures[[#This Row],[No. of Lamps  (TRM Data)]]</f>
        <v>6</v>
      </c>
      <c r="N1192">
        <v>48</v>
      </c>
      <c r="O1192" t="s">
        <v>1381</v>
      </c>
      <c r="P1192" t="s">
        <v>187</v>
      </c>
      <c r="Q1192" t="s">
        <v>5614</v>
      </c>
      <c r="R1192" t="str">
        <f>_xlfn.CONCAT(Table_TRM_Fixtures[[#This Row],[Technology]], ", ", Table_TRM_Fixtures[[#This Row],[Ballast Code]], " Ballast")</f>
        <v>T8, Electronic RLO Ballast</v>
      </c>
      <c r="S1192" t="str">
        <f>Table_TRM_Fixtures[[#This Row],[Description  (TRM Data)]]</f>
        <v>Fluorescent (6) 48" T-8 @ 30W lamps, (2) IS Ballasts, RLO (BF &lt; 0.85)</v>
      </c>
      <c r="T1192" t="str">
        <f>Table_TRM_Fixtures[[#This Row],[Fixture code  (TRM Data)]]</f>
        <v>F46IELU/2-R</v>
      </c>
      <c r="U1192" t="s">
        <v>2882</v>
      </c>
      <c r="V1192" t="s">
        <v>186</v>
      </c>
      <c r="W1192" t="s">
        <v>3120</v>
      </c>
      <c r="X1192" t="s">
        <v>186</v>
      </c>
      <c r="Y1192" t="str">
        <f>_xlfn.CONCAT(Table_TRM_Fixtures[[#This Row],[Combined Lighting/Ballast Types]],":",Table_TRM_Fixtures[[#This Row],[No. of Lamps]], ":", Table_TRM_Fixtures[[#This Row],[Lamp Watts  (TRM Data)]])</f>
        <v>T8, Electronic RLO Ballast:6:30</v>
      </c>
      <c r="Z1192" t="s">
        <v>4815</v>
      </c>
      <c r="AA1192">
        <f>IF(Table_TRM_Fixtures[[#This Row],[Pre-EISA Baseline]]="Nominal", Table_TRM_Fixtures[[#This Row],[Fixture Watts  (TRM Data)]], Table_TRM_Fixtures[[#This Row],[Modified Baseline Fixture Watts]])</f>
        <v>135</v>
      </c>
    </row>
    <row r="1193" spans="1:27" x14ac:dyDescent="0.2">
      <c r="A1193" t="s">
        <v>2122</v>
      </c>
      <c r="B1193" t="s">
        <v>5715</v>
      </c>
      <c r="C1193" t="s">
        <v>2121</v>
      </c>
      <c r="D1193" t="s">
        <v>5716</v>
      </c>
      <c r="E1193" t="s">
        <v>187</v>
      </c>
      <c r="F1193">
        <v>1</v>
      </c>
      <c r="G1193">
        <v>40</v>
      </c>
      <c r="H1193">
        <v>36</v>
      </c>
      <c r="I1193">
        <v>15.5</v>
      </c>
      <c r="J1193" s="110">
        <v>1191</v>
      </c>
      <c r="K1193" t="s">
        <v>1505</v>
      </c>
      <c r="L1193">
        <f>IF(Table_TRM_Fixtures[[#This Row],[Technology]]="LED", Table_TRM_Fixtures[[#This Row],[Fixture Watts  (TRM Data)]], Table_TRM_Fixtures[[#This Row],[Lamp Watts  (TRM Data)]])</f>
        <v>40</v>
      </c>
      <c r="M1193">
        <f>Table_TRM_Fixtures[[#This Row],[No. of Lamps  (TRM Data)]]</f>
        <v>1</v>
      </c>
      <c r="N1193">
        <v>60</v>
      </c>
      <c r="O1193" t="s">
        <v>1381</v>
      </c>
      <c r="P1193" t="s">
        <v>187</v>
      </c>
      <c r="Q1193" t="s">
        <v>5612</v>
      </c>
      <c r="R1193" t="str">
        <f>_xlfn.CONCAT(Table_TRM_Fixtures[[#This Row],[Technology]], " ", Table_TRM_Fixtures[[#This Row],[Ballast Code]], " Ballast")</f>
        <v>T8 Electronic STD Ballast</v>
      </c>
      <c r="S1193" t="str">
        <f>Table_TRM_Fixtures[[#This Row],[Description  (TRM Data)]]</f>
        <v>Fluorescent, (1) 60", T-8 lamp, Instant Start Ballast, NLO (0.85 &lt; BF &lt; 0.95)</v>
      </c>
      <c r="T1193" t="str">
        <f>Table_TRM_Fixtures[[#This Row],[Fixture code  (TRM Data)]]</f>
        <v>F51ILL</v>
      </c>
      <c r="U1193" t="s">
        <v>2883</v>
      </c>
      <c r="V1193" t="s">
        <v>5562</v>
      </c>
      <c r="W1193" t="s">
        <v>3120</v>
      </c>
      <c r="X1193" t="s">
        <v>186</v>
      </c>
      <c r="AA1193">
        <f>IF(Table_TRM_Fixtures[[#This Row],[Pre-EISA Baseline]]="Nominal", Table_TRM_Fixtures[[#This Row],[Fixture Watts  (TRM Data)]], Table_TRM_Fixtures[[#This Row],[Modified Baseline Fixture Watts]])</f>
        <v>36</v>
      </c>
    </row>
    <row r="1194" spans="1:27" x14ac:dyDescent="0.2">
      <c r="A1194" t="s">
        <v>2124</v>
      </c>
      <c r="B1194" t="s">
        <v>5715</v>
      </c>
      <c r="C1194" t="s">
        <v>2123</v>
      </c>
      <c r="D1194" t="s">
        <v>5717</v>
      </c>
      <c r="E1194" t="s">
        <v>187</v>
      </c>
      <c r="F1194">
        <v>1</v>
      </c>
      <c r="G1194">
        <v>40</v>
      </c>
      <c r="H1194">
        <v>43</v>
      </c>
      <c r="I1194">
        <v>15.5</v>
      </c>
      <c r="J1194" s="110">
        <v>1192</v>
      </c>
      <c r="K1194" t="s">
        <v>1505</v>
      </c>
      <c r="L1194">
        <f>IF(Table_TRM_Fixtures[[#This Row],[Technology]]="LED", Table_TRM_Fixtures[[#This Row],[Fixture Watts  (TRM Data)]], Table_TRM_Fixtures[[#This Row],[Lamp Watts  (TRM Data)]])</f>
        <v>40</v>
      </c>
      <c r="M1194">
        <f>Table_TRM_Fixtures[[#This Row],[No. of Lamps  (TRM Data)]]</f>
        <v>1</v>
      </c>
      <c r="N1194">
        <v>60</v>
      </c>
      <c r="O1194" t="s">
        <v>1381</v>
      </c>
      <c r="P1194" t="s">
        <v>187</v>
      </c>
      <c r="Q1194" t="s">
        <v>5614</v>
      </c>
      <c r="R1194" t="str">
        <f>_xlfn.CONCAT(Table_TRM_Fixtures[[#This Row],[Technology]], " ", Table_TRM_Fixtures[[#This Row],[Ballast Code]], " Ballast")</f>
        <v>T8 Electronic RLO Ballast</v>
      </c>
      <c r="S1194" t="str">
        <f>Table_TRM_Fixtures[[#This Row],[Description  (TRM Data)]]</f>
        <v>Fluorescent, (1) 60", T-8 lamp, Instant Start Ballast, RLO (BF &lt; 0.85)</v>
      </c>
      <c r="T1194" t="str">
        <f>Table_TRM_Fixtures[[#This Row],[Fixture code  (TRM Data)]]</f>
        <v>F51ILL-R</v>
      </c>
      <c r="U1194" t="s">
        <v>2883</v>
      </c>
      <c r="V1194" t="s">
        <v>5562</v>
      </c>
      <c r="W1194" t="s">
        <v>3120</v>
      </c>
      <c r="X1194" t="s">
        <v>186</v>
      </c>
      <c r="AA1194">
        <f>IF(Table_TRM_Fixtures[[#This Row],[Pre-EISA Baseline]]="Nominal", Table_TRM_Fixtures[[#This Row],[Fixture Watts  (TRM Data)]], Table_TRM_Fixtures[[#This Row],[Modified Baseline Fixture Watts]])</f>
        <v>43</v>
      </c>
    </row>
    <row r="1195" spans="1:27" x14ac:dyDescent="0.2">
      <c r="A1195" t="s">
        <v>2126</v>
      </c>
      <c r="B1195" t="s">
        <v>5715</v>
      </c>
      <c r="C1195" t="s">
        <v>2125</v>
      </c>
      <c r="D1195" t="s">
        <v>5716</v>
      </c>
      <c r="E1195" t="s">
        <v>187</v>
      </c>
      <c r="F1195">
        <v>1</v>
      </c>
      <c r="G1195">
        <v>40</v>
      </c>
      <c r="H1195">
        <v>36</v>
      </c>
      <c r="I1195">
        <v>15.5</v>
      </c>
      <c r="J1195" s="110">
        <v>1193</v>
      </c>
      <c r="K1195" t="s">
        <v>1505</v>
      </c>
      <c r="L1195">
        <f>IF(Table_TRM_Fixtures[[#This Row],[Technology]]="LED", Table_TRM_Fixtures[[#This Row],[Fixture Watts  (TRM Data)]], Table_TRM_Fixtures[[#This Row],[Lamp Watts  (TRM Data)]])</f>
        <v>40</v>
      </c>
      <c r="M1195">
        <f>Table_TRM_Fixtures[[#This Row],[No. of Lamps  (TRM Data)]]</f>
        <v>1</v>
      </c>
      <c r="N1195">
        <v>60</v>
      </c>
      <c r="O1195" t="s">
        <v>1381</v>
      </c>
      <c r="P1195" t="s">
        <v>187</v>
      </c>
      <c r="Q1195" t="s">
        <v>5612</v>
      </c>
      <c r="R1195" t="str">
        <f>_xlfn.CONCAT(Table_TRM_Fixtures[[#This Row],[Technology]], " ", Table_TRM_Fixtures[[#This Row],[Ballast Code]], " Ballast")</f>
        <v>T8 Electronic STD Ballast</v>
      </c>
      <c r="S1195" t="str">
        <f>Table_TRM_Fixtures[[#This Row],[Description  (TRM Data)]]</f>
        <v>Fluorescent, (1) 60", T-8 lamp, Tandem 2-lamp IS Ballast, NLO (0.85 &lt; BF &lt; 0.95)</v>
      </c>
      <c r="T1195" t="str">
        <f>Table_TRM_Fixtures[[#This Row],[Fixture code  (TRM Data)]]</f>
        <v>F51ILL/T2</v>
      </c>
      <c r="U1195" t="s">
        <v>2883</v>
      </c>
      <c r="V1195" t="s">
        <v>5562</v>
      </c>
      <c r="W1195" t="s">
        <v>3120</v>
      </c>
      <c r="X1195" t="s">
        <v>186</v>
      </c>
      <c r="AA1195">
        <f>IF(Table_TRM_Fixtures[[#This Row],[Pre-EISA Baseline]]="Nominal", Table_TRM_Fixtures[[#This Row],[Fixture Watts  (TRM Data)]], Table_TRM_Fixtures[[#This Row],[Modified Baseline Fixture Watts]])</f>
        <v>36</v>
      </c>
    </row>
    <row r="1196" spans="1:27" x14ac:dyDescent="0.2">
      <c r="A1196" t="s">
        <v>2128</v>
      </c>
      <c r="B1196" t="s">
        <v>5715</v>
      </c>
      <c r="C1196" t="s">
        <v>2127</v>
      </c>
      <c r="D1196" t="s">
        <v>5716</v>
      </c>
      <c r="E1196" t="s">
        <v>187</v>
      </c>
      <c r="F1196">
        <v>1</v>
      </c>
      <c r="G1196">
        <v>40</v>
      </c>
      <c r="H1196">
        <v>35</v>
      </c>
      <c r="I1196">
        <v>15.5</v>
      </c>
      <c r="J1196" s="110">
        <v>1194</v>
      </c>
      <c r="K1196" t="s">
        <v>1505</v>
      </c>
      <c r="L1196">
        <f>IF(Table_TRM_Fixtures[[#This Row],[Technology]]="LED", Table_TRM_Fixtures[[#This Row],[Fixture Watts  (TRM Data)]], Table_TRM_Fixtures[[#This Row],[Lamp Watts  (TRM Data)]])</f>
        <v>40</v>
      </c>
      <c r="M1196">
        <f>Table_TRM_Fixtures[[#This Row],[No. of Lamps  (TRM Data)]]</f>
        <v>1</v>
      </c>
      <c r="N1196">
        <v>60</v>
      </c>
      <c r="O1196" t="s">
        <v>1381</v>
      </c>
      <c r="P1196" t="s">
        <v>187</v>
      </c>
      <c r="Q1196" t="s">
        <v>5612</v>
      </c>
      <c r="R1196" t="str">
        <f>_xlfn.CONCAT(Table_TRM_Fixtures[[#This Row],[Technology]], " ", Table_TRM_Fixtures[[#This Row],[Ballast Code]], " Ballast")</f>
        <v>T8 Electronic STD Ballast</v>
      </c>
      <c r="S1196" t="str">
        <f>Table_TRM_Fixtures[[#This Row],[Description  (TRM Data)]]</f>
        <v>Fluorescent, (1) 60", T-8 lamp, Tandem 3-lamp IS Ballast, NLO (0.85 &lt; BF &lt; 0.95)</v>
      </c>
      <c r="T1196" t="str">
        <f>Table_TRM_Fixtures[[#This Row],[Fixture code  (TRM Data)]]</f>
        <v>F51ILL/T3</v>
      </c>
      <c r="U1196" t="s">
        <v>2883</v>
      </c>
      <c r="V1196" t="s">
        <v>5562</v>
      </c>
      <c r="W1196" t="s">
        <v>3120</v>
      </c>
      <c r="X1196" t="s">
        <v>186</v>
      </c>
      <c r="AA1196">
        <f>IF(Table_TRM_Fixtures[[#This Row],[Pre-EISA Baseline]]="Nominal", Table_TRM_Fixtures[[#This Row],[Fixture Watts  (TRM Data)]], Table_TRM_Fixtures[[#This Row],[Modified Baseline Fixture Watts]])</f>
        <v>35</v>
      </c>
    </row>
    <row r="1197" spans="1:27" x14ac:dyDescent="0.2">
      <c r="A1197" t="s">
        <v>2130</v>
      </c>
      <c r="B1197" t="s">
        <v>5715</v>
      </c>
      <c r="C1197" t="s">
        <v>2129</v>
      </c>
      <c r="D1197" t="s">
        <v>5716</v>
      </c>
      <c r="E1197" t="s">
        <v>187</v>
      </c>
      <c r="F1197">
        <v>1</v>
      </c>
      <c r="G1197">
        <v>40</v>
      </c>
      <c r="H1197">
        <v>34</v>
      </c>
      <c r="I1197">
        <v>15.5</v>
      </c>
      <c r="J1197" s="110">
        <v>1195</v>
      </c>
      <c r="K1197" t="s">
        <v>1505</v>
      </c>
      <c r="L1197">
        <f>IF(Table_TRM_Fixtures[[#This Row],[Technology]]="LED", Table_TRM_Fixtures[[#This Row],[Fixture Watts  (TRM Data)]], Table_TRM_Fixtures[[#This Row],[Lamp Watts  (TRM Data)]])</f>
        <v>40</v>
      </c>
      <c r="M1197">
        <f>Table_TRM_Fixtures[[#This Row],[No. of Lamps  (TRM Data)]]</f>
        <v>1</v>
      </c>
      <c r="N1197">
        <v>60</v>
      </c>
      <c r="O1197" t="s">
        <v>1381</v>
      </c>
      <c r="P1197" t="s">
        <v>187</v>
      </c>
      <c r="Q1197" t="s">
        <v>5612</v>
      </c>
      <c r="R1197" t="str">
        <f>_xlfn.CONCAT(Table_TRM_Fixtures[[#This Row],[Technology]], " ", Table_TRM_Fixtures[[#This Row],[Ballast Code]], " Ballast")</f>
        <v>T8 Electronic STD Ballast</v>
      </c>
      <c r="S1197" t="str">
        <f>Table_TRM_Fixtures[[#This Row],[Description  (TRM Data)]]</f>
        <v>Fluorescent, (1) 60", T-8 lamp, Tandem 4-lamp IS Ballast, NLO (0.85 &lt; BF &lt; 0.95)</v>
      </c>
      <c r="T1197" t="str">
        <f>Table_TRM_Fixtures[[#This Row],[Fixture code  (TRM Data)]]</f>
        <v>F51ILL/T4</v>
      </c>
      <c r="U1197" t="s">
        <v>2883</v>
      </c>
      <c r="V1197" t="s">
        <v>5562</v>
      </c>
      <c r="W1197" t="s">
        <v>3120</v>
      </c>
      <c r="X1197" t="s">
        <v>186</v>
      </c>
      <c r="AA1197">
        <f>IF(Table_TRM_Fixtures[[#This Row],[Pre-EISA Baseline]]="Nominal", Table_TRM_Fixtures[[#This Row],[Fixture Watts  (TRM Data)]], Table_TRM_Fixtures[[#This Row],[Modified Baseline Fixture Watts]])</f>
        <v>34</v>
      </c>
    </row>
    <row r="1198" spans="1:27" x14ac:dyDescent="0.2">
      <c r="A1198" t="s">
        <v>2132</v>
      </c>
      <c r="B1198" t="s">
        <v>5715</v>
      </c>
      <c r="C1198" t="s">
        <v>2131</v>
      </c>
      <c r="D1198" t="s">
        <v>5718</v>
      </c>
      <c r="E1198" t="s">
        <v>187</v>
      </c>
      <c r="F1198">
        <v>2</v>
      </c>
      <c r="G1198">
        <v>40</v>
      </c>
      <c r="H1198">
        <v>72</v>
      </c>
      <c r="I1198">
        <v>15.5</v>
      </c>
      <c r="J1198" s="110">
        <v>1196</v>
      </c>
      <c r="K1198" t="s">
        <v>1505</v>
      </c>
      <c r="L1198">
        <f>IF(Table_TRM_Fixtures[[#This Row],[Technology]]="LED", Table_TRM_Fixtures[[#This Row],[Fixture Watts  (TRM Data)]], Table_TRM_Fixtures[[#This Row],[Lamp Watts  (TRM Data)]])</f>
        <v>40</v>
      </c>
      <c r="M1198">
        <f>Table_TRM_Fixtures[[#This Row],[No. of Lamps  (TRM Data)]]</f>
        <v>2</v>
      </c>
      <c r="N1198">
        <v>60</v>
      </c>
      <c r="O1198" t="s">
        <v>1381</v>
      </c>
      <c r="P1198" t="s">
        <v>187</v>
      </c>
      <c r="Q1198" t="s">
        <v>5612</v>
      </c>
      <c r="R1198" t="str">
        <f>_xlfn.CONCAT(Table_TRM_Fixtures[[#This Row],[Technology]], " ", Table_TRM_Fixtures[[#This Row],[Ballast Code]], " Ballast")</f>
        <v>T8 Electronic STD Ballast</v>
      </c>
      <c r="S1198" t="str">
        <f>Table_TRM_Fixtures[[#This Row],[Description  (TRM Data)]]</f>
        <v>Fluorescent, (2) 60", T-8 lamps, Instant Start Ballast, NLO (0.85 &lt; BF &lt; 0.95)</v>
      </c>
      <c r="T1198" t="str">
        <f>Table_TRM_Fixtures[[#This Row],[Fixture code  (TRM Data)]]</f>
        <v>F52ILL</v>
      </c>
      <c r="U1198" t="s">
        <v>2883</v>
      </c>
      <c r="V1198" t="s">
        <v>5562</v>
      </c>
      <c r="W1198" t="s">
        <v>3120</v>
      </c>
      <c r="X1198" t="s">
        <v>186</v>
      </c>
      <c r="AA1198">
        <f>IF(Table_TRM_Fixtures[[#This Row],[Pre-EISA Baseline]]="Nominal", Table_TRM_Fixtures[[#This Row],[Fixture Watts  (TRM Data)]], Table_TRM_Fixtures[[#This Row],[Modified Baseline Fixture Watts]])</f>
        <v>72</v>
      </c>
    </row>
    <row r="1199" spans="1:27" x14ac:dyDescent="0.2">
      <c r="A1199" t="s">
        <v>2134</v>
      </c>
      <c r="B1199" t="s">
        <v>5715</v>
      </c>
      <c r="C1199" t="s">
        <v>2133</v>
      </c>
      <c r="D1199" t="s">
        <v>5719</v>
      </c>
      <c r="E1199" t="s">
        <v>187</v>
      </c>
      <c r="F1199">
        <v>2</v>
      </c>
      <c r="G1199">
        <v>40</v>
      </c>
      <c r="H1199">
        <v>80</v>
      </c>
      <c r="I1199">
        <v>15.5</v>
      </c>
      <c r="J1199" s="110">
        <v>1197</v>
      </c>
      <c r="K1199" t="s">
        <v>1505</v>
      </c>
      <c r="L1199">
        <f>IF(Table_TRM_Fixtures[[#This Row],[Technology]]="LED", Table_TRM_Fixtures[[#This Row],[Fixture Watts  (TRM Data)]], Table_TRM_Fixtures[[#This Row],[Lamp Watts  (TRM Data)]])</f>
        <v>40</v>
      </c>
      <c r="M1199">
        <f>Table_TRM_Fixtures[[#This Row],[No. of Lamps  (TRM Data)]]</f>
        <v>2</v>
      </c>
      <c r="N1199">
        <v>60</v>
      </c>
      <c r="O1199" t="s">
        <v>1381</v>
      </c>
      <c r="P1199" t="s">
        <v>187</v>
      </c>
      <c r="Q1199" t="s">
        <v>5612</v>
      </c>
      <c r="R1199" t="str">
        <f>_xlfn.CONCAT(Table_TRM_Fixtures[[#This Row],[Technology]], " ", Table_TRM_Fixtures[[#This Row],[Ballast Code]], " Ballast")</f>
        <v>T8 Electronic STD Ballast</v>
      </c>
      <c r="S1199" t="str">
        <f>Table_TRM_Fixtures[[#This Row],[Description  (TRM Data)]]</f>
        <v>Fluorescent, (2) 60", T-8 lamps, Instant Start Ballast, HILO (.95 &lt; BF &lt; 1.1)</v>
      </c>
      <c r="T1199" t="str">
        <f>Table_TRM_Fixtures[[#This Row],[Fixture code  (TRM Data)]]</f>
        <v>F52ILL-H</v>
      </c>
      <c r="U1199" t="s">
        <v>2883</v>
      </c>
      <c r="V1199" t="s">
        <v>5562</v>
      </c>
      <c r="W1199" t="s">
        <v>3120</v>
      </c>
      <c r="X1199" t="s">
        <v>186</v>
      </c>
      <c r="AA1199">
        <f>IF(Table_TRM_Fixtures[[#This Row],[Pre-EISA Baseline]]="Nominal", Table_TRM_Fixtures[[#This Row],[Fixture Watts  (TRM Data)]], Table_TRM_Fixtures[[#This Row],[Modified Baseline Fixture Watts]])</f>
        <v>80</v>
      </c>
    </row>
    <row r="1200" spans="1:27" x14ac:dyDescent="0.2">
      <c r="A1200" t="s">
        <v>2136</v>
      </c>
      <c r="B1200" t="s">
        <v>5715</v>
      </c>
      <c r="C1200" t="s">
        <v>2135</v>
      </c>
      <c r="D1200" t="s">
        <v>5720</v>
      </c>
      <c r="E1200" t="s">
        <v>187</v>
      </c>
      <c r="F1200">
        <v>2</v>
      </c>
      <c r="G1200">
        <v>40</v>
      </c>
      <c r="H1200">
        <v>73</v>
      </c>
      <c r="I1200">
        <v>15.5</v>
      </c>
      <c r="J1200" s="110">
        <v>1198</v>
      </c>
      <c r="K1200" t="s">
        <v>1505</v>
      </c>
      <c r="L1200">
        <f>IF(Table_TRM_Fixtures[[#This Row],[Technology]]="LED", Table_TRM_Fixtures[[#This Row],[Fixture Watts  (TRM Data)]], Table_TRM_Fixtures[[#This Row],[Lamp Watts  (TRM Data)]])</f>
        <v>40</v>
      </c>
      <c r="M1200">
        <f>Table_TRM_Fixtures[[#This Row],[No. of Lamps  (TRM Data)]]</f>
        <v>2</v>
      </c>
      <c r="N1200">
        <v>60</v>
      </c>
      <c r="O1200" t="s">
        <v>1381</v>
      </c>
      <c r="P1200" t="s">
        <v>187</v>
      </c>
      <c r="Q1200" t="s">
        <v>5614</v>
      </c>
      <c r="R1200" t="str">
        <f>_xlfn.CONCAT(Table_TRM_Fixtures[[#This Row],[Technology]], " ", Table_TRM_Fixtures[[#This Row],[Ballast Code]], " Ballast")</f>
        <v>T8 Electronic RLO Ballast</v>
      </c>
      <c r="S1200" t="str">
        <f>Table_TRM_Fixtures[[#This Row],[Description  (TRM Data)]]</f>
        <v>Fluorescent, (2) 60", T-8 lamps, Instant Start Ballast, RLO (BF &lt; 0.85)</v>
      </c>
      <c r="T1200" t="str">
        <f>Table_TRM_Fixtures[[#This Row],[Fixture code  (TRM Data)]]</f>
        <v>F52ILL-R</v>
      </c>
      <c r="U1200" t="s">
        <v>2883</v>
      </c>
      <c r="V1200" t="s">
        <v>5562</v>
      </c>
      <c r="W1200" t="s">
        <v>3120</v>
      </c>
      <c r="X1200" t="s">
        <v>186</v>
      </c>
      <c r="AA1200">
        <f>IF(Table_TRM_Fixtures[[#This Row],[Pre-EISA Baseline]]="Nominal", Table_TRM_Fixtures[[#This Row],[Fixture Watts  (TRM Data)]], Table_TRM_Fixtures[[#This Row],[Modified Baseline Fixture Watts]])</f>
        <v>73</v>
      </c>
    </row>
    <row r="1201" spans="1:27" x14ac:dyDescent="0.2">
      <c r="A1201" t="s">
        <v>2138</v>
      </c>
      <c r="B1201" t="s">
        <v>5715</v>
      </c>
      <c r="C1201" t="s">
        <v>2137</v>
      </c>
      <c r="D1201" t="s">
        <v>5718</v>
      </c>
      <c r="E1201" t="s">
        <v>187</v>
      </c>
      <c r="F1201">
        <v>2</v>
      </c>
      <c r="G1201">
        <v>40</v>
      </c>
      <c r="H1201">
        <v>67</v>
      </c>
      <c r="I1201">
        <v>15.5</v>
      </c>
      <c r="J1201" s="110">
        <v>1199</v>
      </c>
      <c r="K1201" t="s">
        <v>1505</v>
      </c>
      <c r="L1201">
        <f>IF(Table_TRM_Fixtures[[#This Row],[Technology]]="LED", Table_TRM_Fixtures[[#This Row],[Fixture Watts  (TRM Data)]], Table_TRM_Fixtures[[#This Row],[Lamp Watts  (TRM Data)]])</f>
        <v>40</v>
      </c>
      <c r="M1201">
        <f>Table_TRM_Fixtures[[#This Row],[No. of Lamps  (TRM Data)]]</f>
        <v>2</v>
      </c>
      <c r="N1201">
        <v>60</v>
      </c>
      <c r="O1201" t="s">
        <v>1381</v>
      </c>
      <c r="P1201" t="s">
        <v>187</v>
      </c>
      <c r="Q1201" t="s">
        <v>5612</v>
      </c>
      <c r="R1201" t="str">
        <f>_xlfn.CONCAT(Table_TRM_Fixtures[[#This Row],[Technology]], " ", Table_TRM_Fixtures[[#This Row],[Ballast Code]], " Ballast")</f>
        <v>T8 Electronic STD Ballast</v>
      </c>
      <c r="S1201" t="str">
        <f>Table_TRM_Fixtures[[#This Row],[Description  (TRM Data)]]</f>
        <v>Fluorescent, (2) 60", T-8 lamps, Tandem 4-lamp IS Ballast, NLO (0.85 &lt; BF &lt; 0.95)</v>
      </c>
      <c r="T1201" t="str">
        <f>Table_TRM_Fixtures[[#This Row],[Fixture code  (TRM Data)]]</f>
        <v>F52ILL/T4</v>
      </c>
      <c r="U1201" t="s">
        <v>2883</v>
      </c>
      <c r="V1201" t="s">
        <v>5562</v>
      </c>
      <c r="W1201" t="s">
        <v>3120</v>
      </c>
      <c r="X1201" t="s">
        <v>186</v>
      </c>
      <c r="AA1201">
        <f>IF(Table_TRM_Fixtures[[#This Row],[Pre-EISA Baseline]]="Nominal", Table_TRM_Fixtures[[#This Row],[Fixture Watts  (TRM Data)]], Table_TRM_Fixtures[[#This Row],[Modified Baseline Fixture Watts]])</f>
        <v>67</v>
      </c>
    </row>
    <row r="1202" spans="1:27" x14ac:dyDescent="0.2">
      <c r="A1202" t="s">
        <v>2140</v>
      </c>
      <c r="B1202" t="s">
        <v>5715</v>
      </c>
      <c r="C1202" t="s">
        <v>2139</v>
      </c>
      <c r="D1202" t="s">
        <v>5721</v>
      </c>
      <c r="E1202" t="s">
        <v>187</v>
      </c>
      <c r="F1202">
        <v>3</v>
      </c>
      <c r="G1202">
        <v>40</v>
      </c>
      <c r="H1202">
        <v>106</v>
      </c>
      <c r="I1202">
        <v>15.5</v>
      </c>
      <c r="J1202" s="110">
        <v>1200</v>
      </c>
      <c r="K1202" t="s">
        <v>1505</v>
      </c>
      <c r="L1202">
        <f>IF(Table_TRM_Fixtures[[#This Row],[Technology]]="LED", Table_TRM_Fixtures[[#This Row],[Fixture Watts  (TRM Data)]], Table_TRM_Fixtures[[#This Row],[Lamp Watts  (TRM Data)]])</f>
        <v>40</v>
      </c>
      <c r="M1202">
        <f>Table_TRM_Fixtures[[#This Row],[No. of Lamps  (TRM Data)]]</f>
        <v>3</v>
      </c>
      <c r="N1202">
        <v>60</v>
      </c>
      <c r="O1202" t="s">
        <v>1381</v>
      </c>
      <c r="P1202" t="s">
        <v>187</v>
      </c>
      <c r="Q1202" t="s">
        <v>5612</v>
      </c>
      <c r="R1202" t="str">
        <f>_xlfn.CONCAT(Table_TRM_Fixtures[[#This Row],[Technology]], " ", Table_TRM_Fixtures[[#This Row],[Ballast Code]], " Ballast")</f>
        <v>T8 Electronic STD Ballast</v>
      </c>
      <c r="S1202" t="str">
        <f>Table_TRM_Fixtures[[#This Row],[Description  (TRM Data)]]</f>
        <v>Fluorescent, (3) 60", T-8 lamps, Instant Start Ballast, NLO (0.85 &lt; BF &lt; 0.95)</v>
      </c>
      <c r="T1202" t="str">
        <f>Table_TRM_Fixtures[[#This Row],[Fixture code  (TRM Data)]]</f>
        <v>F53ILL</v>
      </c>
      <c r="U1202" t="s">
        <v>2883</v>
      </c>
      <c r="V1202" t="s">
        <v>5562</v>
      </c>
      <c r="W1202" t="s">
        <v>3120</v>
      </c>
      <c r="X1202" t="s">
        <v>186</v>
      </c>
      <c r="AA1202">
        <f>IF(Table_TRM_Fixtures[[#This Row],[Pre-EISA Baseline]]="Nominal", Table_TRM_Fixtures[[#This Row],[Fixture Watts  (TRM Data)]], Table_TRM_Fixtures[[#This Row],[Modified Baseline Fixture Watts]])</f>
        <v>106</v>
      </c>
    </row>
    <row r="1203" spans="1:27" x14ac:dyDescent="0.2">
      <c r="A1203" t="s">
        <v>2142</v>
      </c>
      <c r="B1203" t="s">
        <v>5715</v>
      </c>
      <c r="C1203" t="s">
        <v>2141</v>
      </c>
      <c r="D1203" t="s">
        <v>5722</v>
      </c>
      <c r="E1203" t="s">
        <v>187</v>
      </c>
      <c r="F1203">
        <v>3</v>
      </c>
      <c r="G1203">
        <v>40</v>
      </c>
      <c r="H1203">
        <v>108</v>
      </c>
      <c r="I1203">
        <v>15.5</v>
      </c>
      <c r="J1203" s="110">
        <v>1201</v>
      </c>
      <c r="K1203" t="s">
        <v>1505</v>
      </c>
      <c r="L1203">
        <f>IF(Table_TRM_Fixtures[[#This Row],[Technology]]="LED", Table_TRM_Fixtures[[#This Row],[Fixture Watts  (TRM Data)]], Table_TRM_Fixtures[[#This Row],[Lamp Watts  (TRM Data)]])</f>
        <v>40</v>
      </c>
      <c r="M1203">
        <f>Table_TRM_Fixtures[[#This Row],[No. of Lamps  (TRM Data)]]</f>
        <v>3</v>
      </c>
      <c r="N1203">
        <v>60</v>
      </c>
      <c r="O1203" t="s">
        <v>1381</v>
      </c>
      <c r="P1203" t="s">
        <v>187</v>
      </c>
      <c r="Q1203" t="s">
        <v>5612</v>
      </c>
      <c r="R1203" t="str">
        <f>_xlfn.CONCAT(Table_TRM_Fixtures[[#This Row],[Technology]], " ", Table_TRM_Fixtures[[#This Row],[Ballast Code]], " Ballast")</f>
        <v>T8 Electronic STD Ballast</v>
      </c>
      <c r="S1203" t="str">
        <f>Table_TRM_Fixtures[[#This Row],[Description  (TRM Data)]]</f>
        <v>Fluorescent, (3) 60", T-8 lamps, Instant Start Ballast, HILO (.95 &lt; BF &lt; 1.1)</v>
      </c>
      <c r="T1203" t="str">
        <f>Table_TRM_Fixtures[[#This Row],[Fixture code  (TRM Data)]]</f>
        <v>F53ILL-H</v>
      </c>
      <c r="U1203" t="s">
        <v>2883</v>
      </c>
      <c r="V1203" t="s">
        <v>5562</v>
      </c>
      <c r="W1203" t="s">
        <v>3120</v>
      </c>
      <c r="X1203" t="s">
        <v>186</v>
      </c>
      <c r="AA1203">
        <f>IF(Table_TRM_Fixtures[[#This Row],[Pre-EISA Baseline]]="Nominal", Table_TRM_Fixtures[[#This Row],[Fixture Watts  (TRM Data)]], Table_TRM_Fixtures[[#This Row],[Modified Baseline Fixture Watts]])</f>
        <v>108</v>
      </c>
    </row>
    <row r="1204" spans="1:27" x14ac:dyDescent="0.2">
      <c r="A1204" t="s">
        <v>2144</v>
      </c>
      <c r="B1204" t="s">
        <v>5715</v>
      </c>
      <c r="C1204" t="s">
        <v>2143</v>
      </c>
      <c r="D1204" t="s">
        <v>5723</v>
      </c>
      <c r="E1204" t="s">
        <v>187</v>
      </c>
      <c r="F1204">
        <v>4</v>
      </c>
      <c r="G1204">
        <v>40</v>
      </c>
      <c r="H1204">
        <v>134</v>
      </c>
      <c r="I1204">
        <v>15.5</v>
      </c>
      <c r="J1204" s="110">
        <v>1202</v>
      </c>
      <c r="K1204" t="s">
        <v>1505</v>
      </c>
      <c r="L1204">
        <f>IF(Table_TRM_Fixtures[[#This Row],[Technology]]="LED", Table_TRM_Fixtures[[#This Row],[Fixture Watts  (TRM Data)]], Table_TRM_Fixtures[[#This Row],[Lamp Watts  (TRM Data)]])</f>
        <v>40</v>
      </c>
      <c r="M1204">
        <f>Table_TRM_Fixtures[[#This Row],[No. of Lamps  (TRM Data)]]</f>
        <v>4</v>
      </c>
      <c r="N1204">
        <v>60</v>
      </c>
      <c r="O1204" t="s">
        <v>1381</v>
      </c>
      <c r="P1204" t="s">
        <v>187</v>
      </c>
      <c r="Q1204" t="s">
        <v>5612</v>
      </c>
      <c r="R1204" t="str">
        <f>_xlfn.CONCAT(Table_TRM_Fixtures[[#This Row],[Technology]], " ", Table_TRM_Fixtures[[#This Row],[Ballast Code]], " Ballast")</f>
        <v>T8 Electronic STD Ballast</v>
      </c>
      <c r="S1204" t="str">
        <f>Table_TRM_Fixtures[[#This Row],[Description  (TRM Data)]]</f>
        <v>Fluorescent, (4) 60", T-8 lamps, Instant Start Ballast, NLO (0.85 &lt; BF &lt; 0.95)</v>
      </c>
      <c r="T1204" t="str">
        <f>Table_TRM_Fixtures[[#This Row],[Fixture code  (TRM Data)]]</f>
        <v>F54ILL</v>
      </c>
      <c r="U1204" t="s">
        <v>2883</v>
      </c>
      <c r="V1204" t="s">
        <v>5562</v>
      </c>
      <c r="W1204" t="s">
        <v>3120</v>
      </c>
      <c r="X1204" t="s">
        <v>186</v>
      </c>
      <c r="AA1204">
        <f>IF(Table_TRM_Fixtures[[#This Row],[Pre-EISA Baseline]]="Nominal", Table_TRM_Fixtures[[#This Row],[Fixture Watts  (TRM Data)]], Table_TRM_Fixtures[[#This Row],[Modified Baseline Fixture Watts]])</f>
        <v>134</v>
      </c>
    </row>
    <row r="1205" spans="1:27" x14ac:dyDescent="0.2">
      <c r="A1205" t="s">
        <v>2146</v>
      </c>
      <c r="B1205" t="s">
        <v>5715</v>
      </c>
      <c r="C1205" t="s">
        <v>2145</v>
      </c>
      <c r="D1205" t="s">
        <v>5724</v>
      </c>
      <c r="E1205" t="s">
        <v>187</v>
      </c>
      <c r="F1205">
        <v>4</v>
      </c>
      <c r="G1205">
        <v>40</v>
      </c>
      <c r="H1205">
        <v>126</v>
      </c>
      <c r="I1205">
        <v>15.5</v>
      </c>
      <c r="J1205" s="110">
        <v>1203</v>
      </c>
      <c r="K1205" t="s">
        <v>1505</v>
      </c>
      <c r="L1205">
        <f>IF(Table_TRM_Fixtures[[#This Row],[Technology]]="LED", Table_TRM_Fixtures[[#This Row],[Fixture Watts  (TRM Data)]], Table_TRM_Fixtures[[#This Row],[Lamp Watts  (TRM Data)]])</f>
        <v>40</v>
      </c>
      <c r="M1205">
        <f>Table_TRM_Fixtures[[#This Row],[No. of Lamps  (TRM Data)]]</f>
        <v>4</v>
      </c>
      <c r="N1205">
        <v>60</v>
      </c>
      <c r="O1205" t="s">
        <v>1381</v>
      </c>
      <c r="P1205" t="s">
        <v>187</v>
      </c>
      <c r="Q1205" t="s">
        <v>5566</v>
      </c>
      <c r="R1205" t="str">
        <f>_xlfn.CONCAT(Table_TRM_Fixtures[[#This Row],[Technology]], " ", Table_TRM_Fixtures[[#This Row],[Ballast Code]], " Ballast")</f>
        <v>T8 Electronic HLO Ballast</v>
      </c>
      <c r="S1205" t="str">
        <f>Table_TRM_Fixtures[[#This Row],[Description  (TRM Data)]]</f>
        <v>Fluorescent, (4) 60", T-8 lamps, Instant Start Ballast, HLO (.95 &lt; BF &lt; 1.1)</v>
      </c>
      <c r="T1205" t="str">
        <f>Table_TRM_Fixtures[[#This Row],[Fixture code  (TRM Data)]]</f>
        <v>F54ILL-H</v>
      </c>
      <c r="U1205" t="s">
        <v>2883</v>
      </c>
      <c r="V1205" t="s">
        <v>5562</v>
      </c>
      <c r="W1205" t="s">
        <v>3120</v>
      </c>
      <c r="X1205" t="s">
        <v>186</v>
      </c>
      <c r="AA1205">
        <f>IF(Table_TRM_Fixtures[[#This Row],[Pre-EISA Baseline]]="Nominal", Table_TRM_Fixtures[[#This Row],[Fixture Watts  (TRM Data)]], Table_TRM_Fixtures[[#This Row],[Modified Baseline Fixture Watts]])</f>
        <v>126</v>
      </c>
    </row>
    <row r="1206" spans="1:27" x14ac:dyDescent="0.2">
      <c r="A1206" t="s">
        <v>2149</v>
      </c>
      <c r="B1206" t="s">
        <v>5725</v>
      </c>
      <c r="C1206" t="s">
        <v>2148</v>
      </c>
      <c r="D1206" t="s">
        <v>5726</v>
      </c>
      <c r="E1206" t="s">
        <v>187</v>
      </c>
      <c r="F1206">
        <v>1</v>
      </c>
      <c r="G1206">
        <v>44</v>
      </c>
      <c r="H1206">
        <v>59</v>
      </c>
      <c r="I1206">
        <v>15.5</v>
      </c>
      <c r="J1206" s="110">
        <v>1204</v>
      </c>
      <c r="K1206" t="s">
        <v>1505</v>
      </c>
      <c r="L1206">
        <f>IF(Table_TRM_Fixtures[[#This Row],[Technology]]="LED", Table_TRM_Fixtures[[#This Row],[Fixture Watts  (TRM Data)]], Table_TRM_Fixtures[[#This Row],[Lamp Watts  (TRM Data)]])</f>
        <v>44</v>
      </c>
      <c r="M1206">
        <f>Table_TRM_Fixtures[[#This Row],[No. of Lamps  (TRM Data)]]</f>
        <v>1</v>
      </c>
      <c r="N1206">
        <v>48</v>
      </c>
      <c r="O1206" t="s">
        <v>2147</v>
      </c>
      <c r="P1206" t="s">
        <v>187</v>
      </c>
      <c r="Q1206" t="s">
        <v>5566</v>
      </c>
      <c r="R1206" t="str">
        <f>_xlfn.CONCAT(Table_TRM_Fixtures[[#This Row],[Technology]], ", ", Table_TRM_Fixtures[[#This Row],[Ballast Code]], " Ballast")</f>
        <v>T8, Electronic HLO Ballast</v>
      </c>
      <c r="S1206" t="str">
        <f>Table_TRM_Fixtures[[#This Row],[Description  (TRM Data)]]</f>
        <v>Fluorescent, (1) 48", T-8 HO lamps, (1) Instant Start Ballast, NLO (0.85 &lt; BF &lt; 0.95)</v>
      </c>
      <c r="T1206" t="str">
        <f>Table_TRM_Fixtures[[#This Row],[Fixture code  (TRM Data)]]</f>
        <v>F41LHL</v>
      </c>
      <c r="U1206" t="s">
        <v>2882</v>
      </c>
      <c r="V1206" t="s">
        <v>186</v>
      </c>
      <c r="W1206" t="s">
        <v>3120</v>
      </c>
      <c r="X1206" t="s">
        <v>186</v>
      </c>
      <c r="Y1206" t="str">
        <f>_xlfn.CONCAT(Table_TRM_Fixtures[[#This Row],[Combined Lighting/Ballast Types]],":",Table_TRM_Fixtures[[#This Row],[No. of Lamps]], ":", Table_TRM_Fixtures[[#This Row],[Lamp Watts  (TRM Data)]])</f>
        <v>T8, Electronic HLO Ballast:1:44</v>
      </c>
      <c r="Z1206"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T8:1:44</v>
      </c>
      <c r="AA1206">
        <f>IF(Table_TRM_Fixtures[[#This Row],[Pre-EISA Baseline]]="Nominal", Table_TRM_Fixtures[[#This Row],[Fixture Watts  (TRM Data)]], Table_TRM_Fixtures[[#This Row],[Modified Baseline Fixture Watts]])</f>
        <v>59</v>
      </c>
    </row>
    <row r="1207" spans="1:27" x14ac:dyDescent="0.2">
      <c r="A1207" t="s">
        <v>2151</v>
      </c>
      <c r="B1207" t="s">
        <v>5725</v>
      </c>
      <c r="C1207" t="s">
        <v>2150</v>
      </c>
      <c r="D1207" t="s">
        <v>5727</v>
      </c>
      <c r="E1207" t="s">
        <v>187</v>
      </c>
      <c r="F1207">
        <v>2</v>
      </c>
      <c r="G1207">
        <v>44</v>
      </c>
      <c r="H1207">
        <v>98</v>
      </c>
      <c r="I1207">
        <v>15.5</v>
      </c>
      <c r="J1207" s="110">
        <v>1205</v>
      </c>
      <c r="K1207" t="s">
        <v>1505</v>
      </c>
      <c r="L1207">
        <f>IF(Table_TRM_Fixtures[[#This Row],[Technology]]="LED", Table_TRM_Fixtures[[#This Row],[Fixture Watts  (TRM Data)]], Table_TRM_Fixtures[[#This Row],[Lamp Watts  (TRM Data)]])</f>
        <v>44</v>
      </c>
      <c r="M1207">
        <f>Table_TRM_Fixtures[[#This Row],[No. of Lamps  (TRM Data)]]</f>
        <v>2</v>
      </c>
      <c r="N1207">
        <v>48</v>
      </c>
      <c r="O1207" t="s">
        <v>2147</v>
      </c>
      <c r="P1207" t="s">
        <v>187</v>
      </c>
      <c r="Q1207" t="s">
        <v>5566</v>
      </c>
      <c r="R1207" t="str">
        <f>_xlfn.CONCAT(Table_TRM_Fixtures[[#This Row],[Technology]], ", ", Table_TRM_Fixtures[[#This Row],[Ballast Code]], " Ballast")</f>
        <v>T8, Electronic HLO Ballast</v>
      </c>
      <c r="S1207" t="str">
        <f>Table_TRM_Fixtures[[#This Row],[Description  (TRM Data)]]</f>
        <v>Fluorescent, (2) 48", T-8 HO lamps, (1) Instant Start Ballast, NLO (0.85 &lt; BF &lt; 0.95)</v>
      </c>
      <c r="T1207" t="str">
        <f>Table_TRM_Fixtures[[#This Row],[Fixture code  (TRM Data)]]</f>
        <v>F42LHL</v>
      </c>
      <c r="U1207" t="s">
        <v>2882</v>
      </c>
      <c r="V1207" t="s">
        <v>186</v>
      </c>
      <c r="W1207" t="s">
        <v>3120</v>
      </c>
      <c r="X1207" t="s">
        <v>186</v>
      </c>
      <c r="Y1207" t="str">
        <f>_xlfn.CONCAT(Table_TRM_Fixtures[[#This Row],[Combined Lighting/Ballast Types]],":",Table_TRM_Fixtures[[#This Row],[No. of Lamps]], ":", Table_TRM_Fixtures[[#This Row],[Lamp Watts  (TRM Data)]])</f>
        <v>T8, Electronic HLO Ballast:2:44</v>
      </c>
      <c r="Z1207"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T8:2:44</v>
      </c>
      <c r="AA1207">
        <f>IF(Table_TRM_Fixtures[[#This Row],[Pre-EISA Baseline]]="Nominal", Table_TRM_Fixtures[[#This Row],[Fixture Watts  (TRM Data)]], Table_TRM_Fixtures[[#This Row],[Modified Baseline Fixture Watts]])</f>
        <v>98</v>
      </c>
    </row>
    <row r="1208" spans="1:27" x14ac:dyDescent="0.2">
      <c r="A1208" t="s">
        <v>2153</v>
      </c>
      <c r="B1208" t="s">
        <v>5725</v>
      </c>
      <c r="C1208" t="s">
        <v>2152</v>
      </c>
      <c r="D1208" t="s">
        <v>5728</v>
      </c>
      <c r="E1208" t="s">
        <v>187</v>
      </c>
      <c r="F1208">
        <v>3</v>
      </c>
      <c r="G1208">
        <v>44</v>
      </c>
      <c r="H1208">
        <v>141</v>
      </c>
      <c r="I1208">
        <v>15.5</v>
      </c>
      <c r="J1208" s="110">
        <v>1206</v>
      </c>
      <c r="K1208" t="s">
        <v>1505</v>
      </c>
      <c r="L1208">
        <f>IF(Table_TRM_Fixtures[[#This Row],[Technology]]="LED", Table_TRM_Fixtures[[#This Row],[Fixture Watts  (TRM Data)]], Table_TRM_Fixtures[[#This Row],[Lamp Watts  (TRM Data)]])</f>
        <v>44</v>
      </c>
      <c r="M1208">
        <f>Table_TRM_Fixtures[[#This Row],[No. of Lamps  (TRM Data)]]</f>
        <v>3</v>
      </c>
      <c r="N1208">
        <v>48</v>
      </c>
      <c r="O1208" t="s">
        <v>2147</v>
      </c>
      <c r="P1208" t="s">
        <v>187</v>
      </c>
      <c r="Q1208" t="s">
        <v>5566</v>
      </c>
      <c r="R1208" t="str">
        <f>_xlfn.CONCAT(Table_TRM_Fixtures[[#This Row],[Technology]], ", ", Table_TRM_Fixtures[[#This Row],[Ballast Code]], " Ballast")</f>
        <v>T8, Electronic HLO Ballast</v>
      </c>
      <c r="S1208" t="str">
        <f>Table_TRM_Fixtures[[#This Row],[Description  (TRM Data)]]</f>
        <v>Fluorescent, (3) 48", T-8 HO lamps, (2) Instant Start Ballasts, NLO (0.85 &lt; BF &lt; 0.95)</v>
      </c>
      <c r="T1208" t="str">
        <f>Table_TRM_Fixtures[[#This Row],[Fixture code  (TRM Data)]]</f>
        <v>F43LHL</v>
      </c>
      <c r="U1208" t="s">
        <v>2882</v>
      </c>
      <c r="V1208" t="s">
        <v>186</v>
      </c>
      <c r="W1208" t="s">
        <v>3120</v>
      </c>
      <c r="X1208" t="s">
        <v>186</v>
      </c>
      <c r="Y1208" t="str">
        <f>_xlfn.CONCAT(Table_TRM_Fixtures[[#This Row],[Combined Lighting/Ballast Types]],":",Table_TRM_Fixtures[[#This Row],[No. of Lamps]], ":", Table_TRM_Fixtures[[#This Row],[Lamp Watts  (TRM Data)]])</f>
        <v>T8, Electronic HLO Ballast:3:44</v>
      </c>
      <c r="Z1208"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T8:3:44</v>
      </c>
      <c r="AA1208">
        <f>IF(Table_TRM_Fixtures[[#This Row],[Pre-EISA Baseline]]="Nominal", Table_TRM_Fixtures[[#This Row],[Fixture Watts  (TRM Data)]], Table_TRM_Fixtures[[#This Row],[Modified Baseline Fixture Watts]])</f>
        <v>141</v>
      </c>
    </row>
    <row r="1209" spans="1:27" x14ac:dyDescent="0.2">
      <c r="A1209" t="s">
        <v>2155</v>
      </c>
      <c r="B1209" t="s">
        <v>5725</v>
      </c>
      <c r="C1209" t="s">
        <v>2154</v>
      </c>
      <c r="D1209" t="s">
        <v>5729</v>
      </c>
      <c r="E1209" t="s">
        <v>187</v>
      </c>
      <c r="F1209">
        <v>4</v>
      </c>
      <c r="G1209">
        <v>44</v>
      </c>
      <c r="H1209">
        <v>168</v>
      </c>
      <c r="I1209">
        <v>15.5</v>
      </c>
      <c r="J1209" s="110">
        <v>1207</v>
      </c>
      <c r="K1209" t="s">
        <v>1505</v>
      </c>
      <c r="L1209">
        <f>IF(Table_TRM_Fixtures[[#This Row],[Technology]]="LED", Table_TRM_Fixtures[[#This Row],[Fixture Watts  (TRM Data)]], Table_TRM_Fixtures[[#This Row],[Lamp Watts  (TRM Data)]])</f>
        <v>44</v>
      </c>
      <c r="M1209">
        <f>Table_TRM_Fixtures[[#This Row],[No. of Lamps  (TRM Data)]]</f>
        <v>4</v>
      </c>
      <c r="N1209">
        <v>48</v>
      </c>
      <c r="O1209" t="s">
        <v>2147</v>
      </c>
      <c r="P1209" t="s">
        <v>187</v>
      </c>
      <c r="Q1209" t="s">
        <v>5566</v>
      </c>
      <c r="R1209" t="str">
        <f>_xlfn.CONCAT(Table_TRM_Fixtures[[#This Row],[Technology]], ", ", Table_TRM_Fixtures[[#This Row],[Ballast Code]], " Ballast")</f>
        <v>T8, Electronic HLO Ballast</v>
      </c>
      <c r="S1209" t="str">
        <f>Table_TRM_Fixtures[[#This Row],[Description  (TRM Data)]]</f>
        <v>Fluorescent, (4) 48", T-8 HO lamps, (2) Instant Start Ballasts, NLO (0.85 &lt; BF &lt; 0.95)</v>
      </c>
      <c r="T1209" t="str">
        <f>Table_TRM_Fixtures[[#This Row],[Fixture code  (TRM Data)]]</f>
        <v>F44LHL</v>
      </c>
      <c r="U1209" t="s">
        <v>2882</v>
      </c>
      <c r="V1209" t="s">
        <v>186</v>
      </c>
      <c r="W1209" t="s">
        <v>3120</v>
      </c>
      <c r="X1209" t="s">
        <v>186</v>
      </c>
      <c r="Y1209" t="str">
        <f>_xlfn.CONCAT(Table_TRM_Fixtures[[#This Row],[Combined Lighting/Ballast Types]],":",Table_TRM_Fixtures[[#This Row],[No. of Lamps]], ":", Table_TRM_Fixtures[[#This Row],[Lamp Watts  (TRM Data)]])</f>
        <v>T8, Electronic HLO Ballast:4:44</v>
      </c>
      <c r="Z1209"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T8:4:44</v>
      </c>
      <c r="AA1209">
        <f>IF(Table_TRM_Fixtures[[#This Row],[Pre-EISA Baseline]]="Nominal", Table_TRM_Fixtures[[#This Row],[Fixture Watts  (TRM Data)]], Table_TRM_Fixtures[[#This Row],[Modified Baseline Fixture Watts]])</f>
        <v>168</v>
      </c>
    </row>
    <row r="1210" spans="1:27" x14ac:dyDescent="0.2">
      <c r="A1210" t="s">
        <v>2157</v>
      </c>
      <c r="B1210" t="s">
        <v>5730</v>
      </c>
      <c r="C1210" t="s">
        <v>2156</v>
      </c>
      <c r="D1210" t="s">
        <v>5731</v>
      </c>
      <c r="E1210" t="s">
        <v>187</v>
      </c>
      <c r="F1210">
        <v>1</v>
      </c>
      <c r="G1210">
        <v>59</v>
      </c>
      <c r="H1210">
        <v>69</v>
      </c>
      <c r="I1210">
        <v>15.5</v>
      </c>
      <c r="J1210" s="110">
        <v>1208</v>
      </c>
      <c r="K1210" t="s">
        <v>1505</v>
      </c>
      <c r="L1210">
        <f>IF(Table_TRM_Fixtures[[#This Row],[Technology]]="LED", Table_TRM_Fixtures[[#This Row],[Fixture Watts  (TRM Data)]], Table_TRM_Fixtures[[#This Row],[Lamp Watts  (TRM Data)]])</f>
        <v>59</v>
      </c>
      <c r="M1210">
        <f>Table_TRM_Fixtures[[#This Row],[No. of Lamps  (TRM Data)]]</f>
        <v>1</v>
      </c>
      <c r="N1210">
        <v>96</v>
      </c>
      <c r="O1210" t="s">
        <v>1381</v>
      </c>
      <c r="P1210" t="s">
        <v>187</v>
      </c>
      <c r="Q1210" t="s">
        <v>5612</v>
      </c>
      <c r="R1210" t="str">
        <f>_xlfn.CONCAT(Table_TRM_Fixtures[[#This Row],[Technology]], ", ", Table_TRM_Fixtures[[#This Row],[Ballast Code]], " Ballast")</f>
        <v>T8, Electronic STD Ballast</v>
      </c>
      <c r="S1210" t="str">
        <f>Table_TRM_Fixtures[[#This Row],[Description  (TRM Data)]]</f>
        <v>Fluorescent, (1) 96", T-8 lamp, Instant Start Ballast, NLO (0.85 &lt; BF &lt; 0.95)</v>
      </c>
      <c r="T1210" t="str">
        <f>Table_TRM_Fixtures[[#This Row],[Fixture code  (TRM Data)]]</f>
        <v>F81ILL</v>
      </c>
      <c r="U1210" t="s">
        <v>2882</v>
      </c>
      <c r="V1210" t="s">
        <v>186</v>
      </c>
      <c r="W1210" t="s">
        <v>3120</v>
      </c>
      <c r="X1210" t="s">
        <v>186</v>
      </c>
      <c r="Y1210" t="s">
        <v>4815</v>
      </c>
      <c r="Z1210" t="s">
        <v>4815</v>
      </c>
      <c r="AA1210">
        <f>IF(Table_TRM_Fixtures[[#This Row],[Pre-EISA Baseline]]="Nominal", Table_TRM_Fixtures[[#This Row],[Fixture Watts  (TRM Data)]], Table_TRM_Fixtures[[#This Row],[Modified Baseline Fixture Watts]])</f>
        <v>69</v>
      </c>
    </row>
    <row r="1211" spans="1:27" x14ac:dyDescent="0.2">
      <c r="A1211" t="s">
        <v>2159</v>
      </c>
      <c r="B1211" t="s">
        <v>5730</v>
      </c>
      <c r="C1211" t="s">
        <v>2158</v>
      </c>
      <c r="D1211" t="s">
        <v>5732</v>
      </c>
      <c r="E1211" t="s">
        <v>187</v>
      </c>
      <c r="F1211">
        <v>1</v>
      </c>
      <c r="G1211">
        <v>59</v>
      </c>
      <c r="H1211">
        <v>70</v>
      </c>
      <c r="I1211">
        <v>15.5</v>
      </c>
      <c r="J1211" s="110">
        <v>1209</v>
      </c>
      <c r="K1211" t="s">
        <v>1505</v>
      </c>
      <c r="L1211">
        <f>IF(Table_TRM_Fixtures[[#This Row],[Technology]]="LED", Table_TRM_Fixtures[[#This Row],[Fixture Watts  (TRM Data)]], Table_TRM_Fixtures[[#This Row],[Lamp Watts  (TRM Data)]])</f>
        <v>59</v>
      </c>
      <c r="M1211">
        <f>Table_TRM_Fixtures[[#This Row],[No. of Lamps  (TRM Data)]]</f>
        <v>1</v>
      </c>
      <c r="N1211">
        <v>96</v>
      </c>
      <c r="O1211" t="s">
        <v>1381</v>
      </c>
      <c r="P1211" t="s">
        <v>187</v>
      </c>
      <c r="Q1211" t="s">
        <v>5612</v>
      </c>
      <c r="R1211" t="str">
        <f>_xlfn.CONCAT(Table_TRM_Fixtures[[#This Row],[Technology]], ", ", Table_TRM_Fixtures[[#This Row],[Ballast Code]], " Ballast")</f>
        <v>T8, Electronic STD Ballast</v>
      </c>
      <c r="S1211" t="str">
        <f>Table_TRM_Fixtures[[#This Row],[Description  (TRM Data)]]</f>
        <v>Fluorescent, (1) 96", T-8 lamp, Instant Start Ballast, HILO (.95 &lt; BF &lt; 1.1)</v>
      </c>
      <c r="T1211" t="str">
        <f>Table_TRM_Fixtures[[#This Row],[Fixture code  (TRM Data)]]</f>
        <v>F81ILL-H</v>
      </c>
      <c r="U1211" t="s">
        <v>2882</v>
      </c>
      <c r="V1211" t="s">
        <v>186</v>
      </c>
      <c r="W1211" t="s">
        <v>3120</v>
      </c>
      <c r="X1211" t="s">
        <v>186</v>
      </c>
      <c r="Y1211" t="str">
        <f>_xlfn.CONCAT(Table_TRM_Fixtures[[#This Row],[Combined Lighting/Ballast Types]],":",Table_TRM_Fixtures[[#This Row],[No. of Lamps]], ":", Table_TRM_Fixtures[[#This Row],[Lamp Watts  (TRM Data)]])</f>
        <v>T8, Electronic STD Ballast:1:59</v>
      </c>
      <c r="Z1211"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T8:1:59</v>
      </c>
      <c r="AA1211">
        <f>IF(Table_TRM_Fixtures[[#This Row],[Pre-EISA Baseline]]="Nominal", Table_TRM_Fixtures[[#This Row],[Fixture Watts  (TRM Data)]], Table_TRM_Fixtures[[#This Row],[Modified Baseline Fixture Watts]])</f>
        <v>70</v>
      </c>
    </row>
    <row r="1212" spans="1:27" x14ac:dyDescent="0.2">
      <c r="A1212" t="s">
        <v>2161</v>
      </c>
      <c r="B1212" t="s">
        <v>5730</v>
      </c>
      <c r="C1212" t="s">
        <v>2160</v>
      </c>
      <c r="D1212" t="s">
        <v>5733</v>
      </c>
      <c r="E1212" t="s">
        <v>187</v>
      </c>
      <c r="F1212">
        <v>1</v>
      </c>
      <c r="G1212">
        <v>59</v>
      </c>
      <c r="H1212">
        <v>67</v>
      </c>
      <c r="I1212">
        <v>15.5</v>
      </c>
      <c r="J1212" s="110">
        <v>1210</v>
      </c>
      <c r="K1212" t="s">
        <v>1505</v>
      </c>
      <c r="L1212">
        <f>IF(Table_TRM_Fixtures[[#This Row],[Technology]]="LED", Table_TRM_Fixtures[[#This Row],[Fixture Watts  (TRM Data)]], Table_TRM_Fixtures[[#This Row],[Lamp Watts  (TRM Data)]])</f>
        <v>59</v>
      </c>
      <c r="M1212">
        <f>Table_TRM_Fixtures[[#This Row],[No. of Lamps  (TRM Data)]]</f>
        <v>1</v>
      </c>
      <c r="N1212">
        <v>96</v>
      </c>
      <c r="O1212" t="s">
        <v>1381</v>
      </c>
      <c r="P1212" t="s">
        <v>187</v>
      </c>
      <c r="Q1212" t="s">
        <v>5614</v>
      </c>
      <c r="R1212" t="str">
        <f>_xlfn.CONCAT(Table_TRM_Fixtures[[#This Row],[Technology]], ", ", Table_TRM_Fixtures[[#This Row],[Ballast Code]], " Ballast")</f>
        <v>T8, Electronic RLO Ballast</v>
      </c>
      <c r="S1212" t="str">
        <f>Table_TRM_Fixtures[[#This Row],[Description  (TRM Data)]]</f>
        <v>Fluorescent, (1) 96", T-8 lamp, Instant Start Ballast, RLO (BF &lt; 0.85)</v>
      </c>
      <c r="T1212" t="str">
        <f>Table_TRM_Fixtures[[#This Row],[Fixture code  (TRM Data)]]</f>
        <v>F81ILL-R</v>
      </c>
      <c r="U1212" t="s">
        <v>2882</v>
      </c>
      <c r="V1212" t="s">
        <v>186</v>
      </c>
      <c r="W1212" t="s">
        <v>3120</v>
      </c>
      <c r="X1212" t="s">
        <v>186</v>
      </c>
      <c r="Y1212" t="str">
        <f>_xlfn.CONCAT(Table_TRM_Fixtures[[#This Row],[Combined Lighting/Ballast Types]],":",Table_TRM_Fixtures[[#This Row],[No. of Lamps]], ":", Table_TRM_Fixtures[[#This Row],[Lamp Watts  (TRM Data)]])</f>
        <v>T8, Electronic RLO Ballast:1:59</v>
      </c>
      <c r="Z1212" t="s">
        <v>4815</v>
      </c>
      <c r="AA1212">
        <f>IF(Table_TRM_Fixtures[[#This Row],[Pre-EISA Baseline]]="Nominal", Table_TRM_Fixtures[[#This Row],[Fixture Watts  (TRM Data)]], Table_TRM_Fixtures[[#This Row],[Modified Baseline Fixture Watts]])</f>
        <v>67</v>
      </c>
    </row>
    <row r="1213" spans="1:27" x14ac:dyDescent="0.2">
      <c r="A1213" t="s">
        <v>2163</v>
      </c>
      <c r="B1213" t="s">
        <v>5730</v>
      </c>
      <c r="C1213" t="s">
        <v>2162</v>
      </c>
      <c r="D1213" t="s">
        <v>5734</v>
      </c>
      <c r="E1213" t="s">
        <v>187</v>
      </c>
      <c r="F1213">
        <v>1</v>
      </c>
      <c r="G1213">
        <v>59</v>
      </c>
      <c r="H1213">
        <v>72</v>
      </c>
      <c r="I1213">
        <v>15.5</v>
      </c>
      <c r="J1213" s="110">
        <v>1211</v>
      </c>
      <c r="K1213" t="s">
        <v>1505</v>
      </c>
      <c r="L1213">
        <f>IF(Table_TRM_Fixtures[[#This Row],[Technology]]="LED", Table_TRM_Fixtures[[#This Row],[Fixture Watts  (TRM Data)]], Table_TRM_Fixtures[[#This Row],[Lamp Watts  (TRM Data)]])</f>
        <v>59</v>
      </c>
      <c r="M1213">
        <f>Table_TRM_Fixtures[[#This Row],[No. of Lamps  (TRM Data)]]</f>
        <v>1</v>
      </c>
      <c r="N1213">
        <v>96</v>
      </c>
      <c r="O1213" t="s">
        <v>1381</v>
      </c>
      <c r="P1213" t="s">
        <v>187</v>
      </c>
      <c r="Q1213" t="s">
        <v>5616</v>
      </c>
      <c r="R1213" t="str">
        <f>_xlfn.CONCAT(Table_TRM_Fixtures[[#This Row],[Technology]], ", ", Table_TRM_Fixtures[[#This Row],[Ballast Code]], " Ballast")</f>
        <v>T8, Electronic VHLO Ballast</v>
      </c>
      <c r="S1213" t="str">
        <f>Table_TRM_Fixtures[[#This Row],[Description  (TRM Data)]]</f>
        <v>Fluorescent, (1) 96", T-8 lamp, Instant Start Ballast, VHLO (BF &gt; 1.1)</v>
      </c>
      <c r="T1213" t="str">
        <f>Table_TRM_Fixtures[[#This Row],[Fixture code  (TRM Data)]]</f>
        <v>F81ILL-V</v>
      </c>
      <c r="U1213" t="s">
        <v>2882</v>
      </c>
      <c r="V1213" t="s">
        <v>186</v>
      </c>
      <c r="W1213" t="s">
        <v>3120</v>
      </c>
      <c r="X1213" t="s">
        <v>186</v>
      </c>
      <c r="Y1213" t="str">
        <f>_xlfn.CONCAT(Table_TRM_Fixtures[[#This Row],[Combined Lighting/Ballast Types]],":",Table_TRM_Fixtures[[#This Row],[No. of Lamps]], ":", Table_TRM_Fixtures[[#This Row],[Lamp Watts  (TRM Data)]])</f>
        <v>T8, Electronic VHLO Ballast:1:59</v>
      </c>
      <c r="Z1213" t="s">
        <v>4815</v>
      </c>
      <c r="AA1213">
        <f>IF(Table_TRM_Fixtures[[#This Row],[Pre-EISA Baseline]]="Nominal", Table_TRM_Fixtures[[#This Row],[Fixture Watts  (TRM Data)]], Table_TRM_Fixtures[[#This Row],[Modified Baseline Fixture Watts]])</f>
        <v>72</v>
      </c>
    </row>
    <row r="1214" spans="1:27" x14ac:dyDescent="0.2">
      <c r="A1214" t="s">
        <v>2165</v>
      </c>
      <c r="B1214" t="s">
        <v>5730</v>
      </c>
      <c r="C1214" t="s">
        <v>2164</v>
      </c>
      <c r="D1214" t="s">
        <v>5731</v>
      </c>
      <c r="E1214" t="s">
        <v>187</v>
      </c>
      <c r="F1214">
        <v>1</v>
      </c>
      <c r="G1214">
        <v>59</v>
      </c>
      <c r="H1214">
        <v>55</v>
      </c>
      <c r="I1214">
        <v>15.5</v>
      </c>
      <c r="J1214" s="110">
        <v>1212</v>
      </c>
      <c r="K1214" t="s">
        <v>1505</v>
      </c>
      <c r="L1214">
        <f>IF(Table_TRM_Fixtures[[#This Row],[Technology]]="LED", Table_TRM_Fixtures[[#This Row],[Fixture Watts  (TRM Data)]], Table_TRM_Fixtures[[#This Row],[Lamp Watts  (TRM Data)]])</f>
        <v>59</v>
      </c>
      <c r="M1214">
        <f>Table_TRM_Fixtures[[#This Row],[No. of Lamps  (TRM Data)]]</f>
        <v>1</v>
      </c>
      <c r="N1214">
        <v>96</v>
      </c>
      <c r="O1214" t="s">
        <v>1381</v>
      </c>
      <c r="P1214" t="s">
        <v>187</v>
      </c>
      <c r="Q1214" t="s">
        <v>5612</v>
      </c>
      <c r="R1214" t="str">
        <f>_xlfn.CONCAT(Table_TRM_Fixtures[[#This Row],[Technology]], ", ", Table_TRM_Fixtures[[#This Row],[Ballast Code]], " Ballast")</f>
        <v>T8, Electronic STD Ballast</v>
      </c>
      <c r="S1214" t="str">
        <f>Table_TRM_Fixtures[[#This Row],[Description  (TRM Data)]]</f>
        <v>Fluorescent, (1) 96", T-8 lamp, Tandem 2-lamp IS Ballast, NLO (0.85 &lt; BF &lt; 0.95)</v>
      </c>
      <c r="T1214" t="str">
        <f>Table_TRM_Fixtures[[#This Row],[Fixture code  (TRM Data)]]</f>
        <v>F81ILL/T2</v>
      </c>
      <c r="U1214" t="s">
        <v>2882</v>
      </c>
      <c r="V1214" t="s">
        <v>186</v>
      </c>
      <c r="W1214" t="s">
        <v>3120</v>
      </c>
      <c r="X1214" t="s">
        <v>186</v>
      </c>
      <c r="Y1214" t="s">
        <v>4815</v>
      </c>
      <c r="Z1214" t="s">
        <v>4815</v>
      </c>
      <c r="AA1214">
        <f>IF(Table_TRM_Fixtures[[#This Row],[Pre-EISA Baseline]]="Nominal", Table_TRM_Fixtures[[#This Row],[Fixture Watts  (TRM Data)]], Table_TRM_Fixtures[[#This Row],[Modified Baseline Fixture Watts]])</f>
        <v>55</v>
      </c>
    </row>
    <row r="1215" spans="1:27" x14ac:dyDescent="0.2">
      <c r="A1215" t="s">
        <v>2167</v>
      </c>
      <c r="B1215" t="s">
        <v>5730</v>
      </c>
      <c r="C1215" t="s">
        <v>2166</v>
      </c>
      <c r="D1215" t="s">
        <v>5733</v>
      </c>
      <c r="E1215" t="s">
        <v>187</v>
      </c>
      <c r="F1215">
        <v>1</v>
      </c>
      <c r="G1215">
        <v>59</v>
      </c>
      <c r="H1215">
        <v>50</v>
      </c>
      <c r="I1215">
        <v>15.5</v>
      </c>
      <c r="J1215" s="110">
        <v>1213</v>
      </c>
      <c r="K1215" t="s">
        <v>1505</v>
      </c>
      <c r="L1215">
        <f>IF(Table_TRM_Fixtures[[#This Row],[Technology]]="LED", Table_TRM_Fixtures[[#This Row],[Fixture Watts  (TRM Data)]], Table_TRM_Fixtures[[#This Row],[Lamp Watts  (TRM Data)]])</f>
        <v>59</v>
      </c>
      <c r="M1215">
        <f>Table_TRM_Fixtures[[#This Row],[No. of Lamps  (TRM Data)]]</f>
        <v>1</v>
      </c>
      <c r="N1215">
        <v>96</v>
      </c>
      <c r="O1215" t="s">
        <v>1381</v>
      </c>
      <c r="P1215" t="s">
        <v>187</v>
      </c>
      <c r="Q1215" t="s">
        <v>5614</v>
      </c>
      <c r="R1215" t="str">
        <f>_xlfn.CONCAT(Table_TRM_Fixtures[[#This Row],[Technology]], ", ", Table_TRM_Fixtures[[#This Row],[Ballast Code]], " Ballast")</f>
        <v>T8, Electronic RLO Ballast</v>
      </c>
      <c r="S1215" t="str">
        <f>Table_TRM_Fixtures[[#This Row],[Description  (TRM Data)]]</f>
        <v>Fluorescent, (1) 96", T-8 lamp, Tandem 2-lamp IS Ballast, RLO (BF &lt; 0.85)</v>
      </c>
      <c r="T1215" t="str">
        <f>Table_TRM_Fixtures[[#This Row],[Fixture code  (TRM Data)]]</f>
        <v>F81ILL/T2-R</v>
      </c>
      <c r="U1215" t="s">
        <v>2882</v>
      </c>
      <c r="V1215" t="s">
        <v>186</v>
      </c>
      <c r="W1215" t="s">
        <v>3120</v>
      </c>
      <c r="X1215" t="s">
        <v>186</v>
      </c>
      <c r="Y1215" t="s">
        <v>4815</v>
      </c>
      <c r="Z1215" t="s">
        <v>4815</v>
      </c>
      <c r="AA1215">
        <f>IF(Table_TRM_Fixtures[[#This Row],[Pre-EISA Baseline]]="Nominal", Table_TRM_Fixtures[[#This Row],[Fixture Watts  (TRM Data)]], Table_TRM_Fixtures[[#This Row],[Modified Baseline Fixture Watts]])</f>
        <v>50</v>
      </c>
    </row>
    <row r="1216" spans="1:27" x14ac:dyDescent="0.2">
      <c r="A1216" t="s">
        <v>2169</v>
      </c>
      <c r="B1216" t="s">
        <v>5730</v>
      </c>
      <c r="C1216" t="s">
        <v>2168</v>
      </c>
      <c r="D1216" t="s">
        <v>5731</v>
      </c>
      <c r="E1216" t="s">
        <v>187</v>
      </c>
      <c r="F1216">
        <v>1</v>
      </c>
      <c r="G1216">
        <v>59</v>
      </c>
      <c r="H1216">
        <v>67</v>
      </c>
      <c r="I1216">
        <v>15.5</v>
      </c>
      <c r="J1216" s="110">
        <v>1214</v>
      </c>
      <c r="K1216" t="s">
        <v>1505</v>
      </c>
      <c r="L1216">
        <f>IF(Table_TRM_Fixtures[[#This Row],[Technology]]="LED", Table_TRM_Fixtures[[#This Row],[Fixture Watts  (TRM Data)]], Table_TRM_Fixtures[[#This Row],[Lamp Watts  (TRM Data)]])</f>
        <v>59</v>
      </c>
      <c r="M1216">
        <f>Table_TRM_Fixtures[[#This Row],[No. of Lamps  (TRM Data)]]</f>
        <v>1</v>
      </c>
      <c r="N1216">
        <v>96</v>
      </c>
      <c r="O1216" t="s">
        <v>1381</v>
      </c>
      <c r="P1216" t="s">
        <v>187</v>
      </c>
      <c r="Q1216" t="s">
        <v>5612</v>
      </c>
      <c r="R1216" t="str">
        <f>_xlfn.CONCAT(Table_TRM_Fixtures[[#This Row],[Technology]], ", ", Table_TRM_Fixtures[[#This Row],[Ballast Code]], " Ballast")</f>
        <v>T8, Electronic STD Ballast</v>
      </c>
      <c r="S1216" t="str">
        <f>Table_TRM_Fixtures[[#This Row],[Description  (TRM Data)]]</f>
        <v>Fluorescent, (1) 96" T-8 lamp, Instant Start Ballast, NLO (0.85 &lt; BF &lt; 0.95)</v>
      </c>
      <c r="T1216" t="str">
        <f>Table_TRM_Fixtures[[#This Row],[Fixture code  (TRM Data)]]</f>
        <v>F81ILU</v>
      </c>
      <c r="U1216" t="s">
        <v>2882</v>
      </c>
      <c r="V1216" t="s">
        <v>186</v>
      </c>
      <c r="W1216" t="s">
        <v>3120</v>
      </c>
      <c r="X1216" t="s">
        <v>186</v>
      </c>
      <c r="Y1216" t="s">
        <v>4815</v>
      </c>
      <c r="Z1216" t="s">
        <v>4815</v>
      </c>
      <c r="AA1216">
        <f>IF(Table_TRM_Fixtures[[#This Row],[Pre-EISA Baseline]]="Nominal", Table_TRM_Fixtures[[#This Row],[Fixture Watts  (TRM Data)]], Table_TRM_Fixtures[[#This Row],[Modified Baseline Fixture Watts]])</f>
        <v>67</v>
      </c>
    </row>
    <row r="1217" spans="1:27" x14ac:dyDescent="0.2">
      <c r="A1217" t="s">
        <v>2171</v>
      </c>
      <c r="B1217" t="s">
        <v>5730</v>
      </c>
      <c r="C1217" t="s">
        <v>2170</v>
      </c>
      <c r="D1217" t="s">
        <v>5735</v>
      </c>
      <c r="E1217" t="s">
        <v>187</v>
      </c>
      <c r="F1217">
        <v>2</v>
      </c>
      <c r="G1217">
        <v>59</v>
      </c>
      <c r="H1217">
        <v>110</v>
      </c>
      <c r="I1217">
        <v>15.5</v>
      </c>
      <c r="J1217" s="110">
        <v>1215</v>
      </c>
      <c r="K1217" t="s">
        <v>1505</v>
      </c>
      <c r="L1217">
        <f>IF(Table_TRM_Fixtures[[#This Row],[Technology]]="LED", Table_TRM_Fixtures[[#This Row],[Fixture Watts  (TRM Data)]], Table_TRM_Fixtures[[#This Row],[Lamp Watts  (TRM Data)]])</f>
        <v>59</v>
      </c>
      <c r="M1217">
        <f>Table_TRM_Fixtures[[#This Row],[No. of Lamps  (TRM Data)]]</f>
        <v>2</v>
      </c>
      <c r="N1217">
        <v>96</v>
      </c>
      <c r="O1217" t="s">
        <v>1381</v>
      </c>
      <c r="P1217" t="s">
        <v>187</v>
      </c>
      <c r="Q1217" t="s">
        <v>5612</v>
      </c>
      <c r="R1217" t="str">
        <f>_xlfn.CONCAT(Table_TRM_Fixtures[[#This Row],[Technology]], ", ", Table_TRM_Fixtures[[#This Row],[Ballast Code]], " Ballast")</f>
        <v>T8, Electronic STD Ballast</v>
      </c>
      <c r="S1217" t="str">
        <f>Table_TRM_Fixtures[[#This Row],[Description  (TRM Data)]]</f>
        <v>Fluorescent, (2) 96", T-8 lamps, Instant Start Ballast, NLO (0.85 &lt; BF &lt; 0.95)</v>
      </c>
      <c r="T1217" t="str">
        <f>Table_TRM_Fixtures[[#This Row],[Fixture code  (TRM Data)]]</f>
        <v>F82ILL</v>
      </c>
      <c r="U1217" t="s">
        <v>2882</v>
      </c>
      <c r="V1217" t="s">
        <v>186</v>
      </c>
      <c r="W1217" t="s">
        <v>3120</v>
      </c>
      <c r="X1217" t="s">
        <v>186</v>
      </c>
      <c r="Y1217" t="str">
        <f>_xlfn.CONCAT(Table_TRM_Fixtures[[#This Row],[Combined Lighting/Ballast Types]],":",Table_TRM_Fixtures[[#This Row],[No. of Lamps]], ":", Table_TRM_Fixtures[[#This Row],[Lamp Watts  (TRM Data)]])</f>
        <v>T8, Electronic STD Ballast:2:59</v>
      </c>
      <c r="Z1217"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T8:2:59</v>
      </c>
      <c r="AA1217">
        <f>IF(Table_TRM_Fixtures[[#This Row],[Pre-EISA Baseline]]="Nominal", Table_TRM_Fixtures[[#This Row],[Fixture Watts  (TRM Data)]], Table_TRM_Fixtures[[#This Row],[Modified Baseline Fixture Watts]])</f>
        <v>110</v>
      </c>
    </row>
    <row r="1218" spans="1:27" x14ac:dyDescent="0.2">
      <c r="A1218" t="s">
        <v>2173</v>
      </c>
      <c r="B1218" t="s">
        <v>5730</v>
      </c>
      <c r="C1218" t="s">
        <v>2172</v>
      </c>
      <c r="D1218" t="s">
        <v>5736</v>
      </c>
      <c r="E1218" t="s">
        <v>187</v>
      </c>
      <c r="F1218">
        <v>2</v>
      </c>
      <c r="G1218">
        <v>59</v>
      </c>
      <c r="H1218">
        <v>100</v>
      </c>
      <c r="I1218">
        <v>15.5</v>
      </c>
      <c r="J1218" s="110">
        <v>1216</v>
      </c>
      <c r="K1218" t="s">
        <v>1505</v>
      </c>
      <c r="L1218">
        <f>IF(Table_TRM_Fixtures[[#This Row],[Technology]]="LED", Table_TRM_Fixtures[[#This Row],[Fixture Watts  (TRM Data)]], Table_TRM_Fixtures[[#This Row],[Lamp Watts  (TRM Data)]])</f>
        <v>59</v>
      </c>
      <c r="M1218">
        <f>Table_TRM_Fixtures[[#This Row],[No. of Lamps  (TRM Data)]]</f>
        <v>2</v>
      </c>
      <c r="N1218">
        <v>96</v>
      </c>
      <c r="O1218" t="s">
        <v>1381</v>
      </c>
      <c r="P1218" t="s">
        <v>187</v>
      </c>
      <c r="Q1218" t="s">
        <v>5614</v>
      </c>
      <c r="R1218" t="str">
        <f>_xlfn.CONCAT(Table_TRM_Fixtures[[#This Row],[Technology]], ", ", Table_TRM_Fixtures[[#This Row],[Ballast Code]], " Ballast")</f>
        <v>T8, Electronic RLO Ballast</v>
      </c>
      <c r="S1218" t="str">
        <f>Table_TRM_Fixtures[[#This Row],[Description  (TRM Data)]]</f>
        <v>Fluorescent, (2) 96", T-8 lamps, Instant Start Ballast, RLO (BF &lt; 0.85)</v>
      </c>
      <c r="T1218" t="str">
        <f>Table_TRM_Fixtures[[#This Row],[Fixture code  (TRM Data)]]</f>
        <v>F82ILL-R</v>
      </c>
      <c r="U1218" t="s">
        <v>2882</v>
      </c>
      <c r="V1218" t="s">
        <v>186</v>
      </c>
      <c r="W1218" t="s">
        <v>3120</v>
      </c>
      <c r="X1218" t="s">
        <v>186</v>
      </c>
      <c r="Y1218" t="str">
        <f>_xlfn.CONCAT(Table_TRM_Fixtures[[#This Row],[Combined Lighting/Ballast Types]],":",Table_TRM_Fixtures[[#This Row],[No. of Lamps]], ":", Table_TRM_Fixtures[[#This Row],[Lamp Watts  (TRM Data)]])</f>
        <v>T8, Electronic RLO Ballast:2:59</v>
      </c>
      <c r="Z1218" t="s">
        <v>4815</v>
      </c>
      <c r="AA1218">
        <f>IF(Table_TRM_Fixtures[[#This Row],[Pre-EISA Baseline]]="Nominal", Table_TRM_Fixtures[[#This Row],[Fixture Watts  (TRM Data)]], Table_TRM_Fixtures[[#This Row],[Modified Baseline Fixture Watts]])</f>
        <v>100</v>
      </c>
    </row>
    <row r="1219" spans="1:27" x14ac:dyDescent="0.2">
      <c r="A1219" t="s">
        <v>2175</v>
      </c>
      <c r="B1219" t="s">
        <v>5730</v>
      </c>
      <c r="C1219" t="s">
        <v>2174</v>
      </c>
      <c r="D1219" t="s">
        <v>5737</v>
      </c>
      <c r="E1219" t="s">
        <v>187</v>
      </c>
      <c r="F1219">
        <v>2</v>
      </c>
      <c r="G1219">
        <v>59</v>
      </c>
      <c r="H1219">
        <v>149</v>
      </c>
      <c r="I1219">
        <v>15.5</v>
      </c>
      <c r="J1219" s="110">
        <v>1217</v>
      </c>
      <c r="K1219" t="s">
        <v>1505</v>
      </c>
      <c r="L1219">
        <f>IF(Table_TRM_Fixtures[[#This Row],[Technology]]="LED", Table_TRM_Fixtures[[#This Row],[Fixture Watts  (TRM Data)]], Table_TRM_Fixtures[[#This Row],[Lamp Watts  (TRM Data)]])</f>
        <v>59</v>
      </c>
      <c r="M1219">
        <f>Table_TRM_Fixtures[[#This Row],[No. of Lamps  (TRM Data)]]</f>
        <v>2</v>
      </c>
      <c r="N1219">
        <v>96</v>
      </c>
      <c r="O1219" t="s">
        <v>1381</v>
      </c>
      <c r="P1219" t="s">
        <v>187</v>
      </c>
      <c r="Q1219" t="s">
        <v>5616</v>
      </c>
      <c r="R1219" t="str">
        <f>_xlfn.CONCAT(Table_TRM_Fixtures[[#This Row],[Technology]], ", ", Table_TRM_Fixtures[[#This Row],[Ballast Code]], " Ballast")</f>
        <v>T8, Electronic VHLO Ballast</v>
      </c>
      <c r="S1219" t="str">
        <f>Table_TRM_Fixtures[[#This Row],[Description  (TRM Data)]]</f>
        <v>Fluorescent, (2) 96", T-8 lamps, Instant Start Ballast, VHLO (BF &gt; 1.1)</v>
      </c>
      <c r="T1219" t="str">
        <f>Table_TRM_Fixtures[[#This Row],[Fixture code  (TRM Data)]]</f>
        <v>F82ILL-V</v>
      </c>
      <c r="U1219" t="s">
        <v>2882</v>
      </c>
      <c r="V1219" t="s">
        <v>186</v>
      </c>
      <c r="W1219" t="s">
        <v>3120</v>
      </c>
      <c r="X1219" t="s">
        <v>186</v>
      </c>
      <c r="Y1219" t="str">
        <f>_xlfn.CONCAT(Table_TRM_Fixtures[[#This Row],[Combined Lighting/Ballast Types]],":",Table_TRM_Fixtures[[#This Row],[No. of Lamps]], ":", Table_TRM_Fixtures[[#This Row],[Lamp Watts  (TRM Data)]])</f>
        <v>T8, Electronic VHLO Ballast:2:59</v>
      </c>
      <c r="Z1219" t="s">
        <v>4815</v>
      </c>
      <c r="AA1219">
        <f>IF(Table_TRM_Fixtures[[#This Row],[Pre-EISA Baseline]]="Nominal", Table_TRM_Fixtures[[#This Row],[Fixture Watts  (TRM Data)]], Table_TRM_Fixtures[[#This Row],[Modified Baseline Fixture Watts]])</f>
        <v>149</v>
      </c>
    </row>
    <row r="1220" spans="1:27" x14ac:dyDescent="0.2">
      <c r="A1220" t="s">
        <v>2177</v>
      </c>
      <c r="B1220" t="s">
        <v>5730</v>
      </c>
      <c r="C1220" t="s">
        <v>2176</v>
      </c>
      <c r="D1220" t="s">
        <v>5735</v>
      </c>
      <c r="E1220" t="s">
        <v>187</v>
      </c>
      <c r="F1220">
        <v>2</v>
      </c>
      <c r="G1220">
        <v>59</v>
      </c>
      <c r="H1220">
        <v>107</v>
      </c>
      <c r="I1220">
        <v>15.5</v>
      </c>
      <c r="J1220" s="110">
        <v>1218</v>
      </c>
      <c r="K1220" t="s">
        <v>1505</v>
      </c>
      <c r="L1220">
        <f>IF(Table_TRM_Fixtures[[#This Row],[Technology]]="LED", Table_TRM_Fixtures[[#This Row],[Fixture Watts  (TRM Data)]], Table_TRM_Fixtures[[#This Row],[Lamp Watts  (TRM Data)]])</f>
        <v>59</v>
      </c>
      <c r="M1220">
        <f>Table_TRM_Fixtures[[#This Row],[No. of Lamps  (TRM Data)]]</f>
        <v>2</v>
      </c>
      <c r="N1220">
        <v>96</v>
      </c>
      <c r="O1220" t="s">
        <v>1381</v>
      </c>
      <c r="P1220" t="s">
        <v>187</v>
      </c>
      <c r="Q1220" t="s">
        <v>5612</v>
      </c>
      <c r="R1220" t="str">
        <f>_xlfn.CONCAT(Table_TRM_Fixtures[[#This Row],[Technology]], ", ", Table_TRM_Fixtures[[#This Row],[Ballast Code]], " Ballast")</f>
        <v>T8, Electronic STD Ballast</v>
      </c>
      <c r="S1220" t="str">
        <f>Table_TRM_Fixtures[[#This Row],[Description  (TRM Data)]]</f>
        <v>Fluorescent, (2) 96" T-8 ES lamps, Instant Start Ballast, NLO (0.85 &lt; BF &lt; 0.95)</v>
      </c>
      <c r="T1220" t="str">
        <f>Table_TRM_Fixtures[[#This Row],[Fixture code  (TRM Data)]]</f>
        <v>F82ILU</v>
      </c>
      <c r="U1220" t="s">
        <v>2882</v>
      </c>
      <c r="V1220" t="s">
        <v>186</v>
      </c>
      <c r="W1220" t="s">
        <v>3120</v>
      </c>
      <c r="X1220" t="s">
        <v>186</v>
      </c>
      <c r="Y1220" t="s">
        <v>4815</v>
      </c>
      <c r="Z1220" t="s">
        <v>4815</v>
      </c>
      <c r="AA1220">
        <f>IF(Table_TRM_Fixtures[[#This Row],[Pre-EISA Baseline]]="Nominal", Table_TRM_Fixtures[[#This Row],[Fixture Watts  (TRM Data)]], Table_TRM_Fixtures[[#This Row],[Modified Baseline Fixture Watts]])</f>
        <v>107</v>
      </c>
    </row>
    <row r="1221" spans="1:27" x14ac:dyDescent="0.2">
      <c r="A1221" t="s">
        <v>2179</v>
      </c>
      <c r="B1221" t="s">
        <v>5730</v>
      </c>
      <c r="C1221" t="s">
        <v>2178</v>
      </c>
      <c r="D1221" t="s">
        <v>5738</v>
      </c>
      <c r="E1221" t="s">
        <v>187</v>
      </c>
      <c r="F1221">
        <v>3</v>
      </c>
      <c r="G1221">
        <v>59</v>
      </c>
      <c r="H1221">
        <v>179</v>
      </c>
      <c r="I1221">
        <v>15.5</v>
      </c>
      <c r="J1221" s="110">
        <v>1219</v>
      </c>
      <c r="K1221" t="s">
        <v>1505</v>
      </c>
      <c r="L1221">
        <f>IF(Table_TRM_Fixtures[[#This Row],[Technology]]="LED", Table_TRM_Fixtures[[#This Row],[Fixture Watts  (TRM Data)]], Table_TRM_Fixtures[[#This Row],[Lamp Watts  (TRM Data)]])</f>
        <v>59</v>
      </c>
      <c r="M1221">
        <f>Table_TRM_Fixtures[[#This Row],[No. of Lamps  (TRM Data)]]</f>
        <v>3</v>
      </c>
      <c r="N1221">
        <v>96</v>
      </c>
      <c r="O1221" t="s">
        <v>1381</v>
      </c>
      <c r="P1221" t="s">
        <v>187</v>
      </c>
      <c r="Q1221" t="s">
        <v>5612</v>
      </c>
      <c r="R1221" t="str">
        <f>_xlfn.CONCAT(Table_TRM_Fixtures[[#This Row],[Technology]], ", ", Table_TRM_Fixtures[[#This Row],[Ballast Code]], " Ballast")</f>
        <v>T8, Electronic STD Ballast</v>
      </c>
      <c r="S1221" t="str">
        <f>Table_TRM_Fixtures[[#This Row],[Description  (TRM Data)]]</f>
        <v>Fluorescent, (3) 96", T-8 lamps, Instant Start Ballast, NLO (0.85 &lt; BF &lt; 0.95)</v>
      </c>
      <c r="T1221" t="str">
        <f>Table_TRM_Fixtures[[#This Row],[Fixture code  (TRM Data)]]</f>
        <v>F83ILL</v>
      </c>
      <c r="U1221" t="s">
        <v>2882</v>
      </c>
      <c r="V1221" t="s">
        <v>186</v>
      </c>
      <c r="W1221" t="s">
        <v>3120</v>
      </c>
      <c r="X1221" t="s">
        <v>186</v>
      </c>
      <c r="Y1221" t="str">
        <f>_xlfn.CONCAT(Table_TRM_Fixtures[[#This Row],[Combined Lighting/Ballast Types]],":",Table_TRM_Fixtures[[#This Row],[No. of Lamps]], ":", Table_TRM_Fixtures[[#This Row],[Lamp Watts  (TRM Data)]])</f>
        <v>T8, Electronic STD Ballast:3:59</v>
      </c>
      <c r="Z1221"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T8:3:59</v>
      </c>
      <c r="AA1221">
        <f>IF(Table_TRM_Fixtures[[#This Row],[Pre-EISA Baseline]]="Nominal", Table_TRM_Fixtures[[#This Row],[Fixture Watts  (TRM Data)]], Table_TRM_Fixtures[[#This Row],[Modified Baseline Fixture Watts]])</f>
        <v>179</v>
      </c>
    </row>
    <row r="1222" spans="1:27" x14ac:dyDescent="0.2">
      <c r="A1222" t="s">
        <v>2181</v>
      </c>
      <c r="B1222" t="s">
        <v>5730</v>
      </c>
      <c r="C1222" t="s">
        <v>2180</v>
      </c>
      <c r="D1222" t="s">
        <v>5739</v>
      </c>
      <c r="E1222" t="s">
        <v>187</v>
      </c>
      <c r="F1222">
        <v>4</v>
      </c>
      <c r="G1222">
        <v>59</v>
      </c>
      <c r="H1222">
        <v>219</v>
      </c>
      <c r="I1222">
        <v>15.5</v>
      </c>
      <c r="J1222" s="110">
        <v>1220</v>
      </c>
      <c r="K1222" t="s">
        <v>1505</v>
      </c>
      <c r="L1222">
        <f>IF(Table_TRM_Fixtures[[#This Row],[Technology]]="LED", Table_TRM_Fixtures[[#This Row],[Fixture Watts  (TRM Data)]], Table_TRM_Fixtures[[#This Row],[Lamp Watts  (TRM Data)]])</f>
        <v>59</v>
      </c>
      <c r="M1222">
        <f>Table_TRM_Fixtures[[#This Row],[No. of Lamps  (TRM Data)]]</f>
        <v>4</v>
      </c>
      <c r="N1222">
        <v>96</v>
      </c>
      <c r="O1222" t="s">
        <v>1381</v>
      </c>
      <c r="P1222" t="s">
        <v>187</v>
      </c>
      <c r="Q1222" t="s">
        <v>5612</v>
      </c>
      <c r="R1222" t="str">
        <f>_xlfn.CONCAT(Table_TRM_Fixtures[[#This Row],[Technology]], ", ", Table_TRM_Fixtures[[#This Row],[Ballast Code]], " Ballast")</f>
        <v>T8, Electronic STD Ballast</v>
      </c>
      <c r="S1222" t="str">
        <f>Table_TRM_Fixtures[[#This Row],[Description  (TRM Data)]]</f>
        <v>Fluorescent, (4) 96", T-8 lamps, Instant Start Ballast, NLO (0.85 &lt; BF &lt; 0.95)</v>
      </c>
      <c r="T1222" t="str">
        <f>Table_TRM_Fixtures[[#This Row],[Fixture code  (TRM Data)]]</f>
        <v>F84ILL</v>
      </c>
      <c r="U1222" t="s">
        <v>2882</v>
      </c>
      <c r="V1222" t="s">
        <v>186</v>
      </c>
      <c r="W1222" t="s">
        <v>3120</v>
      </c>
      <c r="X1222" t="s">
        <v>186</v>
      </c>
      <c r="Y1222" t="str">
        <f>_xlfn.CONCAT(Table_TRM_Fixtures[[#This Row],[Combined Lighting/Ballast Types]],":",Table_TRM_Fixtures[[#This Row],[No. of Lamps]], ":", Table_TRM_Fixtures[[#This Row],[Lamp Watts  (TRM Data)]])</f>
        <v>T8, Electronic STD Ballast:4:59</v>
      </c>
      <c r="Z1222"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T8:4:59</v>
      </c>
      <c r="AA1222">
        <f>IF(Table_TRM_Fixtures[[#This Row],[Pre-EISA Baseline]]="Nominal", Table_TRM_Fixtures[[#This Row],[Fixture Watts  (TRM Data)]], Table_TRM_Fixtures[[#This Row],[Modified Baseline Fixture Watts]])</f>
        <v>219</v>
      </c>
    </row>
    <row r="1223" spans="1:27" x14ac:dyDescent="0.2">
      <c r="A1223" t="s">
        <v>2183</v>
      </c>
      <c r="B1223" t="s">
        <v>5730</v>
      </c>
      <c r="C1223" t="s">
        <v>2182</v>
      </c>
      <c r="D1223" t="s">
        <v>5740</v>
      </c>
      <c r="E1223" t="s">
        <v>187</v>
      </c>
      <c r="F1223">
        <v>4</v>
      </c>
      <c r="G1223">
        <v>59</v>
      </c>
      <c r="H1223">
        <v>298</v>
      </c>
      <c r="I1223">
        <v>15.5</v>
      </c>
      <c r="J1223" s="110">
        <v>1221</v>
      </c>
      <c r="K1223" t="s">
        <v>1505</v>
      </c>
      <c r="L1223">
        <f>IF(Table_TRM_Fixtures[[#This Row],[Technology]]="LED", Table_TRM_Fixtures[[#This Row],[Fixture Watts  (TRM Data)]], Table_TRM_Fixtures[[#This Row],[Lamp Watts  (TRM Data)]])</f>
        <v>59</v>
      </c>
      <c r="M1223">
        <f>Table_TRM_Fixtures[[#This Row],[No. of Lamps  (TRM Data)]]</f>
        <v>4</v>
      </c>
      <c r="N1223">
        <v>96</v>
      </c>
      <c r="O1223" t="s">
        <v>1381</v>
      </c>
      <c r="P1223" t="s">
        <v>187</v>
      </c>
      <c r="Q1223" t="s">
        <v>5616</v>
      </c>
      <c r="R1223" t="str">
        <f>_xlfn.CONCAT(Table_TRM_Fixtures[[#This Row],[Technology]], ", ", Table_TRM_Fixtures[[#This Row],[Ballast Code]], " Ballast")</f>
        <v>T8, Electronic VHLO Ballast</v>
      </c>
      <c r="S1223" t="str">
        <f>Table_TRM_Fixtures[[#This Row],[Description  (TRM Data)]]</f>
        <v>Fluorescent, (4) 96", T-8 lamps, (2) Instant Start Ballasts, VHLO (BF &gt; 1.1)</v>
      </c>
      <c r="T1223" t="str">
        <f>Table_TRM_Fixtures[[#This Row],[Fixture code  (TRM Data)]]</f>
        <v>F84ILL/2-V</v>
      </c>
      <c r="U1223" t="s">
        <v>2882</v>
      </c>
      <c r="V1223" t="s">
        <v>186</v>
      </c>
      <c r="W1223" t="s">
        <v>3120</v>
      </c>
      <c r="X1223" t="s">
        <v>186</v>
      </c>
      <c r="Y1223" t="str">
        <f>_xlfn.CONCAT(Table_TRM_Fixtures[[#This Row],[Combined Lighting/Ballast Types]],":",Table_TRM_Fixtures[[#This Row],[No. of Lamps]], ":", Table_TRM_Fixtures[[#This Row],[Lamp Watts  (TRM Data)]])</f>
        <v>T8, Electronic VHLO Ballast:4:59</v>
      </c>
      <c r="Z1223" t="s">
        <v>4815</v>
      </c>
      <c r="AA1223">
        <f>IF(Table_TRM_Fixtures[[#This Row],[Pre-EISA Baseline]]="Nominal", Table_TRM_Fixtures[[#This Row],[Fixture Watts  (TRM Data)]], Table_TRM_Fixtures[[#This Row],[Modified Baseline Fixture Watts]])</f>
        <v>298</v>
      </c>
    </row>
    <row r="1224" spans="1:27" x14ac:dyDescent="0.2">
      <c r="A1224" t="s">
        <v>2185</v>
      </c>
      <c r="B1224" t="s">
        <v>5730</v>
      </c>
      <c r="C1224" t="s">
        <v>2184</v>
      </c>
      <c r="D1224" t="s">
        <v>5741</v>
      </c>
      <c r="E1224" t="s">
        <v>187</v>
      </c>
      <c r="F1224">
        <v>6</v>
      </c>
      <c r="G1224">
        <v>59</v>
      </c>
      <c r="H1224">
        <v>330</v>
      </c>
      <c r="I1224">
        <v>15.5</v>
      </c>
      <c r="J1224" s="110">
        <v>1222</v>
      </c>
      <c r="K1224" t="s">
        <v>1505</v>
      </c>
      <c r="L1224">
        <f>IF(Table_TRM_Fixtures[[#This Row],[Technology]]="LED", Table_TRM_Fixtures[[#This Row],[Fixture Watts  (TRM Data)]], Table_TRM_Fixtures[[#This Row],[Lamp Watts  (TRM Data)]])</f>
        <v>59</v>
      </c>
      <c r="M1224">
        <f>Table_TRM_Fixtures[[#This Row],[No. of Lamps  (TRM Data)]]</f>
        <v>6</v>
      </c>
      <c r="N1224">
        <v>96</v>
      </c>
      <c r="O1224" t="s">
        <v>1381</v>
      </c>
      <c r="P1224" t="s">
        <v>187</v>
      </c>
      <c r="Q1224" t="s">
        <v>5612</v>
      </c>
      <c r="R1224" t="str">
        <f>_xlfn.CONCAT(Table_TRM_Fixtures[[#This Row],[Technology]], ", ", Table_TRM_Fixtures[[#This Row],[Ballast Code]], " Ballast")</f>
        <v>T8, Electronic STD Ballast</v>
      </c>
      <c r="S1224" t="str">
        <f>Table_TRM_Fixtures[[#This Row],[Description  (TRM Data)]]</f>
        <v>Fluorescent, (6) 96", T-8 lamps, (2) 3-lamp IS Ballasts, NLO (0.85 &lt; BF &lt; 0.95)</v>
      </c>
      <c r="T1224" t="str">
        <f>Table_TRM_Fixtures[[#This Row],[Fixture code  (TRM Data)]]</f>
        <v>F86ILL</v>
      </c>
      <c r="U1224" t="s">
        <v>2882</v>
      </c>
      <c r="V1224" t="s">
        <v>186</v>
      </c>
      <c r="W1224" t="s">
        <v>3120</v>
      </c>
      <c r="X1224" t="s">
        <v>186</v>
      </c>
      <c r="Y1224" t="str">
        <f>_xlfn.CONCAT(Table_TRM_Fixtures[[#This Row],[Combined Lighting/Ballast Types]],":",Table_TRM_Fixtures[[#This Row],[No. of Lamps]], ":", Table_TRM_Fixtures[[#This Row],[Lamp Watts  (TRM Data)]])</f>
        <v>T8, Electronic STD Ballast:6:59</v>
      </c>
      <c r="Z1224"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T8:6:59</v>
      </c>
      <c r="AA1224">
        <f>IF(Table_TRM_Fixtures[[#This Row],[Pre-EISA Baseline]]="Nominal", Table_TRM_Fixtures[[#This Row],[Fixture Watts  (TRM Data)]], Table_TRM_Fixtures[[#This Row],[Modified Baseline Fixture Watts]])</f>
        <v>330</v>
      </c>
    </row>
    <row r="1225" spans="1:27" x14ac:dyDescent="0.2">
      <c r="A1225" t="s">
        <v>2187</v>
      </c>
      <c r="B1225" t="s">
        <v>5742</v>
      </c>
      <c r="C1225" t="s">
        <v>2186</v>
      </c>
      <c r="D1225" t="s">
        <v>5743</v>
      </c>
      <c r="E1225" t="s">
        <v>187</v>
      </c>
      <c r="F1225">
        <v>1</v>
      </c>
      <c r="G1225">
        <v>86</v>
      </c>
      <c r="H1225">
        <v>80</v>
      </c>
      <c r="I1225">
        <v>15.5</v>
      </c>
      <c r="J1225" s="110">
        <v>1223</v>
      </c>
      <c r="K1225" t="s">
        <v>1505</v>
      </c>
      <c r="L1225">
        <f>IF(Table_TRM_Fixtures[[#This Row],[Technology]]="LED", Table_TRM_Fixtures[[#This Row],[Fixture Watts  (TRM Data)]], Table_TRM_Fixtures[[#This Row],[Lamp Watts  (TRM Data)]])</f>
        <v>86</v>
      </c>
      <c r="M1225">
        <f>Table_TRM_Fixtures[[#This Row],[No. of Lamps  (TRM Data)]]</f>
        <v>1</v>
      </c>
      <c r="N1225">
        <v>96</v>
      </c>
      <c r="O1225" t="s">
        <v>2147</v>
      </c>
      <c r="P1225" t="s">
        <v>187</v>
      </c>
      <c r="Q1225" t="s">
        <v>5566</v>
      </c>
      <c r="R1225" t="str">
        <f>_xlfn.CONCAT(Table_TRM_Fixtures[[#This Row],[Technology]], ", ", Table_TRM_Fixtures[[#This Row],[Ballast Code]], " Ballast")</f>
        <v>T8, Electronic HLO Ballast</v>
      </c>
      <c r="S1225" t="str">
        <f>Table_TRM_Fixtures[[#This Row],[Description  (TRM Data)]]</f>
        <v>Fluorescent, (1) 96", T-8 HO lamp, Tandem 2-lamp Ballast</v>
      </c>
      <c r="T1225" t="str">
        <f>Table_TRM_Fixtures[[#This Row],[Fixture code  (TRM Data)]]</f>
        <v>F81LHL/T2</v>
      </c>
      <c r="U1225" t="s">
        <v>2882</v>
      </c>
      <c r="V1225" t="s">
        <v>186</v>
      </c>
      <c r="W1225" t="s">
        <v>3120</v>
      </c>
      <c r="X1225" t="s">
        <v>186</v>
      </c>
      <c r="Y1225" t="str">
        <f>_xlfn.CONCAT(Table_TRM_Fixtures[[#This Row],[Combined Lighting/Ballast Types]],":",Table_TRM_Fixtures[[#This Row],[No. of Lamps]], ":", Table_TRM_Fixtures[[#This Row],[Lamp Watts  (TRM Data)]])</f>
        <v>T8, Electronic HLO Ballast:1:86</v>
      </c>
      <c r="Z1225"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T8:1:86</v>
      </c>
      <c r="AA1225">
        <f>IF(Table_TRM_Fixtures[[#This Row],[Pre-EISA Baseline]]="Nominal", Table_TRM_Fixtures[[#This Row],[Fixture Watts  (TRM Data)]], Table_TRM_Fixtures[[#This Row],[Modified Baseline Fixture Watts]])</f>
        <v>80</v>
      </c>
    </row>
    <row r="1226" spans="1:27" x14ac:dyDescent="0.2">
      <c r="A1226" t="s">
        <v>2189</v>
      </c>
      <c r="B1226" t="s">
        <v>5742</v>
      </c>
      <c r="C1226" t="s">
        <v>2188</v>
      </c>
      <c r="D1226" t="s">
        <v>5744</v>
      </c>
      <c r="E1226" t="s">
        <v>187</v>
      </c>
      <c r="F1226">
        <v>2</v>
      </c>
      <c r="G1226">
        <v>86</v>
      </c>
      <c r="H1226">
        <v>160</v>
      </c>
      <c r="I1226">
        <v>15.5</v>
      </c>
      <c r="J1226" s="110">
        <v>1224</v>
      </c>
      <c r="K1226" t="s">
        <v>1505</v>
      </c>
      <c r="L1226">
        <f>IF(Table_TRM_Fixtures[[#This Row],[Technology]]="LED", Table_TRM_Fixtures[[#This Row],[Fixture Watts  (TRM Data)]], Table_TRM_Fixtures[[#This Row],[Lamp Watts  (TRM Data)]])</f>
        <v>86</v>
      </c>
      <c r="M1226">
        <f>Table_TRM_Fixtures[[#This Row],[No. of Lamps  (TRM Data)]]</f>
        <v>2</v>
      </c>
      <c r="N1226">
        <v>96</v>
      </c>
      <c r="O1226" t="s">
        <v>2147</v>
      </c>
      <c r="P1226" t="s">
        <v>187</v>
      </c>
      <c r="Q1226" t="s">
        <v>5566</v>
      </c>
      <c r="R1226" t="str">
        <f>_xlfn.CONCAT(Table_TRM_Fixtures[[#This Row],[Technology]], ", ", Table_TRM_Fixtures[[#This Row],[Ballast Code]], " Ballast")</f>
        <v>T8, Electronic HLO Ballast</v>
      </c>
      <c r="S1226" t="str">
        <f>Table_TRM_Fixtures[[#This Row],[Description  (TRM Data)]]</f>
        <v>Fluorescent, (2) 96", T-8 HO lamps</v>
      </c>
      <c r="T1226" t="str">
        <f>Table_TRM_Fixtures[[#This Row],[Fixture code  (TRM Data)]]</f>
        <v>F82LHL</v>
      </c>
      <c r="U1226" t="s">
        <v>2882</v>
      </c>
      <c r="V1226" t="s">
        <v>186</v>
      </c>
      <c r="W1226" t="s">
        <v>3120</v>
      </c>
      <c r="X1226" t="s">
        <v>186</v>
      </c>
      <c r="Y1226" t="str">
        <f>_xlfn.CONCAT(Table_TRM_Fixtures[[#This Row],[Combined Lighting/Ballast Types]],":",Table_TRM_Fixtures[[#This Row],[No. of Lamps]], ":", Table_TRM_Fixtures[[#This Row],[Lamp Watts  (TRM Data)]])</f>
        <v>T8, Electronic HLO Ballast:2:86</v>
      </c>
      <c r="Z1226"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T8:2:86</v>
      </c>
      <c r="AA1226">
        <f>IF(Table_TRM_Fixtures[[#This Row],[Pre-EISA Baseline]]="Nominal", Table_TRM_Fixtures[[#This Row],[Fixture Watts  (TRM Data)]], Table_TRM_Fixtures[[#This Row],[Modified Baseline Fixture Watts]])</f>
        <v>160</v>
      </c>
    </row>
    <row r="1227" spans="1:27" x14ac:dyDescent="0.2">
      <c r="A1227" t="s">
        <v>2191</v>
      </c>
      <c r="B1227" t="s">
        <v>5742</v>
      </c>
      <c r="C1227" t="s">
        <v>2190</v>
      </c>
      <c r="D1227" t="s">
        <v>5745</v>
      </c>
      <c r="E1227" t="s">
        <v>187</v>
      </c>
      <c r="F1227">
        <v>4</v>
      </c>
      <c r="G1227">
        <v>86</v>
      </c>
      <c r="H1227">
        <v>320</v>
      </c>
      <c r="I1227">
        <v>15.5</v>
      </c>
      <c r="J1227" s="110">
        <v>1225</v>
      </c>
      <c r="K1227" t="s">
        <v>1505</v>
      </c>
      <c r="L1227">
        <f>IF(Table_TRM_Fixtures[[#This Row],[Technology]]="LED", Table_TRM_Fixtures[[#This Row],[Fixture Watts  (TRM Data)]], Table_TRM_Fixtures[[#This Row],[Lamp Watts  (TRM Data)]])</f>
        <v>86</v>
      </c>
      <c r="M1227">
        <f>Table_TRM_Fixtures[[#This Row],[No. of Lamps  (TRM Data)]]</f>
        <v>4</v>
      </c>
      <c r="N1227">
        <v>96</v>
      </c>
      <c r="O1227" t="s">
        <v>2147</v>
      </c>
      <c r="P1227" t="s">
        <v>187</v>
      </c>
      <c r="Q1227" t="s">
        <v>5566</v>
      </c>
      <c r="R1227" t="str">
        <f>_xlfn.CONCAT(Table_TRM_Fixtures[[#This Row],[Technology]], ", ", Table_TRM_Fixtures[[#This Row],[Ballast Code]], " Ballast")</f>
        <v>T8, Electronic HLO Ballast</v>
      </c>
      <c r="S1227" t="str">
        <f>Table_TRM_Fixtures[[#This Row],[Description  (TRM Data)]]</f>
        <v>Fluorescent, (4) 96", T-8 HO lamps</v>
      </c>
      <c r="T1227" t="str">
        <f>Table_TRM_Fixtures[[#This Row],[Fixture code  (TRM Data)]]</f>
        <v>F84LHL</v>
      </c>
      <c r="U1227" t="s">
        <v>2882</v>
      </c>
      <c r="V1227" t="s">
        <v>186</v>
      </c>
      <c r="W1227" t="s">
        <v>3120</v>
      </c>
      <c r="X1227" t="s">
        <v>186</v>
      </c>
      <c r="Y1227" t="str">
        <f>_xlfn.CONCAT(Table_TRM_Fixtures[[#This Row],[Combined Lighting/Ballast Types]],":",Table_TRM_Fixtures[[#This Row],[No. of Lamps]], ":", Table_TRM_Fixtures[[#This Row],[Lamp Watts  (TRM Data)]])</f>
        <v>T8, Electronic HLO Ballast:4:86</v>
      </c>
      <c r="Z1227"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T8:4:86</v>
      </c>
      <c r="AA1227">
        <f>IF(Table_TRM_Fixtures[[#This Row],[Pre-EISA Baseline]]="Nominal", Table_TRM_Fixtures[[#This Row],[Fixture Watts  (TRM Data)]], Table_TRM_Fixtures[[#This Row],[Modified Baseline Fixture Watts]])</f>
        <v>320</v>
      </c>
    </row>
    <row r="1228" spans="1:27" x14ac:dyDescent="0.2">
      <c r="A1228" t="s">
        <v>2193</v>
      </c>
      <c r="B1228" t="s">
        <v>5746</v>
      </c>
      <c r="C1228" t="s">
        <v>2192</v>
      </c>
      <c r="D1228" t="s">
        <v>5747</v>
      </c>
      <c r="E1228" t="s">
        <v>187</v>
      </c>
      <c r="F1228">
        <v>1</v>
      </c>
      <c r="G1228">
        <v>54</v>
      </c>
      <c r="H1228">
        <v>61</v>
      </c>
      <c r="I1228">
        <v>15.5</v>
      </c>
      <c r="J1228" s="110">
        <v>1226</v>
      </c>
      <c r="K1228" t="s">
        <v>1505</v>
      </c>
      <c r="L1228">
        <f>IF(Table_TRM_Fixtures[[#This Row],[Technology]]="LED", Table_TRM_Fixtures[[#This Row],[Fixture Watts  (TRM Data)]], Table_TRM_Fixtures[[#This Row],[Lamp Watts  (TRM Data)]])</f>
        <v>54</v>
      </c>
      <c r="M1228">
        <f>Table_TRM_Fixtures[[#This Row],[No. of Lamps  (TRM Data)]]</f>
        <v>1</v>
      </c>
      <c r="N1228">
        <v>96</v>
      </c>
      <c r="O1228" t="s">
        <v>1381</v>
      </c>
      <c r="P1228" t="s">
        <v>187</v>
      </c>
      <c r="Q1228" t="s">
        <v>5612</v>
      </c>
      <c r="R1228" t="str">
        <f>_xlfn.CONCAT(Table_TRM_Fixtures[[#This Row],[Technology]], ", ", Table_TRM_Fixtures[[#This Row],[Ballast Code]], " Ballast")</f>
        <v>T8, Electronic STD Ballast</v>
      </c>
      <c r="S1228" t="str">
        <f>Table_TRM_Fixtures[[#This Row],[Description  (TRM Data)]]</f>
        <v>Fluorescent, (1) 96" T-8 reduced-wattage lamp, Instant Start Ballast, NLO (0.85 &lt; BF &lt; 0.95)</v>
      </c>
      <c r="T1228" t="str">
        <f>Table_TRM_Fixtures[[#This Row],[Fixture code  (TRM Data)]]</f>
        <v>F81IERU</v>
      </c>
      <c r="U1228" t="s">
        <v>2882</v>
      </c>
      <c r="V1228" t="s">
        <v>186</v>
      </c>
      <c r="W1228" t="s">
        <v>3120</v>
      </c>
      <c r="X1228" t="s">
        <v>186</v>
      </c>
      <c r="Y1228" t="str">
        <f>_xlfn.CONCAT(Table_TRM_Fixtures[[#This Row],[Combined Lighting/Ballast Types]],":",Table_TRM_Fixtures[[#This Row],[No. of Lamps]], ":", Table_TRM_Fixtures[[#This Row],[Lamp Watts  (TRM Data)]])</f>
        <v>T8, Electronic STD Ballast:1:54</v>
      </c>
      <c r="Z1228"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T8:1:54</v>
      </c>
      <c r="AA1228">
        <f>IF(Table_TRM_Fixtures[[#This Row],[Pre-EISA Baseline]]="Nominal", Table_TRM_Fixtures[[#This Row],[Fixture Watts  (TRM Data)]], Table_TRM_Fixtures[[#This Row],[Modified Baseline Fixture Watts]])</f>
        <v>61</v>
      </c>
    </row>
    <row r="1229" spans="1:27" x14ac:dyDescent="0.2">
      <c r="A1229" t="s">
        <v>2195</v>
      </c>
      <c r="B1229" t="s">
        <v>5746</v>
      </c>
      <c r="C1229" t="s">
        <v>2194</v>
      </c>
      <c r="D1229" t="s">
        <v>5748</v>
      </c>
      <c r="E1229" t="s">
        <v>187</v>
      </c>
      <c r="F1229">
        <v>2</v>
      </c>
      <c r="G1229">
        <v>54</v>
      </c>
      <c r="H1229">
        <v>93</v>
      </c>
      <c r="I1229">
        <v>15.5</v>
      </c>
      <c r="J1229" s="110">
        <v>1227</v>
      </c>
      <c r="K1229" t="s">
        <v>1505</v>
      </c>
      <c r="L1229">
        <f>IF(Table_TRM_Fixtures[[#This Row],[Technology]]="LED", Table_TRM_Fixtures[[#This Row],[Fixture Watts  (TRM Data)]], Table_TRM_Fixtures[[#This Row],[Lamp Watts  (TRM Data)]])</f>
        <v>54</v>
      </c>
      <c r="M1229">
        <f>Table_TRM_Fixtures[[#This Row],[No. of Lamps  (TRM Data)]]</f>
        <v>2</v>
      </c>
      <c r="N1229">
        <v>96</v>
      </c>
      <c r="O1229" t="s">
        <v>1381</v>
      </c>
      <c r="P1229" t="s">
        <v>187</v>
      </c>
      <c r="Q1229" t="s">
        <v>5612</v>
      </c>
      <c r="R1229" t="str">
        <f>_xlfn.CONCAT(Table_TRM_Fixtures[[#This Row],[Technology]], ", ", Table_TRM_Fixtures[[#This Row],[Ballast Code]], " Ballast")</f>
        <v>T8, Electronic STD Ballast</v>
      </c>
      <c r="S1229" t="str">
        <f>Table_TRM_Fixtures[[#This Row],[Description  (TRM Data)]]</f>
        <v>Fluorescent, (2) 96" T-8 @ reduced-wattage lamps, Instant Start Ballast, NLO (0.85 &lt; BF &lt; 0.95)</v>
      </c>
      <c r="T1229" t="str">
        <f>Table_TRM_Fixtures[[#This Row],[Fixture code  (TRM Data)]]</f>
        <v>F82IERU</v>
      </c>
      <c r="U1229" t="s">
        <v>2882</v>
      </c>
      <c r="V1229" t="s">
        <v>186</v>
      </c>
      <c r="W1229" t="s">
        <v>3120</v>
      </c>
      <c r="X1229" t="s">
        <v>186</v>
      </c>
      <c r="Y1229" t="str">
        <f>_xlfn.CONCAT(Table_TRM_Fixtures[[#This Row],[Combined Lighting/Ballast Types]],":",Table_TRM_Fixtures[[#This Row],[No. of Lamps]], ":", Table_TRM_Fixtures[[#This Row],[Lamp Watts  (TRM Data)]])</f>
        <v>T8, Electronic STD Ballast:2:54</v>
      </c>
      <c r="Z1229"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T8:2:54</v>
      </c>
      <c r="AA1229">
        <f>IF(Table_TRM_Fixtures[[#This Row],[Pre-EISA Baseline]]="Nominal", Table_TRM_Fixtures[[#This Row],[Fixture Watts  (TRM Data)]], Table_TRM_Fixtures[[#This Row],[Modified Baseline Fixture Watts]])</f>
        <v>93</v>
      </c>
    </row>
    <row r="1230" spans="1:27" x14ac:dyDescent="0.2">
      <c r="A1230" t="s">
        <v>2198</v>
      </c>
      <c r="B1230" t="s">
        <v>5749</v>
      </c>
      <c r="C1230" t="s">
        <v>2197</v>
      </c>
      <c r="D1230" t="s">
        <v>5750</v>
      </c>
      <c r="E1230" t="s">
        <v>1309</v>
      </c>
      <c r="F1230">
        <v>1</v>
      </c>
      <c r="G1230">
        <v>15</v>
      </c>
      <c r="H1230">
        <v>19</v>
      </c>
      <c r="I1230">
        <v>8.5</v>
      </c>
      <c r="J1230" s="110">
        <v>1228</v>
      </c>
      <c r="K1230" t="s">
        <v>2196</v>
      </c>
      <c r="L1230">
        <f>IF(Table_TRM_Fixtures[[#This Row],[Technology]]="LED", Table_TRM_Fixtures[[#This Row],[Fixture Watts  (TRM Data)]], Table_TRM_Fixtures[[#This Row],[Lamp Watts  (TRM Data)]])</f>
        <v>15</v>
      </c>
      <c r="M1230">
        <f>Table_TRM_Fixtures[[#This Row],[No. of Lamps  (TRM Data)]]</f>
        <v>1</v>
      </c>
      <c r="N1230">
        <v>18</v>
      </c>
      <c r="O1230" t="s">
        <v>1381</v>
      </c>
      <c r="P1230" t="s">
        <v>2640</v>
      </c>
      <c r="Q1230" t="s">
        <v>5608</v>
      </c>
      <c r="R1230" t="str">
        <f>_xlfn.CONCAT(Table_TRM_Fixtures[[#This Row],[Technology]], " ", Table_TRM_Fixtures[[#This Row],[Ballast Code]], " Ballast")</f>
        <v>T12 Magnetic STD Ballast</v>
      </c>
      <c r="S1230" t="str">
        <f>Table_TRM_Fixtures[[#This Row],[Description  (TRM Data)]]</f>
        <v>Fluorescent, (1) 18" T12 lamp</v>
      </c>
      <c r="T1230" t="str">
        <f>Table_TRM_Fixtures[[#This Row],[Fixture code  (TRM Data)]]</f>
        <v>F1.51SS</v>
      </c>
      <c r="U1230" t="s">
        <v>2883</v>
      </c>
      <c r="V1230" t="s">
        <v>5562</v>
      </c>
      <c r="W1230" t="s">
        <v>3120</v>
      </c>
      <c r="X1230" t="s">
        <v>186</v>
      </c>
      <c r="AA1230">
        <f>IF(Table_TRM_Fixtures[[#This Row],[Pre-EISA Baseline]]="Nominal", Table_TRM_Fixtures[[#This Row],[Fixture Watts  (TRM Data)]], Table_TRM_Fixtures[[#This Row],[Modified Baseline Fixture Watts]])</f>
        <v>19</v>
      </c>
    </row>
    <row r="1231" spans="1:27" x14ac:dyDescent="0.2">
      <c r="A1231" t="s">
        <v>2200</v>
      </c>
      <c r="B1231" t="s">
        <v>5749</v>
      </c>
      <c r="C1231" t="s">
        <v>2199</v>
      </c>
      <c r="D1231" t="s">
        <v>5751</v>
      </c>
      <c r="E1231" t="s">
        <v>1309</v>
      </c>
      <c r="F1231">
        <v>2</v>
      </c>
      <c r="G1231">
        <v>15</v>
      </c>
      <c r="H1231">
        <v>36</v>
      </c>
      <c r="I1231">
        <v>8.5</v>
      </c>
      <c r="J1231" s="110">
        <v>1229</v>
      </c>
      <c r="K1231" t="s">
        <v>2196</v>
      </c>
      <c r="L1231">
        <f>IF(Table_TRM_Fixtures[[#This Row],[Technology]]="LED", Table_TRM_Fixtures[[#This Row],[Fixture Watts  (TRM Data)]], Table_TRM_Fixtures[[#This Row],[Lamp Watts  (TRM Data)]])</f>
        <v>15</v>
      </c>
      <c r="M1231">
        <f>Table_TRM_Fixtures[[#This Row],[No. of Lamps  (TRM Data)]]</f>
        <v>2</v>
      </c>
      <c r="N1231">
        <v>18</v>
      </c>
      <c r="O1231" t="s">
        <v>1381</v>
      </c>
      <c r="P1231" t="s">
        <v>2640</v>
      </c>
      <c r="Q1231" t="s">
        <v>5608</v>
      </c>
      <c r="R1231" t="str">
        <f>_xlfn.CONCAT(Table_TRM_Fixtures[[#This Row],[Technology]], " ", Table_TRM_Fixtures[[#This Row],[Ballast Code]], " Ballast")</f>
        <v>T12 Magnetic STD Ballast</v>
      </c>
      <c r="S1231" t="str">
        <f>Table_TRM_Fixtures[[#This Row],[Description  (TRM Data)]]</f>
        <v>Fluorescent, (2) 18", T12 lamps</v>
      </c>
      <c r="T1231" t="str">
        <f>Table_TRM_Fixtures[[#This Row],[Fixture code  (TRM Data)]]</f>
        <v>F1.52SS</v>
      </c>
      <c r="U1231" t="s">
        <v>2883</v>
      </c>
      <c r="V1231" t="s">
        <v>5562</v>
      </c>
      <c r="W1231" t="s">
        <v>3120</v>
      </c>
      <c r="X1231" t="s">
        <v>186</v>
      </c>
      <c r="AA1231">
        <f>IF(Table_TRM_Fixtures[[#This Row],[Pre-EISA Baseline]]="Nominal", Table_TRM_Fixtures[[#This Row],[Fixture Watts  (TRM Data)]], Table_TRM_Fixtures[[#This Row],[Modified Baseline Fixture Watts]])</f>
        <v>36</v>
      </c>
    </row>
    <row r="1232" spans="1:27" x14ac:dyDescent="0.2">
      <c r="A1232" t="s">
        <v>2202</v>
      </c>
      <c r="B1232" t="s">
        <v>5752</v>
      </c>
      <c r="C1232" t="s">
        <v>2201</v>
      </c>
      <c r="D1232" t="s">
        <v>5753</v>
      </c>
      <c r="E1232" t="s">
        <v>1309</v>
      </c>
      <c r="F1232">
        <v>1</v>
      </c>
      <c r="G1232">
        <v>20</v>
      </c>
      <c r="H1232">
        <v>25</v>
      </c>
      <c r="I1232">
        <v>8.5</v>
      </c>
      <c r="J1232" s="110">
        <v>1230</v>
      </c>
      <c r="K1232" t="s">
        <v>2196</v>
      </c>
      <c r="L1232">
        <f>IF(Table_TRM_Fixtures[[#This Row],[Technology]]="LED", Table_TRM_Fixtures[[#This Row],[Fixture Watts  (TRM Data)]], Table_TRM_Fixtures[[#This Row],[Lamp Watts  (TRM Data)]])</f>
        <v>20</v>
      </c>
      <c r="M1232">
        <f>Table_TRM_Fixtures[[#This Row],[No. of Lamps  (TRM Data)]]</f>
        <v>1</v>
      </c>
      <c r="N1232">
        <v>24</v>
      </c>
      <c r="O1232" t="s">
        <v>1381</v>
      </c>
      <c r="P1232" t="s">
        <v>2640</v>
      </c>
      <c r="Q1232" t="s">
        <v>5608</v>
      </c>
      <c r="R1232" t="str">
        <f>_xlfn.CONCAT(Table_TRM_Fixtures[[#This Row],[Technology]], ", ", Table_TRM_Fixtures[[#This Row],[Ballast Code]], " Ballast")</f>
        <v>T12, Magnetic STD Ballast</v>
      </c>
      <c r="S1232" t="str">
        <f>Table_TRM_Fixtures[[#This Row],[Description  (TRM Data)]]</f>
        <v>Fluorescent, (1) 24", STD lamp</v>
      </c>
      <c r="T1232" t="str">
        <f>Table_TRM_Fixtures[[#This Row],[Fixture code  (TRM Data)]]</f>
        <v>F21SS</v>
      </c>
      <c r="U1232" t="s">
        <v>2882</v>
      </c>
      <c r="V1232" t="s">
        <v>186</v>
      </c>
      <c r="W1232" t="s">
        <v>3120</v>
      </c>
      <c r="X1232" t="s">
        <v>186</v>
      </c>
      <c r="Y1232" t="str">
        <f>_xlfn.CONCAT(Table_TRM_Fixtures[[#This Row],[Combined Lighting/Ballast Types]],":",Table_TRM_Fixtures[[#This Row],[No. of Lamps]], ":", Table_TRM_Fixtures[[#This Row],[Lamp Watts  (TRM Data)]])</f>
        <v>T12, Magnetic STD Ballast:1:20</v>
      </c>
      <c r="Z1232"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T12:1:20</v>
      </c>
      <c r="AA1232">
        <f>IF(Table_TRM_Fixtures[[#This Row],[Pre-EISA Baseline]]="Nominal", Table_TRM_Fixtures[[#This Row],[Fixture Watts  (TRM Data)]], Table_TRM_Fixtures[[#This Row],[Modified Baseline Fixture Watts]])</f>
        <v>25</v>
      </c>
    </row>
    <row r="1233" spans="1:27" x14ac:dyDescent="0.2">
      <c r="A1233" t="s">
        <v>2204</v>
      </c>
      <c r="B1233" t="s">
        <v>5752</v>
      </c>
      <c r="C1233" t="s">
        <v>2203</v>
      </c>
      <c r="D1233" t="s">
        <v>5754</v>
      </c>
      <c r="E1233" t="s">
        <v>1309</v>
      </c>
      <c r="F1233">
        <v>2</v>
      </c>
      <c r="G1233">
        <v>20</v>
      </c>
      <c r="H1233">
        <v>50</v>
      </c>
      <c r="I1233">
        <v>8.5</v>
      </c>
      <c r="J1233" s="110">
        <v>1231</v>
      </c>
      <c r="K1233" t="s">
        <v>2196</v>
      </c>
      <c r="L1233">
        <f>IF(Table_TRM_Fixtures[[#This Row],[Technology]]="LED", Table_TRM_Fixtures[[#This Row],[Fixture Watts  (TRM Data)]], Table_TRM_Fixtures[[#This Row],[Lamp Watts  (TRM Data)]])</f>
        <v>20</v>
      </c>
      <c r="M1233">
        <f>Table_TRM_Fixtures[[#This Row],[No. of Lamps  (TRM Data)]]</f>
        <v>2</v>
      </c>
      <c r="N1233">
        <v>24</v>
      </c>
      <c r="O1233" t="s">
        <v>1381</v>
      </c>
      <c r="P1233" t="s">
        <v>2640</v>
      </c>
      <c r="Q1233" t="s">
        <v>5608</v>
      </c>
      <c r="R1233" t="str">
        <f>_xlfn.CONCAT(Table_TRM_Fixtures[[#This Row],[Technology]], ", ", Table_TRM_Fixtures[[#This Row],[Ballast Code]], " Ballast")</f>
        <v>T12, Magnetic STD Ballast</v>
      </c>
      <c r="S1233" t="str">
        <f>Table_TRM_Fixtures[[#This Row],[Description  (TRM Data)]]</f>
        <v>Fluorescent, (2) 24", STD lamps</v>
      </c>
      <c r="T1233" t="str">
        <f>Table_TRM_Fixtures[[#This Row],[Fixture code  (TRM Data)]]</f>
        <v>F22SS</v>
      </c>
      <c r="U1233" t="s">
        <v>2882</v>
      </c>
      <c r="V1233" t="s">
        <v>186</v>
      </c>
      <c r="W1233" t="s">
        <v>3120</v>
      </c>
      <c r="X1233" t="s">
        <v>186</v>
      </c>
      <c r="Y1233" t="str">
        <f>_xlfn.CONCAT(Table_TRM_Fixtures[[#This Row],[Combined Lighting/Ballast Types]],":",Table_TRM_Fixtures[[#This Row],[No. of Lamps]], ":", Table_TRM_Fixtures[[#This Row],[Lamp Watts  (TRM Data)]])</f>
        <v>T12, Magnetic STD Ballast:2:20</v>
      </c>
      <c r="Z1233"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T12:2:20</v>
      </c>
      <c r="AA1233">
        <f>IF(Table_TRM_Fixtures[[#This Row],[Pre-EISA Baseline]]="Nominal", Table_TRM_Fixtures[[#This Row],[Fixture Watts  (TRM Data)]], Table_TRM_Fixtures[[#This Row],[Modified Baseline Fixture Watts]])</f>
        <v>50</v>
      </c>
    </row>
    <row r="1234" spans="1:27" x14ac:dyDescent="0.2">
      <c r="A1234" t="s">
        <v>2206</v>
      </c>
      <c r="B1234" t="s">
        <v>5752</v>
      </c>
      <c r="C1234" t="s">
        <v>2205</v>
      </c>
      <c r="D1234" t="s">
        <v>5755</v>
      </c>
      <c r="E1234" t="s">
        <v>1309</v>
      </c>
      <c r="F1234">
        <v>3</v>
      </c>
      <c r="G1234">
        <v>20</v>
      </c>
      <c r="H1234">
        <v>71</v>
      </c>
      <c r="I1234">
        <v>8.5</v>
      </c>
      <c r="J1234" s="110">
        <v>1232</v>
      </c>
      <c r="K1234" t="s">
        <v>2196</v>
      </c>
      <c r="L1234">
        <f>IF(Table_TRM_Fixtures[[#This Row],[Technology]]="LED", Table_TRM_Fixtures[[#This Row],[Fixture Watts  (TRM Data)]], Table_TRM_Fixtures[[#This Row],[Lamp Watts  (TRM Data)]])</f>
        <v>20</v>
      </c>
      <c r="M1234">
        <f>Table_TRM_Fixtures[[#This Row],[No. of Lamps  (TRM Data)]]</f>
        <v>3</v>
      </c>
      <c r="N1234">
        <v>24</v>
      </c>
      <c r="O1234" t="s">
        <v>1381</v>
      </c>
      <c r="P1234" t="s">
        <v>2640</v>
      </c>
      <c r="Q1234" t="s">
        <v>5608</v>
      </c>
      <c r="R1234" t="str">
        <f>_xlfn.CONCAT(Table_TRM_Fixtures[[#This Row],[Technology]], ", ", Table_TRM_Fixtures[[#This Row],[Ballast Code]], " Ballast")</f>
        <v>T12, Magnetic STD Ballast</v>
      </c>
      <c r="S1234" t="str">
        <f>Table_TRM_Fixtures[[#This Row],[Description  (TRM Data)]]</f>
        <v>Fluorescent, (3) 24", STD lamps</v>
      </c>
      <c r="T1234" t="str">
        <f>Table_TRM_Fixtures[[#This Row],[Fixture code  (TRM Data)]]</f>
        <v>F23SS</v>
      </c>
      <c r="U1234" t="s">
        <v>2882</v>
      </c>
      <c r="V1234" t="s">
        <v>186</v>
      </c>
      <c r="W1234" t="s">
        <v>3120</v>
      </c>
      <c r="X1234" t="s">
        <v>186</v>
      </c>
      <c r="Y1234" t="str">
        <f>_xlfn.CONCAT(Table_TRM_Fixtures[[#This Row],[Combined Lighting/Ballast Types]],":",Table_TRM_Fixtures[[#This Row],[No. of Lamps]], ":", Table_TRM_Fixtures[[#This Row],[Lamp Watts  (TRM Data)]])</f>
        <v>T12, Magnetic STD Ballast:3:20</v>
      </c>
      <c r="Z1234"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T12:3:20</v>
      </c>
      <c r="AA1234">
        <f>IF(Table_TRM_Fixtures[[#This Row],[Pre-EISA Baseline]]="Nominal", Table_TRM_Fixtures[[#This Row],[Fixture Watts  (TRM Data)]], Table_TRM_Fixtures[[#This Row],[Modified Baseline Fixture Watts]])</f>
        <v>71</v>
      </c>
    </row>
    <row r="1235" spans="1:27" x14ac:dyDescent="0.2">
      <c r="A1235" t="s">
        <v>2208</v>
      </c>
      <c r="B1235" t="s">
        <v>5752</v>
      </c>
      <c r="C1235" t="s">
        <v>2207</v>
      </c>
      <c r="D1235" t="s">
        <v>5756</v>
      </c>
      <c r="E1235" t="s">
        <v>1309</v>
      </c>
      <c r="F1235">
        <v>4</v>
      </c>
      <c r="G1235">
        <v>20</v>
      </c>
      <c r="H1235">
        <v>100</v>
      </c>
      <c r="I1235">
        <v>8.5</v>
      </c>
      <c r="J1235" s="110">
        <v>1233</v>
      </c>
      <c r="K1235" t="s">
        <v>2196</v>
      </c>
      <c r="L1235">
        <f>IF(Table_TRM_Fixtures[[#This Row],[Technology]]="LED", Table_TRM_Fixtures[[#This Row],[Fixture Watts  (TRM Data)]], Table_TRM_Fixtures[[#This Row],[Lamp Watts  (TRM Data)]])</f>
        <v>20</v>
      </c>
      <c r="M1235">
        <f>Table_TRM_Fixtures[[#This Row],[No. of Lamps  (TRM Data)]]</f>
        <v>4</v>
      </c>
      <c r="N1235">
        <v>24</v>
      </c>
      <c r="O1235" t="s">
        <v>1381</v>
      </c>
      <c r="P1235" t="s">
        <v>2640</v>
      </c>
      <c r="Q1235" t="s">
        <v>5608</v>
      </c>
      <c r="R1235" t="str">
        <f>_xlfn.CONCAT(Table_TRM_Fixtures[[#This Row],[Technology]], ", ", Table_TRM_Fixtures[[#This Row],[Ballast Code]], " Ballast")</f>
        <v>T12, Magnetic STD Ballast</v>
      </c>
      <c r="S1235" t="str">
        <f>Table_TRM_Fixtures[[#This Row],[Description  (TRM Data)]]</f>
        <v>Fluorescent, (4) 24", STD lamps</v>
      </c>
      <c r="T1235" t="str">
        <f>Table_TRM_Fixtures[[#This Row],[Fixture code  (TRM Data)]]</f>
        <v>F24SS</v>
      </c>
      <c r="U1235" t="s">
        <v>2882</v>
      </c>
      <c r="V1235" t="s">
        <v>186</v>
      </c>
      <c r="W1235" t="s">
        <v>3120</v>
      </c>
      <c r="X1235" t="s">
        <v>186</v>
      </c>
      <c r="Y1235" t="str">
        <f>_xlfn.CONCAT(Table_TRM_Fixtures[[#This Row],[Combined Lighting/Ballast Types]],":",Table_TRM_Fixtures[[#This Row],[No. of Lamps]], ":", Table_TRM_Fixtures[[#This Row],[Lamp Watts  (TRM Data)]])</f>
        <v>T12, Magnetic STD Ballast:4:20</v>
      </c>
      <c r="Z1235"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T12:4:20</v>
      </c>
      <c r="AA1235">
        <f>IF(Table_TRM_Fixtures[[#This Row],[Pre-EISA Baseline]]="Nominal", Table_TRM_Fixtures[[#This Row],[Fixture Watts  (TRM Data)]], Table_TRM_Fixtures[[#This Row],[Modified Baseline Fixture Watts]])</f>
        <v>100</v>
      </c>
    </row>
    <row r="1236" spans="1:27" x14ac:dyDescent="0.2">
      <c r="A1236" t="s">
        <v>2210</v>
      </c>
      <c r="B1236" t="s">
        <v>5752</v>
      </c>
      <c r="C1236" t="s">
        <v>2209</v>
      </c>
      <c r="D1236" t="s">
        <v>5757</v>
      </c>
      <c r="E1236" t="s">
        <v>1309</v>
      </c>
      <c r="F1236">
        <v>6</v>
      </c>
      <c r="G1236">
        <v>20</v>
      </c>
      <c r="H1236">
        <v>146</v>
      </c>
      <c r="I1236">
        <v>8.5</v>
      </c>
      <c r="J1236" s="110">
        <v>1234</v>
      </c>
      <c r="K1236" t="s">
        <v>2196</v>
      </c>
      <c r="L1236">
        <f>IF(Table_TRM_Fixtures[[#This Row],[Technology]]="LED", Table_TRM_Fixtures[[#This Row],[Fixture Watts  (TRM Data)]], Table_TRM_Fixtures[[#This Row],[Lamp Watts  (TRM Data)]])</f>
        <v>20</v>
      </c>
      <c r="M1236">
        <f>Table_TRM_Fixtures[[#This Row],[No. of Lamps  (TRM Data)]]</f>
        <v>6</v>
      </c>
      <c r="N1236">
        <v>24</v>
      </c>
      <c r="O1236" t="s">
        <v>1381</v>
      </c>
      <c r="P1236" t="s">
        <v>2640</v>
      </c>
      <c r="Q1236" t="s">
        <v>5608</v>
      </c>
      <c r="R1236" t="str">
        <f>_xlfn.CONCAT(Table_TRM_Fixtures[[#This Row],[Technology]], ", ", Table_TRM_Fixtures[[#This Row],[Ballast Code]], " Ballast")</f>
        <v>T12, Magnetic STD Ballast</v>
      </c>
      <c r="S1236" t="str">
        <f>Table_TRM_Fixtures[[#This Row],[Description  (TRM Data)]]</f>
        <v>Fluorescent, (6) 24", STD lamps, (2) ballasts</v>
      </c>
      <c r="T1236" t="str">
        <f>Table_TRM_Fixtures[[#This Row],[Fixture code  (TRM Data)]]</f>
        <v>F26SS/2</v>
      </c>
      <c r="U1236" t="s">
        <v>2882</v>
      </c>
      <c r="V1236" t="s">
        <v>186</v>
      </c>
      <c r="W1236" t="s">
        <v>3120</v>
      </c>
      <c r="X1236" t="s">
        <v>186</v>
      </c>
      <c r="Y1236" t="str">
        <f>_xlfn.CONCAT(Table_TRM_Fixtures[[#This Row],[Combined Lighting/Ballast Types]],":",Table_TRM_Fixtures[[#This Row],[No. of Lamps]], ":", Table_TRM_Fixtures[[#This Row],[Lamp Watts  (TRM Data)]])</f>
        <v>T12, Magnetic STD Ballast:6:20</v>
      </c>
      <c r="Z1236"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T12:6:20</v>
      </c>
      <c r="AA1236">
        <f>IF(Table_TRM_Fixtures[[#This Row],[Pre-EISA Baseline]]="Nominal", Table_TRM_Fixtures[[#This Row],[Fixture Watts  (TRM Data)]], Table_TRM_Fixtures[[#This Row],[Modified Baseline Fixture Watts]])</f>
        <v>146</v>
      </c>
    </row>
    <row r="1237" spans="1:27" x14ac:dyDescent="0.2">
      <c r="A1237" t="s">
        <v>2213</v>
      </c>
      <c r="B1237" t="s">
        <v>5758</v>
      </c>
      <c r="C1237" t="s">
        <v>2212</v>
      </c>
      <c r="D1237" t="s">
        <v>5759</v>
      </c>
      <c r="E1237" t="s">
        <v>1309</v>
      </c>
      <c r="F1237">
        <v>1</v>
      </c>
      <c r="G1237">
        <v>35</v>
      </c>
      <c r="H1237">
        <v>62</v>
      </c>
      <c r="I1237">
        <v>8.5</v>
      </c>
      <c r="J1237" s="110">
        <v>1235</v>
      </c>
      <c r="K1237" t="s">
        <v>2196</v>
      </c>
      <c r="L1237">
        <f>IF(Table_TRM_Fixtures[[#This Row],[Technology]]="LED", Table_TRM_Fixtures[[#This Row],[Fixture Watts  (TRM Data)]], Table_TRM_Fixtures[[#This Row],[Lamp Watts  (TRM Data)]])</f>
        <v>35</v>
      </c>
      <c r="M1237">
        <f>Table_TRM_Fixtures[[#This Row],[No. of Lamps  (TRM Data)]]</f>
        <v>1</v>
      </c>
      <c r="N1237">
        <v>24</v>
      </c>
      <c r="O1237" t="s">
        <v>2211</v>
      </c>
      <c r="P1237" t="s">
        <v>2640</v>
      </c>
      <c r="Q1237" t="s">
        <v>5608</v>
      </c>
      <c r="R1237" t="str">
        <f>_xlfn.CONCAT(Table_TRM_Fixtures[[#This Row],[Technology]], ", ", Table_TRM_Fixtures[[#This Row],[Ballast Code]], " Ballast")</f>
        <v>T12, Magnetic STD Ballast</v>
      </c>
      <c r="S1237" t="str">
        <f>Table_TRM_Fixtures[[#This Row],[Description  (TRM Data)]]</f>
        <v>Fluorescent, (1) 24", HO lamp</v>
      </c>
      <c r="T1237" t="str">
        <f>Table_TRM_Fixtures[[#This Row],[Fixture code  (TRM Data)]]</f>
        <v>F21HS</v>
      </c>
      <c r="U1237" t="s">
        <v>2882</v>
      </c>
      <c r="V1237" t="s">
        <v>186</v>
      </c>
      <c r="W1237" t="s">
        <v>3120</v>
      </c>
      <c r="X1237" t="s">
        <v>186</v>
      </c>
      <c r="Y1237" t="str">
        <f>_xlfn.CONCAT(Table_TRM_Fixtures[[#This Row],[Combined Lighting/Ballast Types]],":",Table_TRM_Fixtures[[#This Row],[No. of Lamps]], ":", Table_TRM_Fixtures[[#This Row],[Lamp Watts  (TRM Data)]])</f>
        <v>T12, Magnetic STD Ballast:1:35</v>
      </c>
      <c r="Z1237"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T12:1:35</v>
      </c>
      <c r="AA1237">
        <f>IF(Table_TRM_Fixtures[[#This Row],[Pre-EISA Baseline]]="Nominal", Table_TRM_Fixtures[[#This Row],[Fixture Watts  (TRM Data)]], Table_TRM_Fixtures[[#This Row],[Modified Baseline Fixture Watts]])</f>
        <v>62</v>
      </c>
    </row>
    <row r="1238" spans="1:27" x14ac:dyDescent="0.2">
      <c r="A1238" t="s">
        <v>2215</v>
      </c>
      <c r="B1238" t="s">
        <v>5758</v>
      </c>
      <c r="C1238" t="s">
        <v>2214</v>
      </c>
      <c r="D1238" t="s">
        <v>5760</v>
      </c>
      <c r="E1238" t="s">
        <v>1309</v>
      </c>
      <c r="F1238">
        <v>2</v>
      </c>
      <c r="G1238">
        <v>35</v>
      </c>
      <c r="H1238">
        <v>90</v>
      </c>
      <c r="I1238">
        <v>8.5</v>
      </c>
      <c r="J1238" s="110">
        <v>1236</v>
      </c>
      <c r="K1238" t="s">
        <v>2196</v>
      </c>
      <c r="L1238">
        <f>IF(Table_TRM_Fixtures[[#This Row],[Technology]]="LED", Table_TRM_Fixtures[[#This Row],[Fixture Watts  (TRM Data)]], Table_TRM_Fixtures[[#This Row],[Lamp Watts  (TRM Data)]])</f>
        <v>35</v>
      </c>
      <c r="M1238">
        <f>Table_TRM_Fixtures[[#This Row],[No. of Lamps  (TRM Data)]]</f>
        <v>2</v>
      </c>
      <c r="N1238">
        <v>24</v>
      </c>
      <c r="O1238" t="s">
        <v>2211</v>
      </c>
      <c r="P1238" t="s">
        <v>2640</v>
      </c>
      <c r="Q1238" t="s">
        <v>5608</v>
      </c>
      <c r="R1238" t="str">
        <f>_xlfn.CONCAT(Table_TRM_Fixtures[[#This Row],[Technology]], ", ", Table_TRM_Fixtures[[#This Row],[Ballast Code]], " Ballast")</f>
        <v>T12, Magnetic STD Ballast</v>
      </c>
      <c r="S1238" t="str">
        <f>Table_TRM_Fixtures[[#This Row],[Description  (TRM Data)]]</f>
        <v>Fluorescent, (2) 24", HO lamps</v>
      </c>
      <c r="T1238" t="str">
        <f>Table_TRM_Fixtures[[#This Row],[Fixture code  (TRM Data)]]</f>
        <v>F22HS</v>
      </c>
      <c r="U1238" t="s">
        <v>2882</v>
      </c>
      <c r="V1238" t="s">
        <v>186</v>
      </c>
      <c r="W1238" t="s">
        <v>3120</v>
      </c>
      <c r="X1238" t="s">
        <v>186</v>
      </c>
      <c r="Y1238" t="str">
        <f>_xlfn.CONCAT(Table_TRM_Fixtures[[#This Row],[Combined Lighting/Ballast Types]],":",Table_TRM_Fixtures[[#This Row],[No. of Lamps]], ":", Table_TRM_Fixtures[[#This Row],[Lamp Watts  (TRM Data)]])</f>
        <v>T12, Magnetic STD Ballast:2:35</v>
      </c>
      <c r="Z1238"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T12:2:35</v>
      </c>
      <c r="AA1238">
        <f>IF(Table_TRM_Fixtures[[#This Row],[Pre-EISA Baseline]]="Nominal", Table_TRM_Fixtures[[#This Row],[Fixture Watts  (TRM Data)]], Table_TRM_Fixtures[[#This Row],[Modified Baseline Fixture Watts]])</f>
        <v>90</v>
      </c>
    </row>
    <row r="1239" spans="1:27" x14ac:dyDescent="0.2">
      <c r="A1239" t="s">
        <v>2217</v>
      </c>
      <c r="B1239" t="s">
        <v>5761</v>
      </c>
      <c r="C1239" t="s">
        <v>2216</v>
      </c>
      <c r="D1239" t="s">
        <v>5762</v>
      </c>
      <c r="E1239" t="s">
        <v>187</v>
      </c>
      <c r="F1239">
        <v>2</v>
      </c>
      <c r="G1239">
        <v>25</v>
      </c>
      <c r="H1239">
        <v>50</v>
      </c>
      <c r="I1239">
        <v>15.5</v>
      </c>
      <c r="J1239" s="110">
        <v>1237</v>
      </c>
      <c r="K1239" t="s">
        <v>2196</v>
      </c>
      <c r="L1239">
        <f>IF(Table_TRM_Fixtures[[#This Row],[Technology]]="LED", Table_TRM_Fixtures[[#This Row],[Fixture Watts  (TRM Data)]], Table_TRM_Fixtures[[#This Row],[Lamp Watts  (TRM Data)]])</f>
        <v>25</v>
      </c>
      <c r="M1239">
        <f>Table_TRM_Fixtures[[#This Row],[No. of Lamps  (TRM Data)]]</f>
        <v>2</v>
      </c>
      <c r="N1239">
        <v>36</v>
      </c>
      <c r="O1239" t="s">
        <v>1381</v>
      </c>
      <c r="P1239" t="s">
        <v>187</v>
      </c>
      <c r="Q1239" t="s">
        <v>5612</v>
      </c>
      <c r="R1239" t="str">
        <f>_xlfn.CONCAT(Table_TRM_Fixtures[[#This Row],[Technology]], " ", Table_TRM_Fixtures[[#This Row],[Ballast Code]], " Ballast")</f>
        <v>T12 Electronic STD Ballast</v>
      </c>
      <c r="S1239" t="str">
        <f>Table_TRM_Fixtures[[#This Row],[Description  (TRM Data)]]</f>
        <v>Fluorescent, (2) 36" ES lamps, Tandem 4-lamp ballast, NLO (0.85 &lt; BF &lt; 0.95)</v>
      </c>
      <c r="T1239" t="str">
        <f>Table_TRM_Fixtures[[#This Row],[Fixture code  (TRM Data)]]</f>
        <v>F32EL/T4</v>
      </c>
      <c r="U1239" t="s">
        <v>2883</v>
      </c>
      <c r="V1239" t="s">
        <v>5562</v>
      </c>
      <c r="W1239" t="s">
        <v>3120</v>
      </c>
      <c r="X1239" t="s">
        <v>186</v>
      </c>
      <c r="AA1239">
        <f>IF(Table_TRM_Fixtures[[#This Row],[Pre-EISA Baseline]]="Nominal", Table_TRM_Fixtures[[#This Row],[Fixture Watts  (TRM Data)]], Table_TRM_Fixtures[[#This Row],[Modified Baseline Fixture Watts]])</f>
        <v>50</v>
      </c>
    </row>
    <row r="1240" spans="1:27" x14ac:dyDescent="0.2">
      <c r="A1240" t="s">
        <v>2219</v>
      </c>
      <c r="B1240" t="s">
        <v>5761</v>
      </c>
      <c r="C1240" t="s">
        <v>2218</v>
      </c>
      <c r="D1240" t="s">
        <v>5763</v>
      </c>
      <c r="E1240" t="s">
        <v>187</v>
      </c>
      <c r="F1240">
        <v>1</v>
      </c>
      <c r="G1240">
        <v>25</v>
      </c>
      <c r="H1240">
        <v>25</v>
      </c>
      <c r="I1240">
        <v>15.5</v>
      </c>
      <c r="J1240" s="110">
        <v>1238</v>
      </c>
      <c r="K1240" t="s">
        <v>2196</v>
      </c>
      <c r="L1240">
        <f>IF(Table_TRM_Fixtures[[#This Row],[Technology]]="LED", Table_TRM_Fixtures[[#This Row],[Fixture Watts  (TRM Data)]], Table_TRM_Fixtures[[#This Row],[Lamp Watts  (TRM Data)]])</f>
        <v>25</v>
      </c>
      <c r="M1240">
        <f>Table_TRM_Fixtures[[#This Row],[No. of Lamps  (TRM Data)]]</f>
        <v>1</v>
      </c>
      <c r="N1240">
        <v>48</v>
      </c>
      <c r="O1240" t="s">
        <v>1381</v>
      </c>
      <c r="P1240" t="s">
        <v>187</v>
      </c>
      <c r="Q1240" t="s">
        <v>5612</v>
      </c>
      <c r="R1240" t="str">
        <f>_xlfn.CONCAT(Table_TRM_Fixtures[[#This Row],[Technology]], ", ", Table_TRM_Fixtures[[#This Row],[Ballast Code]], " Ballast")</f>
        <v>T12, Electronic STD Ballast</v>
      </c>
      <c r="S1240" t="str">
        <f>Table_TRM_Fixtures[[#This Row],[Description  (TRM Data)]]</f>
        <v>Fluorescent, (1) 48", F25T12 lamp, Instant Start Ballast</v>
      </c>
      <c r="T1240" t="str">
        <f>Table_TRM_Fixtures[[#This Row],[Fixture code  (TRM Data)]]</f>
        <v>F41IAL</v>
      </c>
      <c r="U1240" t="s">
        <v>2882</v>
      </c>
      <c r="V1240" t="s">
        <v>186</v>
      </c>
      <c r="W1240" t="s">
        <v>5764</v>
      </c>
      <c r="X1240">
        <v>31</v>
      </c>
      <c r="Y1240" t="str">
        <f>_xlfn.CONCAT(Table_TRM_Fixtures[[#This Row],[Combined Lighting/Ballast Types]],":",Table_TRM_Fixtures[[#This Row],[No. of Lamps]], ":", Table_TRM_Fixtures[[#This Row],[Lamp Watts  (TRM Data)]])</f>
        <v>T12, Electronic STD Ballast:1:25</v>
      </c>
      <c r="Z1240"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T12:1:25</v>
      </c>
      <c r="AA1240">
        <f>IF(Table_TRM_Fixtures[[#This Row],[Pre-EISA Baseline]]="Nominal", Table_TRM_Fixtures[[#This Row],[Fixture Watts  (TRM Data)]], Table_TRM_Fixtures[[#This Row],[Modified Baseline Fixture Watts]])</f>
        <v>31</v>
      </c>
    </row>
    <row r="1241" spans="1:27" x14ac:dyDescent="0.2">
      <c r="A1241" t="s">
        <v>2221</v>
      </c>
      <c r="B1241" t="s">
        <v>5761</v>
      </c>
      <c r="C1241" t="s">
        <v>2220</v>
      </c>
      <c r="D1241" t="s">
        <v>5765</v>
      </c>
      <c r="E1241" t="s">
        <v>187</v>
      </c>
      <c r="F1241">
        <v>1</v>
      </c>
      <c r="G1241">
        <v>25</v>
      </c>
      <c r="H1241">
        <v>19</v>
      </c>
      <c r="I1241">
        <v>15.5</v>
      </c>
      <c r="J1241" s="110">
        <v>1239</v>
      </c>
      <c r="K1241" t="s">
        <v>2196</v>
      </c>
      <c r="L1241">
        <f>IF(Table_TRM_Fixtures[[#This Row],[Technology]]="LED", Table_TRM_Fixtures[[#This Row],[Fixture Watts  (TRM Data)]], Table_TRM_Fixtures[[#This Row],[Lamp Watts  (TRM Data)]])</f>
        <v>25</v>
      </c>
      <c r="M1241">
        <f>Table_TRM_Fixtures[[#This Row],[No. of Lamps  (TRM Data)]]</f>
        <v>1</v>
      </c>
      <c r="N1241">
        <v>48</v>
      </c>
      <c r="O1241" t="s">
        <v>1381</v>
      </c>
      <c r="P1241" t="s">
        <v>187</v>
      </c>
      <c r="Q1241" t="s">
        <v>5614</v>
      </c>
      <c r="R1241" t="str">
        <f>_xlfn.CONCAT(Table_TRM_Fixtures[[#This Row],[Technology]], ", ", Table_TRM_Fixtures[[#This Row],[Ballast Code]], " Ballast")</f>
        <v>T12, Electronic RLO Ballast</v>
      </c>
      <c r="S1241" t="str">
        <f>Table_TRM_Fixtures[[#This Row],[Description  (TRM Data)]]</f>
        <v>Fluorescent, (1) 48", F25T12 lamp, Tandem 2-Lamp IS ballast, RLO (BF &lt; 0.85)</v>
      </c>
      <c r="T1241" t="str">
        <f>Table_TRM_Fixtures[[#This Row],[Fixture code  (TRM Data)]]</f>
        <v>F41IAL/T2-R</v>
      </c>
      <c r="U1241" t="s">
        <v>2882</v>
      </c>
      <c r="V1241" t="s">
        <v>186</v>
      </c>
      <c r="W1241" t="s">
        <v>5764</v>
      </c>
      <c r="X1241">
        <v>31</v>
      </c>
      <c r="Y1241" t="str">
        <f>_xlfn.CONCAT(Table_TRM_Fixtures[[#This Row],[Combined Lighting/Ballast Types]],":",Table_TRM_Fixtures[[#This Row],[No. of Lamps]], ":", Table_TRM_Fixtures[[#This Row],[Lamp Watts  (TRM Data)]])</f>
        <v>T12, Electronic RLO Ballast:1:25</v>
      </c>
      <c r="Z1241" t="s">
        <v>4815</v>
      </c>
      <c r="AA1241">
        <f>IF(Table_TRM_Fixtures[[#This Row],[Pre-EISA Baseline]]="Nominal", Table_TRM_Fixtures[[#This Row],[Fixture Watts  (TRM Data)]], Table_TRM_Fixtures[[#This Row],[Modified Baseline Fixture Watts]])</f>
        <v>31</v>
      </c>
    </row>
    <row r="1242" spans="1:27" x14ac:dyDescent="0.2">
      <c r="A1242" t="s">
        <v>2223</v>
      </c>
      <c r="B1242" t="s">
        <v>5761</v>
      </c>
      <c r="C1242" t="s">
        <v>2222</v>
      </c>
      <c r="D1242" t="s">
        <v>5765</v>
      </c>
      <c r="E1242" t="s">
        <v>187</v>
      </c>
      <c r="F1242">
        <v>1</v>
      </c>
      <c r="G1242">
        <v>25</v>
      </c>
      <c r="H1242">
        <v>20</v>
      </c>
      <c r="I1242">
        <v>15.5</v>
      </c>
      <c r="J1242" s="110">
        <v>1240</v>
      </c>
      <c r="K1242" t="s">
        <v>2196</v>
      </c>
      <c r="L1242">
        <f>IF(Table_TRM_Fixtures[[#This Row],[Technology]]="LED", Table_TRM_Fixtures[[#This Row],[Fixture Watts  (TRM Data)]], Table_TRM_Fixtures[[#This Row],[Lamp Watts  (TRM Data)]])</f>
        <v>25</v>
      </c>
      <c r="M1242">
        <f>Table_TRM_Fixtures[[#This Row],[No. of Lamps  (TRM Data)]]</f>
        <v>1</v>
      </c>
      <c r="N1242">
        <v>48</v>
      </c>
      <c r="O1242" t="s">
        <v>1381</v>
      </c>
      <c r="P1242" t="s">
        <v>187</v>
      </c>
      <c r="Q1242" t="s">
        <v>5614</v>
      </c>
      <c r="R1242" t="str">
        <f>_xlfn.CONCAT(Table_TRM_Fixtures[[#This Row],[Technology]], ", ", Table_TRM_Fixtures[[#This Row],[Ballast Code]], " Ballast")</f>
        <v>T12, Electronic RLO Ballast</v>
      </c>
      <c r="S1242" t="str">
        <f>Table_TRM_Fixtures[[#This Row],[Description  (TRM Data)]]</f>
        <v>Fluorescent, (1) 48", F25T12 lamp, Tandem 3-Lamp IS ballast, RLO (BF &lt; 0.85)</v>
      </c>
      <c r="T1242" t="str">
        <f>Table_TRM_Fixtures[[#This Row],[Fixture code  (TRM Data)]]</f>
        <v>F41IAL/T3-R</v>
      </c>
      <c r="U1242" t="s">
        <v>2882</v>
      </c>
      <c r="V1242" t="s">
        <v>186</v>
      </c>
      <c r="W1242" t="s">
        <v>5764</v>
      </c>
      <c r="X1242">
        <v>31</v>
      </c>
      <c r="Y1242" t="s">
        <v>4815</v>
      </c>
      <c r="Z1242" t="s">
        <v>4815</v>
      </c>
      <c r="AA1242">
        <f>IF(Table_TRM_Fixtures[[#This Row],[Pre-EISA Baseline]]="Nominal", Table_TRM_Fixtures[[#This Row],[Fixture Watts  (TRM Data)]], Table_TRM_Fixtures[[#This Row],[Modified Baseline Fixture Watts]])</f>
        <v>31</v>
      </c>
    </row>
    <row r="1243" spans="1:27" x14ac:dyDescent="0.2">
      <c r="A1243" t="s">
        <v>2225</v>
      </c>
      <c r="B1243" t="s">
        <v>5761</v>
      </c>
      <c r="C1243" t="s">
        <v>2224</v>
      </c>
      <c r="D1243" t="s">
        <v>5765</v>
      </c>
      <c r="E1243" t="s">
        <v>187</v>
      </c>
      <c r="F1243">
        <v>1</v>
      </c>
      <c r="G1243">
        <v>25</v>
      </c>
      <c r="H1243">
        <v>20</v>
      </c>
      <c r="I1243">
        <v>15.5</v>
      </c>
      <c r="J1243" s="110">
        <v>1241</v>
      </c>
      <c r="K1243" t="s">
        <v>2196</v>
      </c>
      <c r="L1243">
        <f>IF(Table_TRM_Fixtures[[#This Row],[Technology]]="LED", Table_TRM_Fixtures[[#This Row],[Fixture Watts  (TRM Data)]], Table_TRM_Fixtures[[#This Row],[Lamp Watts  (TRM Data)]])</f>
        <v>25</v>
      </c>
      <c r="M1243">
        <f>Table_TRM_Fixtures[[#This Row],[No. of Lamps  (TRM Data)]]</f>
        <v>1</v>
      </c>
      <c r="N1243">
        <v>48</v>
      </c>
      <c r="O1243" t="s">
        <v>1381</v>
      </c>
      <c r="P1243" t="s">
        <v>187</v>
      </c>
      <c r="Q1243" t="s">
        <v>5614</v>
      </c>
      <c r="R1243" t="str">
        <f>_xlfn.CONCAT(Table_TRM_Fixtures[[#This Row],[Technology]], ", ", Table_TRM_Fixtures[[#This Row],[Ballast Code]], " Ballast")</f>
        <v>T12, Electronic RLO Ballast</v>
      </c>
      <c r="S1243" t="str">
        <f>Table_TRM_Fixtures[[#This Row],[Description  (TRM Data)]]</f>
        <v>Fluorescent, (1) 48", F25T12 lamp, Tandem 4-Lamp IS ballast, RLO (BF &lt; 0.85)</v>
      </c>
      <c r="T1243" t="str">
        <f>Table_TRM_Fixtures[[#This Row],[Fixture code  (TRM Data)]]</f>
        <v>F41IAL/T4-R</v>
      </c>
      <c r="U1243" t="s">
        <v>2882</v>
      </c>
      <c r="V1243" t="s">
        <v>186</v>
      </c>
      <c r="W1243" t="s">
        <v>5764</v>
      </c>
      <c r="X1243">
        <v>31</v>
      </c>
      <c r="Y1243" t="s">
        <v>4815</v>
      </c>
      <c r="Z1243" t="s">
        <v>4815</v>
      </c>
      <c r="AA1243">
        <f>IF(Table_TRM_Fixtures[[#This Row],[Pre-EISA Baseline]]="Nominal", Table_TRM_Fixtures[[#This Row],[Fixture Watts  (TRM Data)]], Table_TRM_Fixtures[[#This Row],[Modified Baseline Fixture Watts]])</f>
        <v>31</v>
      </c>
    </row>
    <row r="1244" spans="1:27" x14ac:dyDescent="0.2">
      <c r="A1244" t="s">
        <v>2227</v>
      </c>
      <c r="B1244" t="s">
        <v>5761</v>
      </c>
      <c r="C1244" t="s">
        <v>2226</v>
      </c>
      <c r="D1244" t="s">
        <v>5766</v>
      </c>
      <c r="E1244" t="s">
        <v>187</v>
      </c>
      <c r="F1244">
        <v>2</v>
      </c>
      <c r="G1244">
        <v>25</v>
      </c>
      <c r="H1244">
        <v>39</v>
      </c>
      <c r="I1244">
        <v>15.5</v>
      </c>
      <c r="J1244" s="110">
        <v>1242</v>
      </c>
      <c r="K1244" t="s">
        <v>2196</v>
      </c>
      <c r="L1244">
        <f>IF(Table_TRM_Fixtures[[#This Row],[Technology]]="LED", Table_TRM_Fixtures[[#This Row],[Fixture Watts  (TRM Data)]], Table_TRM_Fixtures[[#This Row],[Lamp Watts  (TRM Data)]])</f>
        <v>25</v>
      </c>
      <c r="M1244">
        <f>Table_TRM_Fixtures[[#This Row],[No. of Lamps  (TRM Data)]]</f>
        <v>2</v>
      </c>
      <c r="N1244">
        <v>48</v>
      </c>
      <c r="O1244" t="s">
        <v>1381</v>
      </c>
      <c r="P1244" t="s">
        <v>187</v>
      </c>
      <c r="Q1244" t="s">
        <v>5614</v>
      </c>
      <c r="R1244" t="str">
        <f>_xlfn.CONCAT(Table_TRM_Fixtures[[#This Row],[Technology]], ", ", Table_TRM_Fixtures[[#This Row],[Ballast Code]], " Ballast")</f>
        <v>T12, Electronic RLO Ballast</v>
      </c>
      <c r="S1244" t="str">
        <f>Table_TRM_Fixtures[[#This Row],[Description  (TRM Data)]]</f>
        <v>Fluorescent, (2) 48", F25T12 lamps, Instant Start Ballast, RLO (BF &lt; 0.85)</v>
      </c>
      <c r="T1244" t="str">
        <f>Table_TRM_Fixtures[[#This Row],[Fixture code  (TRM Data)]]</f>
        <v>F42IAL-R</v>
      </c>
      <c r="U1244" t="s">
        <v>2882</v>
      </c>
      <c r="V1244" t="s">
        <v>186</v>
      </c>
      <c r="W1244" t="s">
        <v>5764</v>
      </c>
      <c r="X1244">
        <v>58</v>
      </c>
      <c r="Y1244" t="s">
        <v>4815</v>
      </c>
      <c r="Z1244" t="s">
        <v>4815</v>
      </c>
      <c r="AA1244">
        <f>IF(Table_TRM_Fixtures[[#This Row],[Pre-EISA Baseline]]="Nominal", Table_TRM_Fixtures[[#This Row],[Fixture Watts  (TRM Data)]], Table_TRM_Fixtures[[#This Row],[Modified Baseline Fixture Watts]])</f>
        <v>58</v>
      </c>
    </row>
    <row r="1245" spans="1:27" x14ac:dyDescent="0.2">
      <c r="A1245" t="s">
        <v>2229</v>
      </c>
      <c r="B1245" t="s">
        <v>5761</v>
      </c>
      <c r="C1245" t="s">
        <v>2228</v>
      </c>
      <c r="D1245" t="s">
        <v>5766</v>
      </c>
      <c r="E1245" t="s">
        <v>187</v>
      </c>
      <c r="F1245">
        <v>2</v>
      </c>
      <c r="G1245">
        <v>25</v>
      </c>
      <c r="H1245">
        <v>40</v>
      </c>
      <c r="I1245">
        <v>15.5</v>
      </c>
      <c r="J1245" s="110">
        <v>1243</v>
      </c>
      <c r="K1245" t="s">
        <v>2196</v>
      </c>
      <c r="L1245">
        <f>IF(Table_TRM_Fixtures[[#This Row],[Technology]]="LED", Table_TRM_Fixtures[[#This Row],[Fixture Watts  (TRM Data)]], Table_TRM_Fixtures[[#This Row],[Lamp Watts  (TRM Data)]])</f>
        <v>25</v>
      </c>
      <c r="M1245">
        <f>Table_TRM_Fixtures[[#This Row],[No. of Lamps  (TRM Data)]]</f>
        <v>2</v>
      </c>
      <c r="N1245">
        <v>48</v>
      </c>
      <c r="O1245" t="s">
        <v>1381</v>
      </c>
      <c r="P1245" t="s">
        <v>187</v>
      </c>
      <c r="Q1245" t="s">
        <v>5614</v>
      </c>
      <c r="R1245" t="str">
        <f>_xlfn.CONCAT(Table_TRM_Fixtures[[#This Row],[Technology]], ", ", Table_TRM_Fixtures[[#This Row],[Ballast Code]], " Ballast")</f>
        <v>T12, Electronic RLO Ballast</v>
      </c>
      <c r="S1245" t="str">
        <f>Table_TRM_Fixtures[[#This Row],[Description  (TRM Data)]]</f>
        <v>Fluorescent, (2) 48", F25T12 lamps, Tandem 4-lamp IS Ballast, RLO (BF &lt; 0.85)</v>
      </c>
      <c r="T1245" t="str">
        <f>Table_TRM_Fixtures[[#This Row],[Fixture code  (TRM Data)]]</f>
        <v>F42IAL/T4-R</v>
      </c>
      <c r="U1245" t="s">
        <v>2882</v>
      </c>
      <c r="V1245" t="s">
        <v>186</v>
      </c>
      <c r="W1245" t="s">
        <v>5764</v>
      </c>
      <c r="X1245">
        <v>58</v>
      </c>
      <c r="Y1245" t="str">
        <f>_xlfn.CONCAT(Table_TRM_Fixtures[[#This Row],[Combined Lighting/Ballast Types]],":",Table_TRM_Fixtures[[#This Row],[No. of Lamps]], ":", Table_TRM_Fixtures[[#This Row],[Lamp Watts  (TRM Data)]])</f>
        <v>T12, Electronic RLO Ballast:2:25</v>
      </c>
      <c r="Z1245"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T12:2:25</v>
      </c>
      <c r="AA1245">
        <f>IF(Table_TRM_Fixtures[[#This Row],[Pre-EISA Baseline]]="Nominal", Table_TRM_Fixtures[[#This Row],[Fixture Watts  (TRM Data)]], Table_TRM_Fixtures[[#This Row],[Modified Baseline Fixture Watts]])</f>
        <v>58</v>
      </c>
    </row>
    <row r="1246" spans="1:27" x14ac:dyDescent="0.2">
      <c r="A1246" t="s">
        <v>2231</v>
      </c>
      <c r="B1246" t="s">
        <v>5761</v>
      </c>
      <c r="C1246" t="s">
        <v>2230</v>
      </c>
      <c r="D1246" t="s">
        <v>5767</v>
      </c>
      <c r="E1246" t="s">
        <v>187</v>
      </c>
      <c r="F1246">
        <v>3</v>
      </c>
      <c r="G1246">
        <v>25</v>
      </c>
      <c r="H1246">
        <v>60</v>
      </c>
      <c r="I1246">
        <v>15.5</v>
      </c>
      <c r="J1246" s="110">
        <v>1244</v>
      </c>
      <c r="K1246" t="s">
        <v>2196</v>
      </c>
      <c r="L1246">
        <f>IF(Table_TRM_Fixtures[[#This Row],[Technology]]="LED", Table_TRM_Fixtures[[#This Row],[Fixture Watts  (TRM Data)]], Table_TRM_Fixtures[[#This Row],[Lamp Watts  (TRM Data)]])</f>
        <v>25</v>
      </c>
      <c r="M1246">
        <f>Table_TRM_Fixtures[[#This Row],[No. of Lamps  (TRM Data)]]</f>
        <v>3</v>
      </c>
      <c r="N1246">
        <v>48</v>
      </c>
      <c r="O1246" t="s">
        <v>1381</v>
      </c>
      <c r="P1246" t="s">
        <v>187</v>
      </c>
      <c r="Q1246" t="s">
        <v>5614</v>
      </c>
      <c r="R1246" t="str">
        <f>_xlfn.CONCAT(Table_TRM_Fixtures[[#This Row],[Technology]], ", ", Table_TRM_Fixtures[[#This Row],[Ballast Code]], " Ballast")</f>
        <v>T12, Electronic RLO Ballast</v>
      </c>
      <c r="S1246" t="str">
        <f>Table_TRM_Fixtures[[#This Row],[Description  (TRM Data)]]</f>
        <v>Fluorescent, (3) 48", F25T12 lamps, Instant Start Ballast, RLO (BF &lt; 0.85)</v>
      </c>
      <c r="T1246" t="str">
        <f>Table_TRM_Fixtures[[#This Row],[Fixture code  (TRM Data)]]</f>
        <v>F43IAL-R</v>
      </c>
      <c r="U1246" t="s">
        <v>2882</v>
      </c>
      <c r="V1246" t="s">
        <v>186</v>
      </c>
      <c r="W1246" t="s">
        <v>5764</v>
      </c>
      <c r="X1246">
        <v>85</v>
      </c>
      <c r="Y1246" t="str">
        <f>_xlfn.CONCAT(Table_TRM_Fixtures[[#This Row],[Combined Lighting/Ballast Types]],":",Table_TRM_Fixtures[[#This Row],[No. of Lamps]], ":", Table_TRM_Fixtures[[#This Row],[Lamp Watts  (TRM Data)]])</f>
        <v>T12, Electronic RLO Ballast:3:25</v>
      </c>
      <c r="Z1246"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T12:3:25</v>
      </c>
      <c r="AA1246">
        <f>IF(Table_TRM_Fixtures[[#This Row],[Pre-EISA Baseline]]="Nominal", Table_TRM_Fixtures[[#This Row],[Fixture Watts  (TRM Data)]], Table_TRM_Fixtures[[#This Row],[Modified Baseline Fixture Watts]])</f>
        <v>85</v>
      </c>
    </row>
    <row r="1247" spans="1:27" x14ac:dyDescent="0.2">
      <c r="A1247" t="s">
        <v>2233</v>
      </c>
      <c r="B1247" t="s">
        <v>5761</v>
      </c>
      <c r="C1247" t="s">
        <v>2232</v>
      </c>
      <c r="D1247" t="s">
        <v>5768</v>
      </c>
      <c r="E1247" t="s">
        <v>187</v>
      </c>
      <c r="F1247">
        <v>4</v>
      </c>
      <c r="G1247">
        <v>25</v>
      </c>
      <c r="H1247">
        <v>80</v>
      </c>
      <c r="I1247">
        <v>15.5</v>
      </c>
      <c r="J1247" s="110">
        <v>1245</v>
      </c>
      <c r="K1247" t="s">
        <v>2196</v>
      </c>
      <c r="L1247">
        <f>IF(Table_TRM_Fixtures[[#This Row],[Technology]]="LED", Table_TRM_Fixtures[[#This Row],[Fixture Watts  (TRM Data)]], Table_TRM_Fixtures[[#This Row],[Lamp Watts  (TRM Data)]])</f>
        <v>25</v>
      </c>
      <c r="M1247">
        <f>Table_TRM_Fixtures[[#This Row],[No. of Lamps  (TRM Data)]]</f>
        <v>4</v>
      </c>
      <c r="N1247">
        <v>48</v>
      </c>
      <c r="O1247" t="s">
        <v>1381</v>
      </c>
      <c r="P1247" t="s">
        <v>187</v>
      </c>
      <c r="Q1247" t="s">
        <v>5614</v>
      </c>
      <c r="R1247" t="str">
        <f>_xlfn.CONCAT(Table_TRM_Fixtures[[#This Row],[Technology]], ", ", Table_TRM_Fixtures[[#This Row],[Ballast Code]], " Ballast")</f>
        <v>T12, Electronic RLO Ballast</v>
      </c>
      <c r="S1247" t="str">
        <f>Table_TRM_Fixtures[[#This Row],[Description  (TRM Data)]]</f>
        <v>Fluorescent, (4) 48", F25T12 lamps, Instant Start Ballast, RLO (BF &lt; 0.85)</v>
      </c>
      <c r="T1247" t="str">
        <f>Table_TRM_Fixtures[[#This Row],[Fixture code  (TRM Data)]]</f>
        <v>F44IAL-R</v>
      </c>
      <c r="U1247" t="s">
        <v>2882</v>
      </c>
      <c r="V1247" t="s">
        <v>186</v>
      </c>
      <c r="W1247" t="s">
        <v>5764</v>
      </c>
      <c r="X1247">
        <v>112</v>
      </c>
      <c r="Y1247" t="str">
        <f>_xlfn.CONCAT(Table_TRM_Fixtures[[#This Row],[Combined Lighting/Ballast Types]],":",Table_TRM_Fixtures[[#This Row],[No. of Lamps]], ":", Table_TRM_Fixtures[[#This Row],[Lamp Watts  (TRM Data)]])</f>
        <v>T12, Electronic RLO Ballast:4:25</v>
      </c>
      <c r="Z1247"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T12:4:25</v>
      </c>
      <c r="AA1247">
        <f>IF(Table_TRM_Fixtures[[#This Row],[Pre-EISA Baseline]]="Nominal", Table_TRM_Fixtures[[#This Row],[Fixture Watts  (TRM Data)]], Table_TRM_Fixtures[[#This Row],[Modified Baseline Fixture Watts]])</f>
        <v>112</v>
      </c>
    </row>
    <row r="1248" spans="1:27" x14ac:dyDescent="0.2">
      <c r="A1248" t="s">
        <v>2235</v>
      </c>
      <c r="B1248" t="s">
        <v>5769</v>
      </c>
      <c r="C1248" t="s">
        <v>2234</v>
      </c>
      <c r="D1248" t="s">
        <v>5770</v>
      </c>
      <c r="E1248" t="s">
        <v>1722</v>
      </c>
      <c r="F1248">
        <v>1</v>
      </c>
      <c r="G1248">
        <v>30</v>
      </c>
      <c r="H1248">
        <v>37</v>
      </c>
      <c r="I1248">
        <v>8.5</v>
      </c>
      <c r="J1248" s="110">
        <v>1246</v>
      </c>
      <c r="K1248" t="s">
        <v>2196</v>
      </c>
      <c r="L1248">
        <f>IF(Table_TRM_Fixtures[[#This Row],[Technology]]="LED", Table_TRM_Fixtures[[#This Row],[Fixture Watts  (TRM Data)]], Table_TRM_Fixtures[[#This Row],[Lamp Watts  (TRM Data)]])</f>
        <v>30</v>
      </c>
      <c r="M1248">
        <f>Table_TRM_Fixtures[[#This Row],[No. of Lamps  (TRM Data)]]</f>
        <v>1</v>
      </c>
      <c r="N1248">
        <v>36</v>
      </c>
      <c r="O1248" t="s">
        <v>1381</v>
      </c>
      <c r="P1248" t="s">
        <v>2640</v>
      </c>
      <c r="Q1248" t="s">
        <v>5608</v>
      </c>
      <c r="R1248" t="str">
        <f>_xlfn.CONCAT(Table_TRM_Fixtures[[#This Row],[Technology]], " ", Table_TRM_Fixtures[[#This Row],[Ballast Code]], " Ballast")</f>
        <v>T12 Magnetic STD Ballast</v>
      </c>
      <c r="S1248" t="str">
        <f>Table_TRM_Fixtures[[#This Row],[Description  (TRM Data)]]</f>
        <v>Fluorescent, (1) 36", STD lamp, Tandem 2-lamp ballast</v>
      </c>
      <c r="T1248" t="str">
        <f>Table_TRM_Fixtures[[#This Row],[Fixture code  (TRM Data)]]</f>
        <v>F31SE/T2</v>
      </c>
      <c r="U1248" t="s">
        <v>2883</v>
      </c>
      <c r="V1248" t="s">
        <v>5562</v>
      </c>
      <c r="W1248" t="s">
        <v>3120</v>
      </c>
      <c r="X1248" t="s">
        <v>186</v>
      </c>
      <c r="AA1248">
        <f>IF(Table_TRM_Fixtures[[#This Row],[Pre-EISA Baseline]]="Nominal", Table_TRM_Fixtures[[#This Row],[Fixture Watts  (TRM Data)]], Table_TRM_Fixtures[[#This Row],[Modified Baseline Fixture Watts]])</f>
        <v>37</v>
      </c>
    </row>
    <row r="1249" spans="1:27" x14ac:dyDescent="0.2">
      <c r="A1249" t="s">
        <v>2237</v>
      </c>
      <c r="B1249" t="s">
        <v>5769</v>
      </c>
      <c r="C1249" t="s">
        <v>2236</v>
      </c>
      <c r="D1249" t="s">
        <v>5770</v>
      </c>
      <c r="E1249" t="s">
        <v>187</v>
      </c>
      <c r="F1249">
        <v>1</v>
      </c>
      <c r="G1249">
        <v>30</v>
      </c>
      <c r="H1249">
        <v>31</v>
      </c>
      <c r="I1249">
        <v>15.5</v>
      </c>
      <c r="J1249" s="110">
        <v>1247</v>
      </c>
      <c r="K1249" t="s">
        <v>2196</v>
      </c>
      <c r="L1249">
        <f>IF(Table_TRM_Fixtures[[#This Row],[Technology]]="LED", Table_TRM_Fixtures[[#This Row],[Fixture Watts  (TRM Data)]], Table_TRM_Fixtures[[#This Row],[Lamp Watts  (TRM Data)]])</f>
        <v>30</v>
      </c>
      <c r="M1249">
        <f>Table_TRM_Fixtures[[#This Row],[No. of Lamps  (TRM Data)]]</f>
        <v>1</v>
      </c>
      <c r="N1249">
        <v>36</v>
      </c>
      <c r="O1249" t="s">
        <v>1381</v>
      </c>
      <c r="P1249" t="s">
        <v>187</v>
      </c>
      <c r="Q1249" t="s">
        <v>5612</v>
      </c>
      <c r="R1249" t="str">
        <f>_xlfn.CONCAT(Table_TRM_Fixtures[[#This Row],[Technology]], " ", Table_TRM_Fixtures[[#This Row],[Ballast Code]], " Ballast")</f>
        <v>T12 Electronic STD Ballast</v>
      </c>
      <c r="S1249" t="str">
        <f>Table_TRM_Fixtures[[#This Row],[Description  (TRM Data)]]</f>
        <v>Fluorescent, (1) 36", STD lamp</v>
      </c>
      <c r="T1249" t="str">
        <f>Table_TRM_Fixtures[[#This Row],[Fixture code  (TRM Data)]]</f>
        <v>F31SL</v>
      </c>
      <c r="U1249" t="s">
        <v>2883</v>
      </c>
      <c r="V1249" t="s">
        <v>5562</v>
      </c>
      <c r="W1249" t="s">
        <v>3120</v>
      </c>
      <c r="X1249" t="s">
        <v>186</v>
      </c>
      <c r="AA1249">
        <f>IF(Table_TRM_Fixtures[[#This Row],[Pre-EISA Baseline]]="Nominal", Table_TRM_Fixtures[[#This Row],[Fixture Watts  (TRM Data)]], Table_TRM_Fixtures[[#This Row],[Modified Baseline Fixture Watts]])</f>
        <v>31</v>
      </c>
    </row>
    <row r="1250" spans="1:27" x14ac:dyDescent="0.2">
      <c r="A1250" t="s">
        <v>2238</v>
      </c>
      <c r="B1250" t="s">
        <v>5769</v>
      </c>
      <c r="C1250" t="s">
        <v>2236</v>
      </c>
      <c r="D1250" t="s">
        <v>5770</v>
      </c>
      <c r="E1250" t="s">
        <v>1309</v>
      </c>
      <c r="F1250">
        <v>1</v>
      </c>
      <c r="G1250">
        <v>30</v>
      </c>
      <c r="H1250">
        <v>46</v>
      </c>
      <c r="I1250">
        <v>8.5</v>
      </c>
      <c r="J1250" s="110">
        <v>1248</v>
      </c>
      <c r="K1250" t="s">
        <v>2196</v>
      </c>
      <c r="L1250">
        <f>IF(Table_TRM_Fixtures[[#This Row],[Technology]]="LED", Table_TRM_Fixtures[[#This Row],[Fixture Watts  (TRM Data)]], Table_TRM_Fixtures[[#This Row],[Lamp Watts  (TRM Data)]])</f>
        <v>30</v>
      </c>
      <c r="M1250">
        <f>Table_TRM_Fixtures[[#This Row],[No. of Lamps  (TRM Data)]]</f>
        <v>1</v>
      </c>
      <c r="N1250">
        <v>36</v>
      </c>
      <c r="O1250" t="s">
        <v>1381</v>
      </c>
      <c r="P1250" t="s">
        <v>2640</v>
      </c>
      <c r="Q1250" t="s">
        <v>5608</v>
      </c>
      <c r="R1250" t="str">
        <f>_xlfn.CONCAT(Table_TRM_Fixtures[[#This Row],[Technology]], " ", Table_TRM_Fixtures[[#This Row],[Ballast Code]], " Ballast")</f>
        <v>T12 Magnetic STD Ballast</v>
      </c>
      <c r="S1250" t="str">
        <f>Table_TRM_Fixtures[[#This Row],[Description  (TRM Data)]]</f>
        <v>Fluorescent, (1) 36", STD lamp</v>
      </c>
      <c r="T1250" t="str">
        <f>Table_TRM_Fixtures[[#This Row],[Fixture code  (TRM Data)]]</f>
        <v>F31SS</v>
      </c>
      <c r="U1250" t="s">
        <v>2883</v>
      </c>
      <c r="V1250" t="s">
        <v>5562</v>
      </c>
      <c r="W1250" t="s">
        <v>3120</v>
      </c>
      <c r="X1250" t="s">
        <v>186</v>
      </c>
      <c r="AA1250">
        <f>IF(Table_TRM_Fixtures[[#This Row],[Pre-EISA Baseline]]="Nominal", Table_TRM_Fixtures[[#This Row],[Fixture Watts  (TRM Data)]], Table_TRM_Fixtures[[#This Row],[Modified Baseline Fixture Watts]])</f>
        <v>46</v>
      </c>
    </row>
    <row r="1251" spans="1:27" x14ac:dyDescent="0.2">
      <c r="A1251" t="s">
        <v>2239</v>
      </c>
      <c r="B1251" t="s">
        <v>5769</v>
      </c>
      <c r="C1251" t="s">
        <v>2234</v>
      </c>
      <c r="D1251" t="s">
        <v>5770</v>
      </c>
      <c r="E1251" t="s">
        <v>1309</v>
      </c>
      <c r="F1251">
        <v>1</v>
      </c>
      <c r="G1251">
        <v>30</v>
      </c>
      <c r="H1251">
        <v>41</v>
      </c>
      <c r="I1251">
        <v>8.5</v>
      </c>
      <c r="J1251" s="110">
        <v>1249</v>
      </c>
      <c r="K1251" t="s">
        <v>2196</v>
      </c>
      <c r="L1251">
        <f>IF(Table_TRM_Fixtures[[#This Row],[Technology]]="LED", Table_TRM_Fixtures[[#This Row],[Fixture Watts  (TRM Data)]], Table_TRM_Fixtures[[#This Row],[Lamp Watts  (TRM Data)]])</f>
        <v>30</v>
      </c>
      <c r="M1251">
        <f>Table_TRM_Fixtures[[#This Row],[No. of Lamps  (TRM Data)]]</f>
        <v>1</v>
      </c>
      <c r="N1251">
        <v>36</v>
      </c>
      <c r="O1251" t="s">
        <v>1381</v>
      </c>
      <c r="P1251" t="s">
        <v>2640</v>
      </c>
      <c r="Q1251" t="s">
        <v>5608</v>
      </c>
      <c r="R1251" t="str">
        <f>_xlfn.CONCAT(Table_TRM_Fixtures[[#This Row],[Technology]], " ", Table_TRM_Fixtures[[#This Row],[Ballast Code]], " Ballast")</f>
        <v>T12 Magnetic STD Ballast</v>
      </c>
      <c r="S1251" t="str">
        <f>Table_TRM_Fixtures[[#This Row],[Description  (TRM Data)]]</f>
        <v>Fluorescent, (1) 36", STD lamp, Tandem 2-lamp ballast</v>
      </c>
      <c r="T1251" t="str">
        <f>Table_TRM_Fixtures[[#This Row],[Fixture code  (TRM Data)]]</f>
        <v>F31SS/T2</v>
      </c>
      <c r="U1251" t="s">
        <v>2883</v>
      </c>
      <c r="V1251" t="s">
        <v>5562</v>
      </c>
      <c r="W1251" t="s">
        <v>3120</v>
      </c>
      <c r="X1251" t="s">
        <v>186</v>
      </c>
      <c r="AA1251">
        <f>IF(Table_TRM_Fixtures[[#This Row],[Pre-EISA Baseline]]="Nominal", Table_TRM_Fixtures[[#This Row],[Fixture Watts  (TRM Data)]], Table_TRM_Fixtures[[#This Row],[Modified Baseline Fixture Watts]])</f>
        <v>41</v>
      </c>
    </row>
    <row r="1252" spans="1:27" x14ac:dyDescent="0.2">
      <c r="A1252" t="s">
        <v>2241</v>
      </c>
      <c r="B1252" t="s">
        <v>5769</v>
      </c>
      <c r="C1252" t="s">
        <v>2240</v>
      </c>
      <c r="D1252" t="s">
        <v>5771</v>
      </c>
      <c r="E1252" t="s">
        <v>1722</v>
      </c>
      <c r="F1252">
        <v>2</v>
      </c>
      <c r="G1252">
        <v>30</v>
      </c>
      <c r="H1252">
        <v>74</v>
      </c>
      <c r="I1252">
        <v>8.5</v>
      </c>
      <c r="J1252" s="110">
        <v>1250</v>
      </c>
      <c r="K1252" t="s">
        <v>2196</v>
      </c>
      <c r="L1252">
        <f>IF(Table_TRM_Fixtures[[#This Row],[Technology]]="LED", Table_TRM_Fixtures[[#This Row],[Fixture Watts  (TRM Data)]], Table_TRM_Fixtures[[#This Row],[Lamp Watts  (TRM Data)]])</f>
        <v>30</v>
      </c>
      <c r="M1252">
        <f>Table_TRM_Fixtures[[#This Row],[No. of Lamps  (TRM Data)]]</f>
        <v>2</v>
      </c>
      <c r="N1252">
        <v>36</v>
      </c>
      <c r="O1252" t="s">
        <v>1381</v>
      </c>
      <c r="P1252" t="s">
        <v>2640</v>
      </c>
      <c r="Q1252" t="s">
        <v>5608</v>
      </c>
      <c r="R1252" t="str">
        <f>_xlfn.CONCAT(Table_TRM_Fixtures[[#This Row],[Technology]], " ", Table_TRM_Fixtures[[#This Row],[Ballast Code]], " Ballast")</f>
        <v>T12 Magnetic STD Ballast</v>
      </c>
      <c r="S1252" t="str">
        <f>Table_TRM_Fixtures[[#This Row],[Description  (TRM Data)]]</f>
        <v>Fluorescent, (2) 36", STD lamps</v>
      </c>
      <c r="T1252" t="str">
        <f>Table_TRM_Fixtures[[#This Row],[Fixture code  (TRM Data)]]</f>
        <v>F32SE</v>
      </c>
      <c r="U1252" t="s">
        <v>2883</v>
      </c>
      <c r="V1252" t="s">
        <v>5562</v>
      </c>
      <c r="W1252" t="s">
        <v>3120</v>
      </c>
      <c r="X1252" t="s">
        <v>186</v>
      </c>
      <c r="AA1252">
        <f>IF(Table_TRM_Fixtures[[#This Row],[Pre-EISA Baseline]]="Nominal", Table_TRM_Fixtures[[#This Row],[Fixture Watts  (TRM Data)]], Table_TRM_Fixtures[[#This Row],[Modified Baseline Fixture Watts]])</f>
        <v>74</v>
      </c>
    </row>
    <row r="1253" spans="1:27" x14ac:dyDescent="0.2">
      <c r="A1253" t="s">
        <v>2242</v>
      </c>
      <c r="B1253" t="s">
        <v>5769</v>
      </c>
      <c r="C1253" t="s">
        <v>2240</v>
      </c>
      <c r="D1253" t="s">
        <v>5771</v>
      </c>
      <c r="E1253" t="s">
        <v>187</v>
      </c>
      <c r="F1253">
        <v>2</v>
      </c>
      <c r="G1253">
        <v>30</v>
      </c>
      <c r="H1253">
        <v>58</v>
      </c>
      <c r="I1253">
        <v>15.5</v>
      </c>
      <c r="J1253" s="110">
        <v>1251</v>
      </c>
      <c r="K1253" t="s">
        <v>2196</v>
      </c>
      <c r="L1253">
        <f>IF(Table_TRM_Fixtures[[#This Row],[Technology]]="LED", Table_TRM_Fixtures[[#This Row],[Fixture Watts  (TRM Data)]], Table_TRM_Fixtures[[#This Row],[Lamp Watts  (TRM Data)]])</f>
        <v>30</v>
      </c>
      <c r="M1253">
        <f>Table_TRM_Fixtures[[#This Row],[No. of Lamps  (TRM Data)]]</f>
        <v>2</v>
      </c>
      <c r="N1253">
        <v>36</v>
      </c>
      <c r="O1253" t="s">
        <v>1381</v>
      </c>
      <c r="P1253" t="s">
        <v>187</v>
      </c>
      <c r="Q1253" t="s">
        <v>5612</v>
      </c>
      <c r="R1253" t="str">
        <f>_xlfn.CONCAT(Table_TRM_Fixtures[[#This Row],[Technology]], " ", Table_TRM_Fixtures[[#This Row],[Ballast Code]], " Ballast")</f>
        <v>T12 Electronic STD Ballast</v>
      </c>
      <c r="S1253" t="str">
        <f>Table_TRM_Fixtures[[#This Row],[Description  (TRM Data)]]</f>
        <v>Fluorescent, (2) 36", STD lamps</v>
      </c>
      <c r="T1253" t="str">
        <f>Table_TRM_Fixtures[[#This Row],[Fixture code  (TRM Data)]]</f>
        <v>F32SL</v>
      </c>
      <c r="U1253" t="s">
        <v>2883</v>
      </c>
      <c r="V1253" t="s">
        <v>5562</v>
      </c>
      <c r="W1253" t="s">
        <v>3120</v>
      </c>
      <c r="X1253" t="s">
        <v>186</v>
      </c>
      <c r="AA1253">
        <f>IF(Table_TRM_Fixtures[[#This Row],[Pre-EISA Baseline]]="Nominal", Table_TRM_Fixtures[[#This Row],[Fixture Watts  (TRM Data)]], Table_TRM_Fixtures[[#This Row],[Modified Baseline Fixture Watts]])</f>
        <v>58</v>
      </c>
    </row>
    <row r="1254" spans="1:27" x14ac:dyDescent="0.2">
      <c r="A1254" t="s">
        <v>2243</v>
      </c>
      <c r="B1254" t="s">
        <v>5769</v>
      </c>
      <c r="C1254" t="s">
        <v>2240</v>
      </c>
      <c r="D1254" t="s">
        <v>5771</v>
      </c>
      <c r="E1254" t="s">
        <v>1309</v>
      </c>
      <c r="F1254">
        <v>2</v>
      </c>
      <c r="G1254">
        <v>30</v>
      </c>
      <c r="H1254">
        <v>75</v>
      </c>
      <c r="I1254">
        <v>8.5</v>
      </c>
      <c r="J1254" s="110">
        <v>1252</v>
      </c>
      <c r="K1254" t="s">
        <v>2196</v>
      </c>
      <c r="L1254">
        <f>IF(Table_TRM_Fixtures[[#This Row],[Technology]]="LED", Table_TRM_Fixtures[[#This Row],[Fixture Watts  (TRM Data)]], Table_TRM_Fixtures[[#This Row],[Lamp Watts  (TRM Data)]])</f>
        <v>30</v>
      </c>
      <c r="M1254">
        <f>Table_TRM_Fixtures[[#This Row],[No. of Lamps  (TRM Data)]]</f>
        <v>2</v>
      </c>
      <c r="N1254">
        <v>36</v>
      </c>
      <c r="O1254" t="s">
        <v>1381</v>
      </c>
      <c r="P1254" t="s">
        <v>2640</v>
      </c>
      <c r="Q1254" t="s">
        <v>5608</v>
      </c>
      <c r="R1254" t="str">
        <f>_xlfn.CONCAT(Table_TRM_Fixtures[[#This Row],[Technology]], " ", Table_TRM_Fixtures[[#This Row],[Ballast Code]], " Ballast")</f>
        <v>T12 Magnetic STD Ballast</v>
      </c>
      <c r="S1254" t="str">
        <f>Table_TRM_Fixtures[[#This Row],[Description  (TRM Data)]]</f>
        <v>Fluorescent, (2) 36", STD lamps</v>
      </c>
      <c r="T1254" t="str">
        <f>Table_TRM_Fixtures[[#This Row],[Fixture code  (TRM Data)]]</f>
        <v>F32SS</v>
      </c>
      <c r="U1254" t="s">
        <v>2883</v>
      </c>
      <c r="V1254" t="s">
        <v>5562</v>
      </c>
      <c r="W1254" t="s">
        <v>3120</v>
      </c>
      <c r="X1254" t="s">
        <v>186</v>
      </c>
      <c r="AA1254">
        <f>IF(Table_TRM_Fixtures[[#This Row],[Pre-EISA Baseline]]="Nominal", Table_TRM_Fixtures[[#This Row],[Fixture Watts  (TRM Data)]], Table_TRM_Fixtures[[#This Row],[Modified Baseline Fixture Watts]])</f>
        <v>75</v>
      </c>
    </row>
    <row r="1255" spans="1:27" x14ac:dyDescent="0.2">
      <c r="A1255" t="s">
        <v>2245</v>
      </c>
      <c r="B1255" t="s">
        <v>5769</v>
      </c>
      <c r="C1255" t="s">
        <v>2244</v>
      </c>
      <c r="D1255" t="s">
        <v>5772</v>
      </c>
      <c r="E1255" t="s">
        <v>1722</v>
      </c>
      <c r="F1255">
        <v>3</v>
      </c>
      <c r="G1255">
        <v>30</v>
      </c>
      <c r="H1255">
        <v>120</v>
      </c>
      <c r="I1255">
        <v>8.5</v>
      </c>
      <c r="J1255" s="110">
        <v>1253</v>
      </c>
      <c r="K1255" t="s">
        <v>2196</v>
      </c>
      <c r="L1255">
        <f>IF(Table_TRM_Fixtures[[#This Row],[Technology]]="LED", Table_TRM_Fixtures[[#This Row],[Fixture Watts  (TRM Data)]], Table_TRM_Fixtures[[#This Row],[Lamp Watts  (TRM Data)]])</f>
        <v>30</v>
      </c>
      <c r="M1255">
        <f>Table_TRM_Fixtures[[#This Row],[No. of Lamps  (TRM Data)]]</f>
        <v>3</v>
      </c>
      <c r="N1255">
        <v>36</v>
      </c>
      <c r="O1255" t="s">
        <v>1381</v>
      </c>
      <c r="P1255" t="s">
        <v>2640</v>
      </c>
      <c r="Q1255" t="s">
        <v>5608</v>
      </c>
      <c r="R1255" t="str">
        <f>_xlfn.CONCAT(Table_TRM_Fixtures[[#This Row],[Technology]], " ", Table_TRM_Fixtures[[#This Row],[Ballast Code]], " Ballast")</f>
        <v>T12 Magnetic STD Ballast</v>
      </c>
      <c r="S1255" t="str">
        <f>Table_TRM_Fixtures[[#This Row],[Description  (TRM Data)]]</f>
        <v>Fluorescent, (3) 36", STD lamps, (1) STD ballast and (1) ES ballast</v>
      </c>
      <c r="T1255" t="str">
        <f>Table_TRM_Fixtures[[#This Row],[Fixture code  (TRM Data)]]</f>
        <v>F33SE</v>
      </c>
      <c r="U1255" t="s">
        <v>2883</v>
      </c>
      <c r="V1255" t="s">
        <v>5562</v>
      </c>
      <c r="W1255" t="s">
        <v>3120</v>
      </c>
      <c r="X1255" t="s">
        <v>186</v>
      </c>
      <c r="AA1255">
        <f>IF(Table_TRM_Fixtures[[#This Row],[Pre-EISA Baseline]]="Nominal", Table_TRM_Fixtures[[#This Row],[Fixture Watts  (TRM Data)]], Table_TRM_Fixtures[[#This Row],[Modified Baseline Fixture Watts]])</f>
        <v>120</v>
      </c>
    </row>
    <row r="1256" spans="1:27" x14ac:dyDescent="0.2">
      <c r="A1256" t="s">
        <v>2247</v>
      </c>
      <c r="B1256" t="s">
        <v>5769</v>
      </c>
      <c r="C1256" t="s">
        <v>2246</v>
      </c>
      <c r="D1256" t="s">
        <v>5772</v>
      </c>
      <c r="E1256" t="s">
        <v>1309</v>
      </c>
      <c r="F1256">
        <v>3</v>
      </c>
      <c r="G1256">
        <v>30</v>
      </c>
      <c r="H1256">
        <v>127</v>
      </c>
      <c r="I1256">
        <v>8.5</v>
      </c>
      <c r="J1256" s="110">
        <v>1254</v>
      </c>
      <c r="K1256" t="s">
        <v>2196</v>
      </c>
      <c r="L1256">
        <f>IF(Table_TRM_Fixtures[[#This Row],[Technology]]="LED", Table_TRM_Fixtures[[#This Row],[Fixture Watts  (TRM Data)]], Table_TRM_Fixtures[[#This Row],[Lamp Watts  (TRM Data)]])</f>
        <v>30</v>
      </c>
      <c r="M1256">
        <f>Table_TRM_Fixtures[[#This Row],[No. of Lamps  (TRM Data)]]</f>
        <v>3</v>
      </c>
      <c r="N1256">
        <v>36</v>
      </c>
      <c r="O1256" t="s">
        <v>1381</v>
      </c>
      <c r="P1256" t="s">
        <v>2640</v>
      </c>
      <c r="Q1256" t="s">
        <v>5608</v>
      </c>
      <c r="R1256" t="str">
        <f>_xlfn.CONCAT(Table_TRM_Fixtures[[#This Row],[Technology]], " ", Table_TRM_Fixtures[[#This Row],[Ballast Code]], " Ballast")</f>
        <v>T12 Magnetic STD Ballast</v>
      </c>
      <c r="S1256" t="str">
        <f>Table_TRM_Fixtures[[#This Row],[Description  (TRM Data)]]</f>
        <v>Fluorescent, (3) 36", STD lamps</v>
      </c>
      <c r="T1256" t="str">
        <f>Table_TRM_Fixtures[[#This Row],[Fixture code  (TRM Data)]]</f>
        <v>F33SS</v>
      </c>
      <c r="U1256" t="s">
        <v>2883</v>
      </c>
      <c r="V1256" t="s">
        <v>5562</v>
      </c>
      <c r="W1256" t="s">
        <v>3120</v>
      </c>
      <c r="X1256" t="s">
        <v>186</v>
      </c>
      <c r="AA1256">
        <f>IF(Table_TRM_Fixtures[[#This Row],[Pre-EISA Baseline]]="Nominal", Table_TRM_Fixtures[[#This Row],[Fixture Watts  (TRM Data)]], Table_TRM_Fixtures[[#This Row],[Modified Baseline Fixture Watts]])</f>
        <v>127</v>
      </c>
    </row>
    <row r="1257" spans="1:27" x14ac:dyDescent="0.2">
      <c r="A1257" t="s">
        <v>2249</v>
      </c>
      <c r="B1257" t="s">
        <v>5769</v>
      </c>
      <c r="C1257" t="s">
        <v>2248</v>
      </c>
      <c r="D1257" t="s">
        <v>5773</v>
      </c>
      <c r="E1257" t="s">
        <v>1722</v>
      </c>
      <c r="F1257">
        <v>4</v>
      </c>
      <c r="G1257">
        <v>30</v>
      </c>
      <c r="H1257">
        <v>148</v>
      </c>
      <c r="I1257">
        <v>8.5</v>
      </c>
      <c r="J1257" s="110">
        <v>1255</v>
      </c>
      <c r="K1257" t="s">
        <v>2196</v>
      </c>
      <c r="L1257">
        <f>IF(Table_TRM_Fixtures[[#This Row],[Technology]]="LED", Table_TRM_Fixtures[[#This Row],[Fixture Watts  (TRM Data)]], Table_TRM_Fixtures[[#This Row],[Lamp Watts  (TRM Data)]])</f>
        <v>30</v>
      </c>
      <c r="M1257">
        <f>Table_TRM_Fixtures[[#This Row],[No. of Lamps  (TRM Data)]]</f>
        <v>4</v>
      </c>
      <c r="N1257">
        <v>36</v>
      </c>
      <c r="O1257" t="s">
        <v>1381</v>
      </c>
      <c r="P1257" t="s">
        <v>2640</v>
      </c>
      <c r="Q1257" t="s">
        <v>5608</v>
      </c>
      <c r="R1257" t="str">
        <f>_xlfn.CONCAT(Table_TRM_Fixtures[[#This Row],[Technology]], " ", Table_TRM_Fixtures[[#This Row],[Ballast Code]], " Ballast")</f>
        <v>T12 Magnetic STD Ballast</v>
      </c>
      <c r="S1257" t="str">
        <f>Table_TRM_Fixtures[[#This Row],[Description  (TRM Data)]]</f>
        <v>Fluorescent, (4) 36", STD lamps</v>
      </c>
      <c r="T1257" t="str">
        <f>Table_TRM_Fixtures[[#This Row],[Fixture code  (TRM Data)]]</f>
        <v>F34SE</v>
      </c>
      <c r="U1257" t="s">
        <v>2883</v>
      </c>
      <c r="V1257" t="s">
        <v>5562</v>
      </c>
      <c r="W1257" t="s">
        <v>3120</v>
      </c>
      <c r="X1257" t="s">
        <v>186</v>
      </c>
      <c r="AA1257">
        <f>IF(Table_TRM_Fixtures[[#This Row],[Pre-EISA Baseline]]="Nominal", Table_TRM_Fixtures[[#This Row],[Fixture Watts  (TRM Data)]], Table_TRM_Fixtures[[#This Row],[Modified Baseline Fixture Watts]])</f>
        <v>148</v>
      </c>
    </row>
    <row r="1258" spans="1:27" x14ac:dyDescent="0.2">
      <c r="A1258" t="s">
        <v>2250</v>
      </c>
      <c r="B1258" t="s">
        <v>5769</v>
      </c>
      <c r="C1258" t="s">
        <v>2248</v>
      </c>
      <c r="D1258" t="s">
        <v>5773</v>
      </c>
      <c r="E1258" t="s">
        <v>187</v>
      </c>
      <c r="F1258">
        <v>4</v>
      </c>
      <c r="G1258">
        <v>30</v>
      </c>
      <c r="H1258">
        <v>116</v>
      </c>
      <c r="I1258">
        <v>15.5</v>
      </c>
      <c r="J1258" s="110">
        <v>1256</v>
      </c>
      <c r="K1258" t="s">
        <v>2196</v>
      </c>
      <c r="L1258">
        <f>IF(Table_TRM_Fixtures[[#This Row],[Technology]]="LED", Table_TRM_Fixtures[[#This Row],[Fixture Watts  (TRM Data)]], Table_TRM_Fixtures[[#This Row],[Lamp Watts  (TRM Data)]])</f>
        <v>30</v>
      </c>
      <c r="M1258">
        <f>Table_TRM_Fixtures[[#This Row],[No. of Lamps  (TRM Data)]]</f>
        <v>4</v>
      </c>
      <c r="N1258">
        <v>36</v>
      </c>
      <c r="O1258" t="s">
        <v>1381</v>
      </c>
      <c r="P1258" t="s">
        <v>187</v>
      </c>
      <c r="Q1258" t="s">
        <v>5612</v>
      </c>
      <c r="R1258" t="str">
        <f>_xlfn.CONCAT(Table_TRM_Fixtures[[#This Row],[Technology]], " ", Table_TRM_Fixtures[[#This Row],[Ballast Code]], " Ballast")</f>
        <v>T12 Electronic STD Ballast</v>
      </c>
      <c r="S1258" t="str">
        <f>Table_TRM_Fixtures[[#This Row],[Description  (TRM Data)]]</f>
        <v>Fluorescent, (4) 36", STD lamps</v>
      </c>
      <c r="T1258" t="str">
        <f>Table_TRM_Fixtures[[#This Row],[Fixture code  (TRM Data)]]</f>
        <v>F34SL</v>
      </c>
      <c r="U1258" t="s">
        <v>2883</v>
      </c>
      <c r="V1258" t="s">
        <v>5562</v>
      </c>
      <c r="W1258" t="s">
        <v>3120</v>
      </c>
      <c r="X1258" t="s">
        <v>186</v>
      </c>
      <c r="AA1258">
        <f>IF(Table_TRM_Fixtures[[#This Row],[Pre-EISA Baseline]]="Nominal", Table_TRM_Fixtures[[#This Row],[Fixture Watts  (TRM Data)]], Table_TRM_Fixtures[[#This Row],[Modified Baseline Fixture Watts]])</f>
        <v>116</v>
      </c>
    </row>
    <row r="1259" spans="1:27" x14ac:dyDescent="0.2">
      <c r="A1259" t="s">
        <v>2251</v>
      </c>
      <c r="B1259" t="s">
        <v>5769</v>
      </c>
      <c r="C1259" t="s">
        <v>2248</v>
      </c>
      <c r="D1259" t="s">
        <v>5773</v>
      </c>
      <c r="E1259" t="s">
        <v>1309</v>
      </c>
      <c r="F1259">
        <v>4</v>
      </c>
      <c r="G1259">
        <v>30</v>
      </c>
      <c r="H1259">
        <v>150</v>
      </c>
      <c r="I1259">
        <v>8.5</v>
      </c>
      <c r="J1259" s="110">
        <v>1257</v>
      </c>
      <c r="K1259" t="s">
        <v>2196</v>
      </c>
      <c r="L1259">
        <f>IF(Table_TRM_Fixtures[[#This Row],[Technology]]="LED", Table_TRM_Fixtures[[#This Row],[Fixture Watts  (TRM Data)]], Table_TRM_Fixtures[[#This Row],[Lamp Watts  (TRM Data)]])</f>
        <v>30</v>
      </c>
      <c r="M1259">
        <f>Table_TRM_Fixtures[[#This Row],[No. of Lamps  (TRM Data)]]</f>
        <v>4</v>
      </c>
      <c r="N1259">
        <v>36</v>
      </c>
      <c r="O1259" t="s">
        <v>1381</v>
      </c>
      <c r="P1259" t="s">
        <v>2640</v>
      </c>
      <c r="Q1259" t="s">
        <v>5608</v>
      </c>
      <c r="R1259" t="str">
        <f>_xlfn.CONCAT(Table_TRM_Fixtures[[#This Row],[Technology]], " ", Table_TRM_Fixtures[[#This Row],[Ballast Code]], " Ballast")</f>
        <v>T12 Magnetic STD Ballast</v>
      </c>
      <c r="S1259" t="str">
        <f>Table_TRM_Fixtures[[#This Row],[Description  (TRM Data)]]</f>
        <v>Fluorescent, (4) 36", STD lamps</v>
      </c>
      <c r="T1259" t="str">
        <f>Table_TRM_Fixtures[[#This Row],[Fixture code  (TRM Data)]]</f>
        <v>F34SS</v>
      </c>
      <c r="U1259" t="s">
        <v>2883</v>
      </c>
      <c r="V1259" t="s">
        <v>5562</v>
      </c>
      <c r="W1259" t="s">
        <v>3120</v>
      </c>
      <c r="X1259" t="s">
        <v>186</v>
      </c>
      <c r="AA1259">
        <f>IF(Table_TRM_Fixtures[[#This Row],[Pre-EISA Baseline]]="Nominal", Table_TRM_Fixtures[[#This Row],[Fixture Watts  (TRM Data)]], Table_TRM_Fixtures[[#This Row],[Modified Baseline Fixture Watts]])</f>
        <v>150</v>
      </c>
    </row>
    <row r="1260" spans="1:27" x14ac:dyDescent="0.2">
      <c r="A1260" t="s">
        <v>2253</v>
      </c>
      <c r="B1260" t="s">
        <v>5769</v>
      </c>
      <c r="C1260" t="s">
        <v>2252</v>
      </c>
      <c r="D1260" t="s">
        <v>5774</v>
      </c>
      <c r="E1260" t="s">
        <v>1722</v>
      </c>
      <c r="F1260">
        <v>6</v>
      </c>
      <c r="G1260">
        <v>30</v>
      </c>
      <c r="H1260">
        <v>213</v>
      </c>
      <c r="I1260">
        <v>8.5</v>
      </c>
      <c r="J1260" s="110">
        <v>1258</v>
      </c>
      <c r="K1260" t="s">
        <v>2196</v>
      </c>
      <c r="L1260">
        <f>IF(Table_TRM_Fixtures[[#This Row],[Technology]]="LED", Table_TRM_Fixtures[[#This Row],[Fixture Watts  (TRM Data)]], Table_TRM_Fixtures[[#This Row],[Lamp Watts  (TRM Data)]])</f>
        <v>30</v>
      </c>
      <c r="M1260">
        <f>Table_TRM_Fixtures[[#This Row],[No. of Lamps  (TRM Data)]]</f>
        <v>6</v>
      </c>
      <c r="N1260">
        <v>36</v>
      </c>
      <c r="O1260" t="s">
        <v>1381</v>
      </c>
      <c r="P1260" t="s">
        <v>2640</v>
      </c>
      <c r="Q1260" t="s">
        <v>5608</v>
      </c>
      <c r="R1260" t="str">
        <f>_xlfn.CONCAT(Table_TRM_Fixtures[[#This Row],[Technology]], " ", Table_TRM_Fixtures[[#This Row],[Ballast Code]], " Ballast")</f>
        <v>T12 Magnetic STD Ballast</v>
      </c>
      <c r="S1260" t="str">
        <f>Table_TRM_Fixtures[[#This Row],[Description  (TRM Data)]]</f>
        <v>Fluorescent, (6) 36", STD lamps</v>
      </c>
      <c r="T1260" t="str">
        <f>Table_TRM_Fixtures[[#This Row],[Fixture code  (TRM Data)]]</f>
        <v>F36SE</v>
      </c>
      <c r="U1260" t="s">
        <v>2883</v>
      </c>
      <c r="V1260" t="s">
        <v>5562</v>
      </c>
      <c r="W1260" t="s">
        <v>3120</v>
      </c>
      <c r="X1260" t="s">
        <v>186</v>
      </c>
      <c r="AA1260">
        <f>IF(Table_TRM_Fixtures[[#This Row],[Pre-EISA Baseline]]="Nominal", Table_TRM_Fixtures[[#This Row],[Fixture Watts  (TRM Data)]], Table_TRM_Fixtures[[#This Row],[Modified Baseline Fixture Watts]])</f>
        <v>213</v>
      </c>
    </row>
    <row r="1261" spans="1:27" x14ac:dyDescent="0.2">
      <c r="A1261" t="s">
        <v>2254</v>
      </c>
      <c r="B1261" t="s">
        <v>5769</v>
      </c>
      <c r="C1261" t="s">
        <v>2252</v>
      </c>
      <c r="D1261" t="s">
        <v>5775</v>
      </c>
      <c r="E1261" t="s">
        <v>1309</v>
      </c>
      <c r="F1261">
        <v>6</v>
      </c>
      <c r="G1261">
        <v>30</v>
      </c>
      <c r="H1261">
        <v>225</v>
      </c>
      <c r="I1261">
        <v>8.5</v>
      </c>
      <c r="J1261" s="110">
        <v>1259</v>
      </c>
      <c r="K1261" t="s">
        <v>2196</v>
      </c>
      <c r="L1261">
        <f>IF(Table_TRM_Fixtures[[#This Row],[Technology]]="LED", Table_TRM_Fixtures[[#This Row],[Fixture Watts  (TRM Data)]], Table_TRM_Fixtures[[#This Row],[Lamp Watts  (TRM Data)]])</f>
        <v>30</v>
      </c>
      <c r="M1261">
        <f>Table_TRM_Fixtures[[#This Row],[No. of Lamps  (TRM Data)]]</f>
        <v>6</v>
      </c>
      <c r="N1261">
        <v>36</v>
      </c>
      <c r="O1261" t="s">
        <v>1381</v>
      </c>
      <c r="P1261" t="s">
        <v>2640</v>
      </c>
      <c r="Q1261" t="s">
        <v>5608</v>
      </c>
      <c r="R1261" t="str">
        <f>_xlfn.CONCAT(Table_TRM_Fixtures[[#This Row],[Technology]], " ", Table_TRM_Fixtures[[#This Row],[Ballast Code]], " Ballast")</f>
        <v>T12 Magnetic STD Ballast</v>
      </c>
      <c r="S1261" t="str">
        <f>Table_TRM_Fixtures[[#This Row],[Description  (TRM Data)]]</f>
        <v>Fluorescent, (6) 36", STD lamps</v>
      </c>
      <c r="T1261" t="str">
        <f>Table_TRM_Fixtures[[#This Row],[Fixture code  (TRM Data)]]</f>
        <v>F36SS</v>
      </c>
      <c r="U1261" t="s">
        <v>2883</v>
      </c>
      <c r="V1261" t="s">
        <v>5562</v>
      </c>
      <c r="W1261" t="s">
        <v>3120</v>
      </c>
      <c r="X1261" t="s">
        <v>186</v>
      </c>
      <c r="AA1261">
        <f>IF(Table_TRM_Fixtures[[#This Row],[Pre-EISA Baseline]]="Nominal", Table_TRM_Fixtures[[#This Row],[Fixture Watts  (TRM Data)]], Table_TRM_Fixtures[[#This Row],[Modified Baseline Fixture Watts]])</f>
        <v>225</v>
      </c>
    </row>
    <row r="1262" spans="1:27" x14ac:dyDescent="0.2">
      <c r="A1262" t="s">
        <v>2256</v>
      </c>
      <c r="B1262" t="s">
        <v>5776</v>
      </c>
      <c r="C1262" t="s">
        <v>2255</v>
      </c>
      <c r="D1262" t="s">
        <v>5777</v>
      </c>
      <c r="E1262" t="s">
        <v>1722</v>
      </c>
      <c r="F1262">
        <v>1</v>
      </c>
      <c r="G1262">
        <v>25</v>
      </c>
      <c r="H1262">
        <v>33</v>
      </c>
      <c r="I1262">
        <v>8.5</v>
      </c>
      <c r="J1262" s="110">
        <v>1260</v>
      </c>
      <c r="K1262" t="s">
        <v>2196</v>
      </c>
      <c r="L1262">
        <f>IF(Table_TRM_Fixtures[[#This Row],[Technology]]="LED", Table_TRM_Fixtures[[#This Row],[Fixture Watts  (TRM Data)]], Table_TRM_Fixtures[[#This Row],[Lamp Watts  (TRM Data)]])</f>
        <v>25</v>
      </c>
      <c r="M1262">
        <f>Table_TRM_Fixtures[[#This Row],[No. of Lamps  (TRM Data)]]</f>
        <v>1</v>
      </c>
      <c r="N1262">
        <v>36</v>
      </c>
      <c r="O1262" t="s">
        <v>1381</v>
      </c>
      <c r="P1262" t="s">
        <v>2640</v>
      </c>
      <c r="Q1262" t="s">
        <v>5608</v>
      </c>
      <c r="R1262" t="str">
        <f>_xlfn.CONCAT(Table_TRM_Fixtures[[#This Row],[Technology]], " ", Table_TRM_Fixtures[[#This Row],[Ballast Code]], " Ballast")</f>
        <v>T12 Magnetic STD Ballast</v>
      </c>
      <c r="S1262" t="str">
        <f>Table_TRM_Fixtures[[#This Row],[Description  (TRM Data)]]</f>
        <v>Fluorescent, (1) 36", ES lamp, Tandem 2-lamp ballast</v>
      </c>
      <c r="T1262" t="str">
        <f>Table_TRM_Fixtures[[#This Row],[Fixture code  (TRM Data)]]</f>
        <v>F31EE/T2</v>
      </c>
      <c r="U1262" t="s">
        <v>2883</v>
      </c>
      <c r="V1262" t="s">
        <v>5562</v>
      </c>
      <c r="W1262" t="s">
        <v>3120</v>
      </c>
      <c r="X1262" t="s">
        <v>186</v>
      </c>
      <c r="AA1262">
        <f>IF(Table_TRM_Fixtures[[#This Row],[Pre-EISA Baseline]]="Nominal", Table_TRM_Fixtures[[#This Row],[Fixture Watts  (TRM Data)]], Table_TRM_Fixtures[[#This Row],[Modified Baseline Fixture Watts]])</f>
        <v>33</v>
      </c>
    </row>
    <row r="1263" spans="1:27" x14ac:dyDescent="0.2">
      <c r="A1263" t="s">
        <v>2258</v>
      </c>
      <c r="B1263" t="s">
        <v>5776</v>
      </c>
      <c r="C1263" t="s">
        <v>2257</v>
      </c>
      <c r="D1263" t="s">
        <v>5777</v>
      </c>
      <c r="E1263" t="s">
        <v>187</v>
      </c>
      <c r="F1263">
        <v>1</v>
      </c>
      <c r="G1263">
        <v>25</v>
      </c>
      <c r="H1263">
        <v>26</v>
      </c>
      <c r="I1263">
        <v>15.5</v>
      </c>
      <c r="J1263" s="110">
        <v>1261</v>
      </c>
      <c r="K1263" t="s">
        <v>2196</v>
      </c>
      <c r="L1263">
        <f>IF(Table_TRM_Fixtures[[#This Row],[Technology]]="LED", Table_TRM_Fixtures[[#This Row],[Fixture Watts  (TRM Data)]], Table_TRM_Fixtures[[#This Row],[Lamp Watts  (TRM Data)]])</f>
        <v>25</v>
      </c>
      <c r="M1263">
        <f>Table_TRM_Fixtures[[#This Row],[No. of Lamps  (TRM Data)]]</f>
        <v>1</v>
      </c>
      <c r="N1263">
        <v>36</v>
      </c>
      <c r="O1263" t="s">
        <v>1381</v>
      </c>
      <c r="P1263" t="s">
        <v>187</v>
      </c>
      <c r="Q1263" t="s">
        <v>5612</v>
      </c>
      <c r="R1263" t="str">
        <f>_xlfn.CONCAT(Table_TRM_Fixtures[[#This Row],[Technology]], " ", Table_TRM_Fixtures[[#This Row],[Ballast Code]], " Ballast")</f>
        <v>T12 Electronic STD Ballast</v>
      </c>
      <c r="S1263" t="str">
        <f>Table_TRM_Fixtures[[#This Row],[Description  (TRM Data)]]</f>
        <v>Fluorescent, (1) 36", ES lamp</v>
      </c>
      <c r="T1263" t="str">
        <f>Table_TRM_Fixtures[[#This Row],[Fixture code  (TRM Data)]]</f>
        <v>F31EL</v>
      </c>
      <c r="U1263" t="s">
        <v>2883</v>
      </c>
      <c r="V1263" t="s">
        <v>5562</v>
      </c>
      <c r="W1263" t="s">
        <v>3120</v>
      </c>
      <c r="X1263" t="s">
        <v>186</v>
      </c>
      <c r="AA1263">
        <f>IF(Table_TRM_Fixtures[[#This Row],[Pre-EISA Baseline]]="Nominal", Table_TRM_Fixtures[[#This Row],[Fixture Watts  (TRM Data)]], Table_TRM_Fixtures[[#This Row],[Modified Baseline Fixture Watts]])</f>
        <v>26</v>
      </c>
    </row>
    <row r="1264" spans="1:27" x14ac:dyDescent="0.2">
      <c r="A1264" t="s">
        <v>2259</v>
      </c>
      <c r="B1264" t="s">
        <v>5776</v>
      </c>
      <c r="C1264" t="s">
        <v>2257</v>
      </c>
      <c r="D1264" t="s">
        <v>5777</v>
      </c>
      <c r="E1264" t="s">
        <v>1309</v>
      </c>
      <c r="F1264">
        <v>1</v>
      </c>
      <c r="G1264">
        <v>25</v>
      </c>
      <c r="H1264">
        <v>42</v>
      </c>
      <c r="I1264">
        <v>8.5</v>
      </c>
      <c r="J1264" s="110">
        <v>1262</v>
      </c>
      <c r="K1264" t="s">
        <v>2196</v>
      </c>
      <c r="L1264">
        <f>IF(Table_TRM_Fixtures[[#This Row],[Technology]]="LED", Table_TRM_Fixtures[[#This Row],[Fixture Watts  (TRM Data)]], Table_TRM_Fixtures[[#This Row],[Lamp Watts  (TRM Data)]])</f>
        <v>25</v>
      </c>
      <c r="M1264">
        <f>Table_TRM_Fixtures[[#This Row],[No. of Lamps  (TRM Data)]]</f>
        <v>1</v>
      </c>
      <c r="N1264">
        <v>36</v>
      </c>
      <c r="O1264" t="s">
        <v>1381</v>
      </c>
      <c r="P1264" t="s">
        <v>2640</v>
      </c>
      <c r="Q1264" t="s">
        <v>5608</v>
      </c>
      <c r="R1264" t="str">
        <f>_xlfn.CONCAT(Table_TRM_Fixtures[[#This Row],[Technology]], " ", Table_TRM_Fixtures[[#This Row],[Ballast Code]], " Ballast")</f>
        <v>T12 Magnetic STD Ballast</v>
      </c>
      <c r="S1264" t="str">
        <f>Table_TRM_Fixtures[[#This Row],[Description  (TRM Data)]]</f>
        <v>Fluorescent, (1) 36", ES lamp</v>
      </c>
      <c r="T1264" t="str">
        <f>Table_TRM_Fixtures[[#This Row],[Fixture code  (TRM Data)]]</f>
        <v>F31ES</v>
      </c>
      <c r="U1264" t="s">
        <v>2883</v>
      </c>
      <c r="V1264" t="s">
        <v>5562</v>
      </c>
      <c r="W1264" t="s">
        <v>3120</v>
      </c>
      <c r="X1264" t="s">
        <v>186</v>
      </c>
      <c r="AA1264">
        <f>IF(Table_TRM_Fixtures[[#This Row],[Pre-EISA Baseline]]="Nominal", Table_TRM_Fixtures[[#This Row],[Fixture Watts  (TRM Data)]], Table_TRM_Fixtures[[#This Row],[Modified Baseline Fixture Watts]])</f>
        <v>42</v>
      </c>
    </row>
    <row r="1265" spans="1:27" x14ac:dyDescent="0.2">
      <c r="A1265" t="s">
        <v>2260</v>
      </c>
      <c r="B1265" t="s">
        <v>5776</v>
      </c>
      <c r="C1265" t="s">
        <v>2255</v>
      </c>
      <c r="D1265" t="s">
        <v>5777</v>
      </c>
      <c r="E1265" t="s">
        <v>1309</v>
      </c>
      <c r="F1265">
        <v>1</v>
      </c>
      <c r="G1265">
        <v>25</v>
      </c>
      <c r="H1265">
        <v>33</v>
      </c>
      <c r="I1265">
        <v>8.5</v>
      </c>
      <c r="J1265" s="110">
        <v>1263</v>
      </c>
      <c r="K1265" t="s">
        <v>2196</v>
      </c>
      <c r="L1265">
        <f>IF(Table_TRM_Fixtures[[#This Row],[Technology]]="LED", Table_TRM_Fixtures[[#This Row],[Fixture Watts  (TRM Data)]], Table_TRM_Fixtures[[#This Row],[Lamp Watts  (TRM Data)]])</f>
        <v>25</v>
      </c>
      <c r="M1265">
        <f>Table_TRM_Fixtures[[#This Row],[No. of Lamps  (TRM Data)]]</f>
        <v>1</v>
      </c>
      <c r="N1265">
        <v>36</v>
      </c>
      <c r="O1265" t="s">
        <v>1381</v>
      </c>
      <c r="P1265" t="s">
        <v>2640</v>
      </c>
      <c r="Q1265" t="s">
        <v>5608</v>
      </c>
      <c r="R1265" t="str">
        <f>_xlfn.CONCAT(Table_TRM_Fixtures[[#This Row],[Technology]], " ", Table_TRM_Fixtures[[#This Row],[Ballast Code]], " Ballast")</f>
        <v>T12 Magnetic STD Ballast</v>
      </c>
      <c r="S1265" t="str">
        <f>Table_TRM_Fixtures[[#This Row],[Description  (TRM Data)]]</f>
        <v>Fluorescent, (1) 36", ES lamp, Tandem 2-lamp ballast</v>
      </c>
      <c r="T1265" t="str">
        <f>Table_TRM_Fixtures[[#This Row],[Fixture code  (TRM Data)]]</f>
        <v>F31ES/T2</v>
      </c>
      <c r="U1265" t="s">
        <v>2883</v>
      </c>
      <c r="V1265" t="s">
        <v>5562</v>
      </c>
      <c r="W1265" t="s">
        <v>3120</v>
      </c>
      <c r="X1265" t="s">
        <v>186</v>
      </c>
      <c r="AA1265">
        <f>IF(Table_TRM_Fixtures[[#This Row],[Pre-EISA Baseline]]="Nominal", Table_TRM_Fixtures[[#This Row],[Fixture Watts  (TRM Data)]], Table_TRM_Fixtures[[#This Row],[Modified Baseline Fixture Watts]])</f>
        <v>33</v>
      </c>
    </row>
    <row r="1266" spans="1:27" x14ac:dyDescent="0.2">
      <c r="A1266" t="s">
        <v>2262</v>
      </c>
      <c r="B1266" t="s">
        <v>5776</v>
      </c>
      <c r="C1266" t="s">
        <v>2261</v>
      </c>
      <c r="D1266" t="s">
        <v>5777</v>
      </c>
      <c r="E1266" t="s">
        <v>1722</v>
      </c>
      <c r="F1266">
        <v>2</v>
      </c>
      <c r="G1266">
        <v>25</v>
      </c>
      <c r="H1266">
        <v>66</v>
      </c>
      <c r="I1266">
        <v>8.5</v>
      </c>
      <c r="J1266" s="110">
        <v>1264</v>
      </c>
      <c r="K1266" t="s">
        <v>2196</v>
      </c>
      <c r="L1266">
        <f>IF(Table_TRM_Fixtures[[#This Row],[Technology]]="LED", Table_TRM_Fixtures[[#This Row],[Fixture Watts  (TRM Data)]], Table_TRM_Fixtures[[#This Row],[Lamp Watts  (TRM Data)]])</f>
        <v>25</v>
      </c>
      <c r="M1266">
        <f>Table_TRM_Fixtures[[#This Row],[No. of Lamps  (TRM Data)]]</f>
        <v>2</v>
      </c>
      <c r="N1266">
        <v>36</v>
      </c>
      <c r="O1266" t="s">
        <v>1381</v>
      </c>
      <c r="P1266" t="s">
        <v>2640</v>
      </c>
      <c r="Q1266" t="s">
        <v>5608</v>
      </c>
      <c r="R1266" t="str">
        <f>_xlfn.CONCAT(Table_TRM_Fixtures[[#This Row],[Technology]], " ", Table_TRM_Fixtures[[#This Row],[Ballast Code]], " Ballast")</f>
        <v>T12 Magnetic STD Ballast</v>
      </c>
      <c r="S1266" t="str">
        <f>Table_TRM_Fixtures[[#This Row],[Description  (TRM Data)]]</f>
        <v>Fluorescent, (2) 36", ES lamps</v>
      </c>
      <c r="T1266" t="str">
        <f>Table_TRM_Fixtures[[#This Row],[Fixture code  (TRM Data)]]</f>
        <v>F32EE</v>
      </c>
      <c r="U1266" t="s">
        <v>2883</v>
      </c>
      <c r="V1266" t="s">
        <v>5562</v>
      </c>
      <c r="W1266" t="s">
        <v>3120</v>
      </c>
      <c r="X1266" t="s">
        <v>186</v>
      </c>
      <c r="AA1266">
        <f>IF(Table_TRM_Fixtures[[#This Row],[Pre-EISA Baseline]]="Nominal", Table_TRM_Fixtures[[#This Row],[Fixture Watts  (TRM Data)]], Table_TRM_Fixtures[[#This Row],[Modified Baseline Fixture Watts]])</f>
        <v>66</v>
      </c>
    </row>
    <row r="1267" spans="1:27" x14ac:dyDescent="0.2">
      <c r="A1267" t="s">
        <v>2263</v>
      </c>
      <c r="B1267" t="s">
        <v>5776</v>
      </c>
      <c r="C1267" t="s">
        <v>2261</v>
      </c>
      <c r="D1267" t="s">
        <v>5777</v>
      </c>
      <c r="E1267" t="s">
        <v>187</v>
      </c>
      <c r="F1267">
        <v>2</v>
      </c>
      <c r="G1267">
        <v>25</v>
      </c>
      <c r="H1267">
        <v>50</v>
      </c>
      <c r="I1267">
        <v>15.5</v>
      </c>
      <c r="J1267" s="110">
        <v>1265</v>
      </c>
      <c r="K1267" t="s">
        <v>2196</v>
      </c>
      <c r="L1267">
        <f>IF(Table_TRM_Fixtures[[#This Row],[Technology]]="LED", Table_TRM_Fixtures[[#This Row],[Fixture Watts  (TRM Data)]], Table_TRM_Fixtures[[#This Row],[Lamp Watts  (TRM Data)]])</f>
        <v>25</v>
      </c>
      <c r="M1267">
        <f>Table_TRM_Fixtures[[#This Row],[No. of Lamps  (TRM Data)]]</f>
        <v>2</v>
      </c>
      <c r="N1267">
        <v>36</v>
      </c>
      <c r="O1267" t="s">
        <v>1381</v>
      </c>
      <c r="P1267" t="s">
        <v>187</v>
      </c>
      <c r="Q1267" t="s">
        <v>5612</v>
      </c>
      <c r="R1267" t="str">
        <f>_xlfn.CONCAT(Table_TRM_Fixtures[[#This Row],[Technology]], " ", Table_TRM_Fixtures[[#This Row],[Ballast Code]], " Ballast")</f>
        <v>T12 Electronic STD Ballast</v>
      </c>
      <c r="S1267" t="str">
        <f>Table_TRM_Fixtures[[#This Row],[Description  (TRM Data)]]</f>
        <v>Fluorescent, (2) 36", ES lamps</v>
      </c>
      <c r="T1267" t="str">
        <f>Table_TRM_Fixtures[[#This Row],[Fixture code  (TRM Data)]]</f>
        <v>F32EL</v>
      </c>
      <c r="U1267" t="s">
        <v>2883</v>
      </c>
      <c r="V1267" t="s">
        <v>5562</v>
      </c>
      <c r="W1267" t="s">
        <v>3120</v>
      </c>
      <c r="X1267" t="s">
        <v>186</v>
      </c>
      <c r="AA1267">
        <f>IF(Table_TRM_Fixtures[[#This Row],[Pre-EISA Baseline]]="Nominal", Table_TRM_Fixtures[[#This Row],[Fixture Watts  (TRM Data)]], Table_TRM_Fixtures[[#This Row],[Modified Baseline Fixture Watts]])</f>
        <v>50</v>
      </c>
    </row>
    <row r="1268" spans="1:27" x14ac:dyDescent="0.2">
      <c r="A1268" t="s">
        <v>2264</v>
      </c>
      <c r="B1268" t="s">
        <v>5776</v>
      </c>
      <c r="C1268" t="s">
        <v>2261</v>
      </c>
      <c r="D1268" t="s">
        <v>5777</v>
      </c>
      <c r="E1268" t="s">
        <v>1309</v>
      </c>
      <c r="F1268">
        <v>2</v>
      </c>
      <c r="G1268">
        <v>25</v>
      </c>
      <c r="H1268">
        <v>73</v>
      </c>
      <c r="I1268">
        <v>8.5</v>
      </c>
      <c r="J1268" s="110">
        <v>1266</v>
      </c>
      <c r="K1268" t="s">
        <v>2196</v>
      </c>
      <c r="L1268">
        <f>IF(Table_TRM_Fixtures[[#This Row],[Technology]]="LED", Table_TRM_Fixtures[[#This Row],[Fixture Watts  (TRM Data)]], Table_TRM_Fixtures[[#This Row],[Lamp Watts  (TRM Data)]])</f>
        <v>25</v>
      </c>
      <c r="M1268">
        <f>Table_TRM_Fixtures[[#This Row],[No. of Lamps  (TRM Data)]]</f>
        <v>2</v>
      </c>
      <c r="N1268">
        <v>36</v>
      </c>
      <c r="O1268" t="s">
        <v>1381</v>
      </c>
      <c r="P1268" t="s">
        <v>2640</v>
      </c>
      <c r="Q1268" t="s">
        <v>5608</v>
      </c>
      <c r="R1268" t="str">
        <f>_xlfn.CONCAT(Table_TRM_Fixtures[[#This Row],[Technology]], " ", Table_TRM_Fixtures[[#This Row],[Ballast Code]], " Ballast")</f>
        <v>T12 Magnetic STD Ballast</v>
      </c>
      <c r="S1268" t="str">
        <f>Table_TRM_Fixtures[[#This Row],[Description  (TRM Data)]]</f>
        <v>Fluorescent, (2) 36", ES lamps</v>
      </c>
      <c r="T1268" t="str">
        <f>Table_TRM_Fixtures[[#This Row],[Fixture code  (TRM Data)]]</f>
        <v>F32ES</v>
      </c>
      <c r="U1268" t="s">
        <v>2883</v>
      </c>
      <c r="V1268" t="s">
        <v>5562</v>
      </c>
      <c r="W1268" t="s">
        <v>3120</v>
      </c>
      <c r="X1268" t="s">
        <v>186</v>
      </c>
      <c r="AA1268">
        <f>IF(Table_TRM_Fixtures[[#This Row],[Pre-EISA Baseline]]="Nominal", Table_TRM_Fixtures[[#This Row],[Fixture Watts  (TRM Data)]], Table_TRM_Fixtures[[#This Row],[Modified Baseline Fixture Watts]])</f>
        <v>73</v>
      </c>
    </row>
    <row r="1269" spans="1:27" x14ac:dyDescent="0.2">
      <c r="A1269" t="s">
        <v>2266</v>
      </c>
      <c r="B1269" t="s">
        <v>5776</v>
      </c>
      <c r="C1269" t="s">
        <v>2265</v>
      </c>
      <c r="D1269" t="s">
        <v>5762</v>
      </c>
      <c r="E1269" t="s">
        <v>1309</v>
      </c>
      <c r="F1269">
        <v>3</v>
      </c>
      <c r="G1269">
        <v>25</v>
      </c>
      <c r="H1269">
        <v>115</v>
      </c>
      <c r="I1269">
        <v>8.5</v>
      </c>
      <c r="J1269" s="110">
        <v>1267</v>
      </c>
      <c r="K1269" t="s">
        <v>2196</v>
      </c>
      <c r="L1269">
        <f>IF(Table_TRM_Fixtures[[#This Row],[Technology]]="LED", Table_TRM_Fixtures[[#This Row],[Fixture Watts  (TRM Data)]], Table_TRM_Fixtures[[#This Row],[Lamp Watts  (TRM Data)]])</f>
        <v>25</v>
      </c>
      <c r="M1269">
        <f>Table_TRM_Fixtures[[#This Row],[No. of Lamps  (TRM Data)]]</f>
        <v>3</v>
      </c>
      <c r="N1269">
        <v>36</v>
      </c>
      <c r="O1269" t="s">
        <v>1381</v>
      </c>
      <c r="P1269" t="s">
        <v>2640</v>
      </c>
      <c r="Q1269" t="s">
        <v>5608</v>
      </c>
      <c r="R1269" t="str">
        <f>_xlfn.CONCAT(Table_TRM_Fixtures[[#This Row],[Technology]], " ", Table_TRM_Fixtures[[#This Row],[Ballast Code]], " Ballast")</f>
        <v>T12 Magnetic STD Ballast</v>
      </c>
      <c r="S1269" t="str">
        <f>Table_TRM_Fixtures[[#This Row],[Description  (TRM Data)]]</f>
        <v>Fluorescent, (3) 36", ES lamps</v>
      </c>
      <c r="T1269" t="str">
        <f>Table_TRM_Fixtures[[#This Row],[Fixture code  (TRM Data)]]</f>
        <v>F33ES</v>
      </c>
      <c r="U1269" t="s">
        <v>2883</v>
      </c>
      <c r="V1269" t="s">
        <v>5562</v>
      </c>
      <c r="W1269" t="s">
        <v>3120</v>
      </c>
      <c r="X1269" t="s">
        <v>186</v>
      </c>
      <c r="AA1269">
        <f>IF(Table_TRM_Fixtures[[#This Row],[Pre-EISA Baseline]]="Nominal", Table_TRM_Fixtures[[#This Row],[Fixture Watts  (TRM Data)]], Table_TRM_Fixtures[[#This Row],[Modified Baseline Fixture Watts]])</f>
        <v>115</v>
      </c>
    </row>
    <row r="1270" spans="1:27" x14ac:dyDescent="0.2">
      <c r="A1270" t="s">
        <v>2268</v>
      </c>
      <c r="B1270" t="s">
        <v>5776</v>
      </c>
      <c r="C1270" t="s">
        <v>2267</v>
      </c>
      <c r="D1270" t="s">
        <v>5778</v>
      </c>
      <c r="E1270" t="s">
        <v>1722</v>
      </c>
      <c r="F1270">
        <v>4</v>
      </c>
      <c r="G1270">
        <v>25</v>
      </c>
      <c r="H1270">
        <v>132</v>
      </c>
      <c r="I1270">
        <v>8.5</v>
      </c>
      <c r="J1270" s="110">
        <v>1268</v>
      </c>
      <c r="K1270" t="s">
        <v>2196</v>
      </c>
      <c r="L1270">
        <f>IF(Table_TRM_Fixtures[[#This Row],[Technology]]="LED", Table_TRM_Fixtures[[#This Row],[Fixture Watts  (TRM Data)]], Table_TRM_Fixtures[[#This Row],[Lamp Watts  (TRM Data)]])</f>
        <v>25</v>
      </c>
      <c r="M1270">
        <f>Table_TRM_Fixtures[[#This Row],[No. of Lamps  (TRM Data)]]</f>
        <v>4</v>
      </c>
      <c r="N1270">
        <v>36</v>
      </c>
      <c r="O1270" t="s">
        <v>1381</v>
      </c>
      <c r="P1270" t="s">
        <v>2640</v>
      </c>
      <c r="Q1270" t="s">
        <v>5608</v>
      </c>
      <c r="R1270" t="str">
        <f>_xlfn.CONCAT(Table_TRM_Fixtures[[#This Row],[Technology]], " ", Table_TRM_Fixtures[[#This Row],[Ballast Code]], " Ballast")</f>
        <v>T12 Magnetic STD Ballast</v>
      </c>
      <c r="S1270" t="str">
        <f>Table_TRM_Fixtures[[#This Row],[Description  (TRM Data)]]</f>
        <v>Fluorescent, (4) 36", ES lamps</v>
      </c>
      <c r="T1270" t="str">
        <f>Table_TRM_Fixtures[[#This Row],[Fixture code  (TRM Data)]]</f>
        <v>F34EE</v>
      </c>
      <c r="U1270" t="s">
        <v>2883</v>
      </c>
      <c r="V1270" t="s">
        <v>5562</v>
      </c>
      <c r="W1270" t="s">
        <v>3120</v>
      </c>
      <c r="X1270" t="s">
        <v>186</v>
      </c>
      <c r="AA1270">
        <f>IF(Table_TRM_Fixtures[[#This Row],[Pre-EISA Baseline]]="Nominal", Table_TRM_Fixtures[[#This Row],[Fixture Watts  (TRM Data)]], Table_TRM_Fixtures[[#This Row],[Modified Baseline Fixture Watts]])</f>
        <v>132</v>
      </c>
    </row>
    <row r="1271" spans="1:27" x14ac:dyDescent="0.2">
      <c r="A1271" t="s">
        <v>2270</v>
      </c>
      <c r="B1271" t="s">
        <v>5776</v>
      </c>
      <c r="C1271" t="s">
        <v>2269</v>
      </c>
      <c r="D1271" t="s">
        <v>5774</v>
      </c>
      <c r="E1271" t="s">
        <v>1722</v>
      </c>
      <c r="F1271">
        <v>6</v>
      </c>
      <c r="G1271">
        <v>30</v>
      </c>
      <c r="H1271">
        <v>198</v>
      </c>
      <c r="I1271">
        <v>8.5</v>
      </c>
      <c r="J1271" s="110">
        <v>1269</v>
      </c>
      <c r="K1271" t="s">
        <v>2196</v>
      </c>
      <c r="L1271">
        <f>IF(Table_TRM_Fixtures[[#This Row],[Technology]]="LED", Table_TRM_Fixtures[[#This Row],[Fixture Watts  (TRM Data)]], Table_TRM_Fixtures[[#This Row],[Lamp Watts  (TRM Data)]])</f>
        <v>30</v>
      </c>
      <c r="M1271">
        <f>Table_TRM_Fixtures[[#This Row],[No. of Lamps  (TRM Data)]]</f>
        <v>6</v>
      </c>
      <c r="N1271">
        <v>36</v>
      </c>
      <c r="O1271" t="s">
        <v>1381</v>
      </c>
      <c r="P1271" t="s">
        <v>2640</v>
      </c>
      <c r="Q1271" t="s">
        <v>5608</v>
      </c>
      <c r="R1271" t="str">
        <f>_xlfn.CONCAT(Table_TRM_Fixtures[[#This Row],[Technology]], " ", Table_TRM_Fixtures[[#This Row],[Ballast Code]], " Ballast")</f>
        <v>T12 Magnetic STD Ballast</v>
      </c>
      <c r="S1271" t="str">
        <f>Table_TRM_Fixtures[[#This Row],[Description  (TRM Data)]]</f>
        <v>Fluorescent, (6) 36", ES lamps</v>
      </c>
      <c r="T1271" t="str">
        <f>Table_TRM_Fixtures[[#This Row],[Fixture code  (TRM Data)]]</f>
        <v>F36EE</v>
      </c>
      <c r="U1271" t="s">
        <v>2883</v>
      </c>
      <c r="V1271" t="s">
        <v>5562</v>
      </c>
      <c r="W1271" t="s">
        <v>3120</v>
      </c>
      <c r="X1271" t="s">
        <v>186</v>
      </c>
      <c r="AA1271">
        <f>IF(Table_TRM_Fixtures[[#This Row],[Pre-EISA Baseline]]="Nominal", Table_TRM_Fixtures[[#This Row],[Fixture Watts  (TRM Data)]], Table_TRM_Fixtures[[#This Row],[Modified Baseline Fixture Watts]])</f>
        <v>198</v>
      </c>
    </row>
    <row r="1272" spans="1:27" x14ac:dyDescent="0.2">
      <c r="A1272" t="s">
        <v>2271</v>
      </c>
      <c r="B1272" t="s">
        <v>5776</v>
      </c>
      <c r="C1272" t="s">
        <v>2269</v>
      </c>
      <c r="D1272" t="s">
        <v>5774</v>
      </c>
      <c r="E1272" t="s">
        <v>1309</v>
      </c>
      <c r="F1272">
        <v>6</v>
      </c>
      <c r="G1272">
        <v>30</v>
      </c>
      <c r="H1272">
        <v>219</v>
      </c>
      <c r="I1272">
        <v>8.5</v>
      </c>
      <c r="J1272" s="110">
        <v>1270</v>
      </c>
      <c r="K1272" t="s">
        <v>2196</v>
      </c>
      <c r="L1272">
        <f>IF(Table_TRM_Fixtures[[#This Row],[Technology]]="LED", Table_TRM_Fixtures[[#This Row],[Fixture Watts  (TRM Data)]], Table_TRM_Fixtures[[#This Row],[Lamp Watts  (TRM Data)]])</f>
        <v>30</v>
      </c>
      <c r="M1272">
        <f>Table_TRM_Fixtures[[#This Row],[No. of Lamps  (TRM Data)]]</f>
        <v>6</v>
      </c>
      <c r="N1272">
        <v>36</v>
      </c>
      <c r="O1272" t="s">
        <v>1381</v>
      </c>
      <c r="P1272" t="s">
        <v>2640</v>
      </c>
      <c r="Q1272" t="s">
        <v>5608</v>
      </c>
      <c r="R1272" t="str">
        <f>_xlfn.CONCAT(Table_TRM_Fixtures[[#This Row],[Technology]], " ", Table_TRM_Fixtures[[#This Row],[Ballast Code]], " Ballast")</f>
        <v>T12 Magnetic STD Ballast</v>
      </c>
      <c r="S1272" t="str">
        <f>Table_TRM_Fixtures[[#This Row],[Description  (TRM Data)]]</f>
        <v>Fluorescent, (6) 36", ES lamps</v>
      </c>
      <c r="T1272" t="str">
        <f>Table_TRM_Fixtures[[#This Row],[Fixture code  (TRM Data)]]</f>
        <v>F36ES</v>
      </c>
      <c r="U1272" t="s">
        <v>2883</v>
      </c>
      <c r="V1272" t="s">
        <v>5562</v>
      </c>
      <c r="W1272" t="s">
        <v>3120</v>
      </c>
      <c r="X1272" t="s">
        <v>186</v>
      </c>
      <c r="AA1272">
        <f>IF(Table_TRM_Fixtures[[#This Row],[Pre-EISA Baseline]]="Nominal", Table_TRM_Fixtures[[#This Row],[Fixture Watts  (TRM Data)]], Table_TRM_Fixtures[[#This Row],[Modified Baseline Fixture Watts]])</f>
        <v>219</v>
      </c>
    </row>
    <row r="1273" spans="1:27" x14ac:dyDescent="0.2">
      <c r="A1273" t="s">
        <v>2273</v>
      </c>
      <c r="B1273" t="s">
        <v>5779</v>
      </c>
      <c r="C1273" t="s">
        <v>2272</v>
      </c>
      <c r="D1273" t="s">
        <v>5780</v>
      </c>
      <c r="E1273" t="s">
        <v>1309</v>
      </c>
      <c r="F1273">
        <v>1</v>
      </c>
      <c r="G1273">
        <v>50</v>
      </c>
      <c r="H1273">
        <v>70</v>
      </c>
      <c r="I1273">
        <v>8.5</v>
      </c>
      <c r="J1273" s="110">
        <v>1271</v>
      </c>
      <c r="K1273" t="s">
        <v>1380</v>
      </c>
      <c r="L1273">
        <f>IF(Table_TRM_Fixtures[[#This Row],[Technology]]="LED", Table_TRM_Fixtures[[#This Row],[Fixture Watts  (TRM Data)]], Table_TRM_Fixtures[[#This Row],[Lamp Watts  (TRM Data)]])</f>
        <v>50</v>
      </c>
      <c r="M1273">
        <f>Table_TRM_Fixtures[[#This Row],[No. of Lamps  (TRM Data)]]</f>
        <v>1</v>
      </c>
      <c r="N1273">
        <v>36</v>
      </c>
      <c r="O1273" t="s">
        <v>1405</v>
      </c>
      <c r="P1273" t="s">
        <v>2640</v>
      </c>
      <c r="Q1273" t="s">
        <v>5781</v>
      </c>
      <c r="R1273" t="str">
        <f>_xlfn.CONCAT(Table_TRM_Fixtures[[#This Row],[Technology]], " ", Table_TRM_Fixtures[[#This Row],[Ballast Code]], " Ballast")</f>
        <v>T5 Magnetic HLO Ballast</v>
      </c>
      <c r="S1273" t="str">
        <f>Table_TRM_Fixtures[[#This Row],[Description  (TRM Data)]]</f>
        <v>Fluorescent, (1) 36", HO lamp</v>
      </c>
      <c r="T1273" t="str">
        <f>Table_TRM_Fixtures[[#This Row],[Fixture code  (TRM Data)]]</f>
        <v>F31SHS</v>
      </c>
      <c r="U1273" t="s">
        <v>2883</v>
      </c>
      <c r="V1273" t="s">
        <v>5562</v>
      </c>
      <c r="W1273" t="s">
        <v>3120</v>
      </c>
      <c r="X1273" t="s">
        <v>186</v>
      </c>
      <c r="AA1273">
        <f>IF(Table_TRM_Fixtures[[#This Row],[Pre-EISA Baseline]]="Nominal", Table_TRM_Fixtures[[#This Row],[Fixture Watts  (TRM Data)]], Table_TRM_Fixtures[[#This Row],[Modified Baseline Fixture Watts]])</f>
        <v>70</v>
      </c>
    </row>
    <row r="1274" spans="1:27" x14ac:dyDescent="0.2">
      <c r="A1274" t="s">
        <v>2275</v>
      </c>
      <c r="B1274" t="s">
        <v>5779</v>
      </c>
      <c r="C1274" t="s">
        <v>2274</v>
      </c>
      <c r="D1274" t="s">
        <v>5782</v>
      </c>
      <c r="E1274" t="s">
        <v>1309</v>
      </c>
      <c r="F1274">
        <v>2</v>
      </c>
      <c r="G1274">
        <v>50</v>
      </c>
      <c r="H1274">
        <v>114</v>
      </c>
      <c r="I1274">
        <v>8.5</v>
      </c>
      <c r="J1274" s="110">
        <v>1272</v>
      </c>
      <c r="K1274" t="s">
        <v>2196</v>
      </c>
      <c r="L1274">
        <f>IF(Table_TRM_Fixtures[[#This Row],[Technology]]="LED", Table_TRM_Fixtures[[#This Row],[Fixture Watts  (TRM Data)]], Table_TRM_Fixtures[[#This Row],[Lamp Watts  (TRM Data)]])</f>
        <v>50</v>
      </c>
      <c r="M1274">
        <f>Table_TRM_Fixtures[[#This Row],[No. of Lamps  (TRM Data)]]</f>
        <v>2</v>
      </c>
      <c r="N1274">
        <v>36</v>
      </c>
      <c r="O1274" t="s">
        <v>2211</v>
      </c>
      <c r="P1274" t="s">
        <v>2640</v>
      </c>
      <c r="Q1274" t="s">
        <v>5608</v>
      </c>
      <c r="R1274" t="str">
        <f>_xlfn.CONCAT(Table_TRM_Fixtures[[#This Row],[Technology]], " ", Table_TRM_Fixtures[[#This Row],[Ballast Code]], " Ballast")</f>
        <v>T12 Magnetic STD Ballast</v>
      </c>
      <c r="S1274" t="str">
        <f>Table_TRM_Fixtures[[#This Row],[Description  (TRM Data)]]</f>
        <v>Fluorescent, (2) 36", HO, lamps</v>
      </c>
      <c r="T1274" t="str">
        <f>Table_TRM_Fixtures[[#This Row],[Fixture code  (TRM Data)]]</f>
        <v>F32SHS</v>
      </c>
      <c r="U1274" t="s">
        <v>2883</v>
      </c>
      <c r="V1274" t="s">
        <v>5562</v>
      </c>
      <c r="W1274" t="s">
        <v>3120</v>
      </c>
      <c r="X1274" t="s">
        <v>186</v>
      </c>
      <c r="AA1274">
        <f>IF(Table_TRM_Fixtures[[#This Row],[Pre-EISA Baseline]]="Nominal", Table_TRM_Fixtures[[#This Row],[Fixture Watts  (TRM Data)]], Table_TRM_Fixtures[[#This Row],[Modified Baseline Fixture Watts]])</f>
        <v>114</v>
      </c>
    </row>
    <row r="1275" spans="1:27" x14ac:dyDescent="0.2">
      <c r="A1275" t="s">
        <v>2277</v>
      </c>
      <c r="B1275" t="s">
        <v>5783</v>
      </c>
      <c r="C1275" t="s">
        <v>2276</v>
      </c>
      <c r="D1275" t="s">
        <v>5784</v>
      </c>
      <c r="E1275" t="s">
        <v>187</v>
      </c>
      <c r="F1275">
        <v>1</v>
      </c>
      <c r="G1275">
        <v>40</v>
      </c>
      <c r="H1275">
        <v>46</v>
      </c>
      <c r="I1275">
        <v>15.5</v>
      </c>
      <c r="J1275" s="110">
        <v>1273</v>
      </c>
      <c r="K1275" t="s">
        <v>2196</v>
      </c>
      <c r="L1275">
        <f>IF(Table_TRM_Fixtures[[#This Row],[Technology]]="LED", Table_TRM_Fixtures[[#This Row],[Fixture Watts  (TRM Data)]], Table_TRM_Fixtures[[#This Row],[Lamp Watts  (TRM Data)]])</f>
        <v>40</v>
      </c>
      <c r="M1275">
        <f>Table_TRM_Fixtures[[#This Row],[No. of Lamps  (TRM Data)]]</f>
        <v>1</v>
      </c>
      <c r="N1275">
        <v>48</v>
      </c>
      <c r="O1275" t="s">
        <v>1381</v>
      </c>
      <c r="P1275" t="s">
        <v>187</v>
      </c>
      <c r="Q1275" t="s">
        <v>5612</v>
      </c>
      <c r="R1275" t="str">
        <f>_xlfn.CONCAT(Table_TRM_Fixtures[[#This Row],[Technology]], ", ", Table_TRM_Fixtures[[#This Row],[Ballast Code]], " Ballast")</f>
        <v>T12, Electronic STD Ballast</v>
      </c>
      <c r="S1275" t="str">
        <f>Table_TRM_Fixtures[[#This Row],[Description  (TRM Data)]]</f>
        <v>Fluorescent, (1) 48", STD IS lamp, Electronic ballast</v>
      </c>
      <c r="T1275" t="str">
        <f>Table_TRM_Fixtures[[#This Row],[Fixture code  (TRM Data)]]</f>
        <v>F41SIL</v>
      </c>
      <c r="U1275" t="s">
        <v>2882</v>
      </c>
      <c r="V1275" t="s">
        <v>186</v>
      </c>
      <c r="W1275" t="s">
        <v>5764</v>
      </c>
      <c r="X1275">
        <v>31</v>
      </c>
      <c r="Y1275" t="str">
        <f>_xlfn.CONCAT(Table_TRM_Fixtures[[#This Row],[Combined Lighting/Ballast Types]],":",Table_TRM_Fixtures[[#This Row],[No. of Lamps]], ":", Table_TRM_Fixtures[[#This Row],[Lamp Watts  (TRM Data)]])</f>
        <v>T12, Electronic STD Ballast:1:40</v>
      </c>
      <c r="Z1275"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T12:1:40</v>
      </c>
      <c r="AA1275">
        <f>IF(Table_TRM_Fixtures[[#This Row],[Pre-EISA Baseline]]="Nominal", Table_TRM_Fixtures[[#This Row],[Fixture Watts  (TRM Data)]], Table_TRM_Fixtures[[#This Row],[Modified Baseline Fixture Watts]])</f>
        <v>31</v>
      </c>
    </row>
    <row r="1276" spans="1:27" x14ac:dyDescent="0.2">
      <c r="A1276" t="s">
        <v>2279</v>
      </c>
      <c r="B1276" t="s">
        <v>5783</v>
      </c>
      <c r="C1276" t="s">
        <v>2278</v>
      </c>
      <c r="D1276" t="s">
        <v>5784</v>
      </c>
      <c r="E1276" t="s">
        <v>187</v>
      </c>
      <c r="F1276">
        <v>1</v>
      </c>
      <c r="G1276">
        <v>40</v>
      </c>
      <c r="H1276">
        <v>37</v>
      </c>
      <c r="I1276">
        <v>15.5</v>
      </c>
      <c r="J1276" s="110">
        <v>1274</v>
      </c>
      <c r="K1276" t="s">
        <v>2196</v>
      </c>
      <c r="L1276">
        <f>IF(Table_TRM_Fixtures[[#This Row],[Technology]]="LED", Table_TRM_Fixtures[[#This Row],[Fixture Watts  (TRM Data)]], Table_TRM_Fixtures[[#This Row],[Lamp Watts  (TRM Data)]])</f>
        <v>40</v>
      </c>
      <c r="M1276">
        <f>Table_TRM_Fixtures[[#This Row],[No. of Lamps  (TRM Data)]]</f>
        <v>1</v>
      </c>
      <c r="N1276">
        <v>48</v>
      </c>
      <c r="O1276" t="s">
        <v>1381</v>
      </c>
      <c r="P1276" t="s">
        <v>187</v>
      </c>
      <c r="Q1276" t="s">
        <v>5612</v>
      </c>
      <c r="R1276" t="str">
        <f>_xlfn.CONCAT(Table_TRM_Fixtures[[#This Row],[Technology]], ", ", Table_TRM_Fixtures[[#This Row],[Ballast Code]], " Ballast")</f>
        <v>T12, Electronic STD Ballast</v>
      </c>
      <c r="S1276" t="str">
        <f>Table_TRM_Fixtures[[#This Row],[Description  (TRM Data)]]</f>
        <v>Fluorescent, (1) 48", STD IS lamp, Tandem 2-lamp IS ballast</v>
      </c>
      <c r="T1276" t="str">
        <f>Table_TRM_Fixtures[[#This Row],[Fixture code  (TRM Data)]]</f>
        <v>F41SIL/T2</v>
      </c>
      <c r="U1276" t="s">
        <v>2882</v>
      </c>
      <c r="V1276" t="s">
        <v>186</v>
      </c>
      <c r="W1276" t="s">
        <v>5764</v>
      </c>
      <c r="X1276">
        <v>31</v>
      </c>
      <c r="Y1276" t="s">
        <v>4815</v>
      </c>
      <c r="Z1276" t="s">
        <v>4815</v>
      </c>
      <c r="AA1276">
        <f>IF(Table_TRM_Fixtures[[#This Row],[Pre-EISA Baseline]]="Nominal", Table_TRM_Fixtures[[#This Row],[Fixture Watts  (TRM Data)]], Table_TRM_Fixtures[[#This Row],[Modified Baseline Fixture Watts]])</f>
        <v>31</v>
      </c>
    </row>
    <row r="1277" spans="1:27" x14ac:dyDescent="0.2">
      <c r="A1277" t="s">
        <v>2281</v>
      </c>
      <c r="B1277" t="s">
        <v>5783</v>
      </c>
      <c r="C1277" t="s">
        <v>2280</v>
      </c>
      <c r="D1277" t="s">
        <v>5785</v>
      </c>
      <c r="E1277" t="s">
        <v>187</v>
      </c>
      <c r="F1277">
        <v>2</v>
      </c>
      <c r="G1277">
        <v>40</v>
      </c>
      <c r="H1277">
        <v>74</v>
      </c>
      <c r="I1277">
        <v>15.5</v>
      </c>
      <c r="J1277" s="110">
        <v>1275</v>
      </c>
      <c r="K1277" t="s">
        <v>2196</v>
      </c>
      <c r="L1277">
        <f>IF(Table_TRM_Fixtures[[#This Row],[Technology]]="LED", Table_TRM_Fixtures[[#This Row],[Fixture Watts  (TRM Data)]], Table_TRM_Fixtures[[#This Row],[Lamp Watts  (TRM Data)]])</f>
        <v>40</v>
      </c>
      <c r="M1277">
        <f>Table_TRM_Fixtures[[#This Row],[No. of Lamps  (TRM Data)]]</f>
        <v>2</v>
      </c>
      <c r="N1277">
        <v>48</v>
      </c>
      <c r="O1277" t="s">
        <v>1381</v>
      </c>
      <c r="P1277" t="s">
        <v>187</v>
      </c>
      <c r="Q1277" t="s">
        <v>5612</v>
      </c>
      <c r="R1277" t="str">
        <f>_xlfn.CONCAT(Table_TRM_Fixtures[[#This Row],[Technology]], ", ", Table_TRM_Fixtures[[#This Row],[Ballast Code]], " Ballast")</f>
        <v>T12, Electronic STD Ballast</v>
      </c>
      <c r="S1277" t="str">
        <f>Table_TRM_Fixtures[[#This Row],[Description  (TRM Data)]]</f>
        <v>Fluorescent, (2) 48", STD IS lamps, Electronic ballast</v>
      </c>
      <c r="T1277" t="str">
        <f>Table_TRM_Fixtures[[#This Row],[Fixture code  (TRM Data)]]</f>
        <v>F42SIL</v>
      </c>
      <c r="U1277" t="s">
        <v>2882</v>
      </c>
      <c r="V1277" t="s">
        <v>186</v>
      </c>
      <c r="W1277" t="s">
        <v>5764</v>
      </c>
      <c r="X1277">
        <v>58</v>
      </c>
      <c r="Y1277" t="str">
        <f>_xlfn.CONCAT(Table_TRM_Fixtures[[#This Row],[Combined Lighting/Ballast Types]],":",Table_TRM_Fixtures[[#This Row],[No. of Lamps]], ":", Table_TRM_Fixtures[[#This Row],[Lamp Watts  (TRM Data)]])</f>
        <v>T12, Electronic STD Ballast:2:40</v>
      </c>
      <c r="Z1277"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T12:2:40</v>
      </c>
      <c r="AA1277">
        <f>IF(Table_TRM_Fixtures[[#This Row],[Pre-EISA Baseline]]="Nominal", Table_TRM_Fixtures[[#This Row],[Fixture Watts  (TRM Data)]], Table_TRM_Fixtures[[#This Row],[Modified Baseline Fixture Watts]])</f>
        <v>58</v>
      </c>
    </row>
    <row r="1278" spans="1:27" x14ac:dyDescent="0.2">
      <c r="A1278" t="s">
        <v>2283</v>
      </c>
      <c r="B1278" t="s">
        <v>5783</v>
      </c>
      <c r="C1278" t="s">
        <v>2282</v>
      </c>
      <c r="D1278" t="s">
        <v>5786</v>
      </c>
      <c r="E1278" t="s">
        <v>187</v>
      </c>
      <c r="F1278">
        <v>3</v>
      </c>
      <c r="G1278">
        <v>40</v>
      </c>
      <c r="H1278">
        <v>120</v>
      </c>
      <c r="I1278">
        <v>15.5</v>
      </c>
      <c r="J1278" s="110">
        <v>1276</v>
      </c>
      <c r="K1278" t="s">
        <v>2196</v>
      </c>
      <c r="L1278">
        <f>IF(Table_TRM_Fixtures[[#This Row],[Technology]]="LED", Table_TRM_Fixtures[[#This Row],[Fixture Watts  (TRM Data)]], Table_TRM_Fixtures[[#This Row],[Lamp Watts  (TRM Data)]])</f>
        <v>40</v>
      </c>
      <c r="M1278">
        <f>Table_TRM_Fixtures[[#This Row],[No. of Lamps  (TRM Data)]]</f>
        <v>3</v>
      </c>
      <c r="N1278">
        <v>48</v>
      </c>
      <c r="O1278" t="s">
        <v>1381</v>
      </c>
      <c r="P1278" t="s">
        <v>187</v>
      </c>
      <c r="Q1278" t="s">
        <v>5612</v>
      </c>
      <c r="R1278" t="str">
        <f>_xlfn.CONCAT(Table_TRM_Fixtures[[#This Row],[Technology]], ", ", Table_TRM_Fixtures[[#This Row],[Ballast Code]], " Ballast")</f>
        <v>T12, Electronic STD Ballast</v>
      </c>
      <c r="S1278" t="str">
        <f>Table_TRM_Fixtures[[#This Row],[Description  (TRM Data)]]</f>
        <v>Fluorescent, (3) 48", STD IS lamps, Electronic ballast</v>
      </c>
      <c r="T1278" t="str">
        <f>Table_TRM_Fixtures[[#This Row],[Fixture code  (TRM Data)]]</f>
        <v>F43SIL</v>
      </c>
      <c r="U1278" t="s">
        <v>2882</v>
      </c>
      <c r="V1278" t="s">
        <v>186</v>
      </c>
      <c r="W1278" t="s">
        <v>5764</v>
      </c>
      <c r="X1278">
        <v>85</v>
      </c>
      <c r="Y1278" t="str">
        <f>_xlfn.CONCAT(Table_TRM_Fixtures[[#This Row],[Combined Lighting/Ballast Types]],":",Table_TRM_Fixtures[[#This Row],[No. of Lamps]], ":", Table_TRM_Fixtures[[#This Row],[Lamp Watts  (TRM Data)]])</f>
        <v>T12, Electronic STD Ballast:3:40</v>
      </c>
      <c r="Z1278"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T12:3:40</v>
      </c>
      <c r="AA1278">
        <f>IF(Table_TRM_Fixtures[[#This Row],[Pre-EISA Baseline]]="Nominal", Table_TRM_Fixtures[[#This Row],[Fixture Watts  (TRM Data)]], Table_TRM_Fixtures[[#This Row],[Modified Baseline Fixture Watts]])</f>
        <v>85</v>
      </c>
    </row>
    <row r="1279" spans="1:27" x14ac:dyDescent="0.2">
      <c r="A1279" t="s">
        <v>2285</v>
      </c>
      <c r="B1279" t="s">
        <v>5783</v>
      </c>
      <c r="C1279" t="s">
        <v>2284</v>
      </c>
      <c r="D1279" t="s">
        <v>5787</v>
      </c>
      <c r="E1279" t="s">
        <v>187</v>
      </c>
      <c r="F1279">
        <v>4</v>
      </c>
      <c r="G1279">
        <v>40</v>
      </c>
      <c r="H1279">
        <v>148</v>
      </c>
      <c r="I1279">
        <v>15.5</v>
      </c>
      <c r="J1279" s="110">
        <v>1277</v>
      </c>
      <c r="K1279" t="s">
        <v>2196</v>
      </c>
      <c r="L1279">
        <f>IF(Table_TRM_Fixtures[[#This Row],[Technology]]="LED", Table_TRM_Fixtures[[#This Row],[Fixture Watts  (TRM Data)]], Table_TRM_Fixtures[[#This Row],[Lamp Watts  (TRM Data)]])</f>
        <v>40</v>
      </c>
      <c r="M1279">
        <f>Table_TRM_Fixtures[[#This Row],[No. of Lamps  (TRM Data)]]</f>
        <v>4</v>
      </c>
      <c r="N1279">
        <v>48</v>
      </c>
      <c r="O1279" t="s">
        <v>1381</v>
      </c>
      <c r="P1279" t="s">
        <v>187</v>
      </c>
      <c r="Q1279" t="s">
        <v>5612</v>
      </c>
      <c r="R1279" t="str">
        <f>_xlfn.CONCAT(Table_TRM_Fixtures[[#This Row],[Technology]], ", ", Table_TRM_Fixtures[[#This Row],[Ballast Code]], " Ballast")</f>
        <v>T12, Electronic STD Ballast</v>
      </c>
      <c r="S1279" t="str">
        <f>Table_TRM_Fixtures[[#This Row],[Description  (TRM Data)]]</f>
        <v>Fluorescent, (4) 48", STD IS lamps, Electronic ballast</v>
      </c>
      <c r="T1279" t="str">
        <f>Table_TRM_Fixtures[[#This Row],[Fixture code  (TRM Data)]]</f>
        <v>F44SIL</v>
      </c>
      <c r="U1279" t="s">
        <v>2882</v>
      </c>
      <c r="V1279" t="s">
        <v>186</v>
      </c>
      <c r="W1279" t="s">
        <v>5764</v>
      </c>
      <c r="X1279">
        <v>112</v>
      </c>
      <c r="Y1279" t="str">
        <f>_xlfn.CONCAT(Table_TRM_Fixtures[[#This Row],[Combined Lighting/Ballast Types]],":",Table_TRM_Fixtures[[#This Row],[No. of Lamps]], ":", Table_TRM_Fixtures[[#This Row],[Lamp Watts  (TRM Data)]])</f>
        <v>T12, Electronic STD Ballast:4:40</v>
      </c>
      <c r="Z1279"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T12:4:40</v>
      </c>
      <c r="AA1279">
        <f>IF(Table_TRM_Fixtures[[#This Row],[Pre-EISA Baseline]]="Nominal", Table_TRM_Fixtures[[#This Row],[Fixture Watts  (TRM Data)]], Table_TRM_Fixtures[[#This Row],[Modified Baseline Fixture Watts]])</f>
        <v>112</v>
      </c>
    </row>
    <row r="1280" spans="1:27" x14ac:dyDescent="0.2">
      <c r="A1280" t="s">
        <v>2287</v>
      </c>
      <c r="B1280" t="s">
        <v>5783</v>
      </c>
      <c r="C1280" t="s">
        <v>2286</v>
      </c>
      <c r="D1280" t="s">
        <v>5788</v>
      </c>
      <c r="E1280" t="s">
        <v>187</v>
      </c>
      <c r="F1280">
        <v>6</v>
      </c>
      <c r="G1280">
        <v>40</v>
      </c>
      <c r="H1280">
        <v>186</v>
      </c>
      <c r="I1280">
        <v>15.5</v>
      </c>
      <c r="J1280" s="110">
        <v>1278</v>
      </c>
      <c r="K1280" t="s">
        <v>2196</v>
      </c>
      <c r="L1280">
        <f>IF(Table_TRM_Fixtures[[#This Row],[Technology]]="LED", Table_TRM_Fixtures[[#This Row],[Fixture Watts  (TRM Data)]], Table_TRM_Fixtures[[#This Row],[Lamp Watts  (TRM Data)]])</f>
        <v>40</v>
      </c>
      <c r="M1280">
        <f>Table_TRM_Fixtures[[#This Row],[No. of Lamps  (TRM Data)]]</f>
        <v>6</v>
      </c>
      <c r="N1280">
        <v>48</v>
      </c>
      <c r="O1280" t="s">
        <v>1381</v>
      </c>
      <c r="P1280" t="s">
        <v>187</v>
      </c>
      <c r="Q1280" t="s">
        <v>5612</v>
      </c>
      <c r="R1280" t="str">
        <f>_xlfn.CONCAT(Table_TRM_Fixtures[[#This Row],[Technology]], ", ", Table_TRM_Fixtures[[#This Row],[Ballast Code]], " Ballast")</f>
        <v>T12, Electronic STD Ballast</v>
      </c>
      <c r="S1280" t="str">
        <f>Table_TRM_Fixtures[[#This Row],[Description  (TRM Data)]]</f>
        <v>Fluorescent, (6) 48", STD lamps</v>
      </c>
      <c r="T1280" t="str">
        <f>Table_TRM_Fixtures[[#This Row],[Fixture code  (TRM Data)]]</f>
        <v>F46SL</v>
      </c>
      <c r="U1280" t="s">
        <v>2882</v>
      </c>
      <c r="V1280" t="s">
        <v>186</v>
      </c>
      <c r="W1280" t="s">
        <v>5764</v>
      </c>
      <c r="X1280">
        <v>170</v>
      </c>
      <c r="Y1280" t="str">
        <f>_xlfn.CONCAT(Table_TRM_Fixtures[[#This Row],[Combined Lighting/Ballast Types]],":",Table_TRM_Fixtures[[#This Row],[No. of Lamps]], ":", Table_TRM_Fixtures[[#This Row],[Lamp Watts  (TRM Data)]])</f>
        <v>T12, Electronic STD Ballast:6:40</v>
      </c>
      <c r="Z1280"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T12:6:40</v>
      </c>
      <c r="AA1280">
        <f>IF(Table_TRM_Fixtures[[#This Row],[Pre-EISA Baseline]]="Nominal", Table_TRM_Fixtures[[#This Row],[Fixture Watts  (TRM Data)]], Table_TRM_Fixtures[[#This Row],[Modified Baseline Fixture Watts]])</f>
        <v>170</v>
      </c>
    </row>
    <row r="1281" spans="1:27" x14ac:dyDescent="0.2">
      <c r="A1281" t="s">
        <v>2290</v>
      </c>
      <c r="B1281" t="s">
        <v>5789</v>
      </c>
      <c r="C1281" t="s">
        <v>2289</v>
      </c>
      <c r="D1281" t="s">
        <v>5790</v>
      </c>
      <c r="E1281" t="s">
        <v>1309</v>
      </c>
      <c r="F1281">
        <v>1</v>
      </c>
      <c r="G1281">
        <v>40</v>
      </c>
      <c r="H1281">
        <v>51</v>
      </c>
      <c r="I1281">
        <v>8.5</v>
      </c>
      <c r="J1281" s="110">
        <v>1279</v>
      </c>
      <c r="K1281" t="s">
        <v>2288</v>
      </c>
      <c r="L1281">
        <f>IF(Table_TRM_Fixtures[[#This Row],[Technology]]="LED", Table_TRM_Fixtures[[#This Row],[Fixture Watts  (TRM Data)]], Table_TRM_Fixtures[[#This Row],[Lamp Watts  (TRM Data)]])</f>
        <v>40</v>
      </c>
      <c r="M1281">
        <f>Table_TRM_Fixtures[[#This Row],[No. of Lamps  (TRM Data)]]</f>
        <v>1</v>
      </c>
      <c r="N1281">
        <v>48</v>
      </c>
      <c r="O1281" t="s">
        <v>1381</v>
      </c>
      <c r="P1281" t="s">
        <v>2640</v>
      </c>
      <c r="S1281" t="str">
        <f>Table_TRM_Fixtures[[#This Row],[Description  (TRM Data)]]</f>
        <v>Fluorescent, (1) 48", T-10 lamp</v>
      </c>
      <c r="T1281" t="str">
        <f>Table_TRM_Fixtures[[#This Row],[Fixture code  (TRM Data)]]</f>
        <v>F41TS</v>
      </c>
      <c r="U1281" t="s">
        <v>2883</v>
      </c>
      <c r="V1281" t="s">
        <v>2288</v>
      </c>
      <c r="W1281" t="s">
        <v>3120</v>
      </c>
      <c r="X1281" t="s">
        <v>186</v>
      </c>
      <c r="AA1281">
        <f>IF(Table_TRM_Fixtures[[#This Row],[Pre-EISA Baseline]]="Nominal", Table_TRM_Fixtures[[#This Row],[Fixture Watts  (TRM Data)]], Table_TRM_Fixtures[[#This Row],[Modified Baseline Fixture Watts]])</f>
        <v>51</v>
      </c>
    </row>
    <row r="1282" spans="1:27" x14ac:dyDescent="0.2">
      <c r="A1282" t="s">
        <v>2292</v>
      </c>
      <c r="B1282" t="s">
        <v>5791</v>
      </c>
      <c r="C1282" t="s">
        <v>2291</v>
      </c>
      <c r="D1282" t="s">
        <v>5792</v>
      </c>
      <c r="E1282" t="s">
        <v>1722</v>
      </c>
      <c r="F1282">
        <v>1</v>
      </c>
      <c r="G1282">
        <v>34</v>
      </c>
      <c r="H1282">
        <v>43</v>
      </c>
      <c r="I1282">
        <v>8.5</v>
      </c>
      <c r="J1282" s="110">
        <v>1280</v>
      </c>
      <c r="K1282" t="s">
        <v>2196</v>
      </c>
      <c r="L1282">
        <f>IF(Table_TRM_Fixtures[[#This Row],[Technology]]="LED", Table_TRM_Fixtures[[#This Row],[Fixture Watts  (TRM Data)]], Table_TRM_Fixtures[[#This Row],[Lamp Watts  (TRM Data)]])</f>
        <v>34</v>
      </c>
      <c r="M1282">
        <f>Table_TRM_Fixtures[[#This Row],[No. of Lamps  (TRM Data)]]</f>
        <v>1</v>
      </c>
      <c r="N1282">
        <v>48</v>
      </c>
      <c r="O1282" t="s">
        <v>1381</v>
      </c>
      <c r="P1282" t="s">
        <v>2640</v>
      </c>
      <c r="Q1282" t="s">
        <v>5608</v>
      </c>
      <c r="R1282" t="str">
        <f>_xlfn.CONCAT(Table_TRM_Fixtures[[#This Row],[Technology]], ", ", Table_TRM_Fixtures[[#This Row],[Ballast Code]], " Ballast")</f>
        <v>T12, Magnetic STD Ballast</v>
      </c>
      <c r="S1282" t="str">
        <f>Table_TRM_Fixtures[[#This Row],[Description  (TRM Data)]]</f>
        <v>Fluorescent, (1) 48", ES lamp</v>
      </c>
      <c r="T1282" t="str">
        <f>Table_TRM_Fixtures[[#This Row],[Fixture code  (TRM Data)]]</f>
        <v>F41EE</v>
      </c>
      <c r="U1282" t="s">
        <v>2882</v>
      </c>
      <c r="V1282" t="s">
        <v>186</v>
      </c>
      <c r="W1282" t="s">
        <v>5764</v>
      </c>
      <c r="X1282">
        <v>31</v>
      </c>
      <c r="Y1282" t="str">
        <f>_xlfn.CONCAT(Table_TRM_Fixtures[[#This Row],[Combined Lighting/Ballast Types]],":",Table_TRM_Fixtures[[#This Row],[No. of Lamps]], ":", Table_TRM_Fixtures[[#This Row],[Lamp Watts  (TRM Data)]])</f>
        <v>T12, Magnetic STD Ballast:1:34</v>
      </c>
      <c r="Z1282" t="s">
        <v>4815</v>
      </c>
      <c r="AA1282">
        <f>IF(Table_TRM_Fixtures[[#This Row],[Pre-EISA Baseline]]="Nominal", Table_TRM_Fixtures[[#This Row],[Fixture Watts  (TRM Data)]], Table_TRM_Fixtures[[#This Row],[Modified Baseline Fixture Watts]])</f>
        <v>31</v>
      </c>
    </row>
    <row r="1283" spans="1:27" x14ac:dyDescent="0.2">
      <c r="A1283" t="s">
        <v>2294</v>
      </c>
      <c r="B1283" t="s">
        <v>5791</v>
      </c>
      <c r="C1283" t="s">
        <v>2293</v>
      </c>
      <c r="D1283" t="s">
        <v>5792</v>
      </c>
      <c r="E1283" t="s">
        <v>1722</v>
      </c>
      <c r="F1283">
        <v>1</v>
      </c>
      <c r="G1283">
        <v>34</v>
      </c>
      <c r="H1283">
        <v>43</v>
      </c>
      <c r="I1283">
        <v>8.5</v>
      </c>
      <c r="J1283" s="110">
        <v>1281</v>
      </c>
      <c r="K1283" t="s">
        <v>2196</v>
      </c>
      <c r="L1283">
        <f>IF(Table_TRM_Fixtures[[#This Row],[Technology]]="LED", Table_TRM_Fixtures[[#This Row],[Fixture Watts  (TRM Data)]], Table_TRM_Fixtures[[#This Row],[Lamp Watts  (TRM Data)]])</f>
        <v>34</v>
      </c>
      <c r="M1283">
        <f>Table_TRM_Fixtures[[#This Row],[No. of Lamps  (TRM Data)]]</f>
        <v>1</v>
      </c>
      <c r="N1283">
        <v>48</v>
      </c>
      <c r="O1283" t="s">
        <v>1381</v>
      </c>
      <c r="P1283" t="s">
        <v>2640</v>
      </c>
      <c r="Q1283" t="s">
        <v>5608</v>
      </c>
      <c r="R1283" t="str">
        <f>_xlfn.CONCAT(Table_TRM_Fixtures[[#This Row],[Technology]], ", ", Table_TRM_Fixtures[[#This Row],[Ballast Code]], " Ballast")</f>
        <v>T12, Magnetic STD Ballast</v>
      </c>
      <c r="S1283" t="str">
        <f>Table_TRM_Fixtures[[#This Row],[Description  (TRM Data)]]</f>
        <v>Fluorescent, (1) 48", ES lamp, 2 ballast</v>
      </c>
      <c r="T1283" t="str">
        <f>Table_TRM_Fixtures[[#This Row],[Fixture code  (TRM Data)]]</f>
        <v>F41EE/2</v>
      </c>
      <c r="U1283" t="s">
        <v>2882</v>
      </c>
      <c r="V1283" t="s">
        <v>186</v>
      </c>
      <c r="W1283" t="s">
        <v>5764</v>
      </c>
      <c r="X1283">
        <v>31</v>
      </c>
      <c r="Y1283" t="s">
        <v>4815</v>
      </c>
      <c r="Z1283" t="s">
        <v>4815</v>
      </c>
      <c r="AA1283">
        <f>IF(Table_TRM_Fixtures[[#This Row],[Pre-EISA Baseline]]="Nominal", Table_TRM_Fixtures[[#This Row],[Fixture Watts  (TRM Data)]], Table_TRM_Fixtures[[#This Row],[Modified Baseline Fixture Watts]])</f>
        <v>31</v>
      </c>
    </row>
    <row r="1284" spans="1:27" x14ac:dyDescent="0.2">
      <c r="A1284" t="s">
        <v>2296</v>
      </c>
      <c r="B1284" t="s">
        <v>5791</v>
      </c>
      <c r="C1284" t="s">
        <v>2295</v>
      </c>
      <c r="D1284" t="s">
        <v>5792</v>
      </c>
      <c r="E1284" t="s">
        <v>1722</v>
      </c>
      <c r="F1284">
        <v>1</v>
      </c>
      <c r="G1284">
        <v>34</v>
      </c>
      <c r="H1284">
        <v>36</v>
      </c>
      <c r="I1284">
        <v>8.5</v>
      </c>
      <c r="J1284" s="110">
        <v>1282</v>
      </c>
      <c r="K1284" t="s">
        <v>2196</v>
      </c>
      <c r="L1284">
        <f>IF(Table_TRM_Fixtures[[#This Row],[Technology]]="LED", Table_TRM_Fixtures[[#This Row],[Fixture Watts  (TRM Data)]], Table_TRM_Fixtures[[#This Row],[Lamp Watts  (TRM Data)]])</f>
        <v>34</v>
      </c>
      <c r="M1284">
        <f>Table_TRM_Fixtures[[#This Row],[No. of Lamps  (TRM Data)]]</f>
        <v>1</v>
      </c>
      <c r="N1284">
        <v>48</v>
      </c>
      <c r="O1284" t="s">
        <v>1381</v>
      </c>
      <c r="P1284" t="s">
        <v>2640</v>
      </c>
      <c r="Q1284" t="s">
        <v>5608</v>
      </c>
      <c r="R1284" t="str">
        <f>_xlfn.CONCAT(Table_TRM_Fixtures[[#This Row],[Technology]], ", ", Table_TRM_Fixtures[[#This Row],[Ballast Code]], " Ballast")</f>
        <v>T12, Magnetic STD Ballast</v>
      </c>
      <c r="S1284" t="str">
        <f>Table_TRM_Fixtures[[#This Row],[Description  (TRM Data)]]</f>
        <v>Fluorescent, (1) 48", ES lamp, Tandem 2-lamp ballast</v>
      </c>
      <c r="T1284" t="str">
        <f>Table_TRM_Fixtures[[#This Row],[Fixture code  (TRM Data)]]</f>
        <v>F41EE/T2</v>
      </c>
      <c r="U1284" t="s">
        <v>2882</v>
      </c>
      <c r="V1284" t="s">
        <v>186</v>
      </c>
      <c r="W1284" t="s">
        <v>5764</v>
      </c>
      <c r="X1284">
        <v>31</v>
      </c>
      <c r="Y1284" t="s">
        <v>4815</v>
      </c>
      <c r="Z1284" t="s">
        <v>4815</v>
      </c>
      <c r="AA1284">
        <f>IF(Table_TRM_Fixtures[[#This Row],[Pre-EISA Baseline]]="Nominal", Table_TRM_Fixtures[[#This Row],[Fixture Watts  (TRM Data)]], Table_TRM_Fixtures[[#This Row],[Modified Baseline Fixture Watts]])</f>
        <v>31</v>
      </c>
    </row>
    <row r="1285" spans="1:27" x14ac:dyDescent="0.2">
      <c r="A1285" t="s">
        <v>2298</v>
      </c>
      <c r="B1285" t="s">
        <v>5791</v>
      </c>
      <c r="C1285" t="s">
        <v>2297</v>
      </c>
      <c r="D1285" t="s">
        <v>5792</v>
      </c>
      <c r="E1285" t="s">
        <v>187</v>
      </c>
      <c r="F1285">
        <v>1</v>
      </c>
      <c r="G1285">
        <v>34</v>
      </c>
      <c r="H1285">
        <v>32</v>
      </c>
      <c r="I1285">
        <v>15.5</v>
      </c>
      <c r="J1285" s="110">
        <v>1283</v>
      </c>
      <c r="K1285" t="s">
        <v>2196</v>
      </c>
      <c r="L1285">
        <f>IF(Table_TRM_Fixtures[[#This Row],[Technology]]="LED", Table_TRM_Fixtures[[#This Row],[Fixture Watts  (TRM Data)]], Table_TRM_Fixtures[[#This Row],[Lamp Watts  (TRM Data)]])</f>
        <v>34</v>
      </c>
      <c r="M1285">
        <f>Table_TRM_Fixtures[[#This Row],[No. of Lamps  (TRM Data)]]</f>
        <v>1</v>
      </c>
      <c r="N1285">
        <v>48</v>
      </c>
      <c r="O1285" t="s">
        <v>1381</v>
      </c>
      <c r="P1285" t="s">
        <v>187</v>
      </c>
      <c r="Q1285" t="s">
        <v>5612</v>
      </c>
      <c r="R1285" t="str">
        <f>_xlfn.CONCAT(Table_TRM_Fixtures[[#This Row],[Technology]], ", ", Table_TRM_Fixtures[[#This Row],[Ballast Code]], " Ballast")</f>
        <v>T12, Electronic STD Ballast</v>
      </c>
      <c r="S1285" t="str">
        <f>Table_TRM_Fixtures[[#This Row],[Description  (TRM Data)]]</f>
        <v>Fluorescent, (1) 48", T12 ES lamp, Electronic Ballast</v>
      </c>
      <c r="T1285" t="str">
        <f>Table_TRM_Fixtures[[#This Row],[Fixture code  (TRM Data)]]</f>
        <v>F41EL</v>
      </c>
      <c r="U1285" t="s">
        <v>2882</v>
      </c>
      <c r="V1285" t="s">
        <v>186</v>
      </c>
      <c r="W1285" t="s">
        <v>5764</v>
      </c>
      <c r="X1285">
        <v>31</v>
      </c>
      <c r="Y1285" t="str">
        <f>_xlfn.CONCAT(Table_TRM_Fixtures[[#This Row],[Combined Lighting/Ballast Types]],":",Table_TRM_Fixtures[[#This Row],[No. of Lamps]], ":", Table_TRM_Fixtures[[#This Row],[Lamp Watts  (TRM Data)]])</f>
        <v>T12, Electronic STD Ballast:1:34</v>
      </c>
      <c r="Z1285"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T12:1:34</v>
      </c>
      <c r="AA1285">
        <f>IF(Table_TRM_Fixtures[[#This Row],[Pre-EISA Baseline]]="Nominal", Table_TRM_Fixtures[[#This Row],[Fixture Watts  (TRM Data)]], Table_TRM_Fixtures[[#This Row],[Modified Baseline Fixture Watts]])</f>
        <v>31</v>
      </c>
    </row>
    <row r="1286" spans="1:27" x14ac:dyDescent="0.2">
      <c r="A1286" t="s">
        <v>2300</v>
      </c>
      <c r="B1286" t="s">
        <v>5791</v>
      </c>
      <c r="C1286" t="s">
        <v>2299</v>
      </c>
      <c r="D1286" t="s">
        <v>5793</v>
      </c>
      <c r="E1286" t="s">
        <v>1722</v>
      </c>
      <c r="F1286">
        <v>2</v>
      </c>
      <c r="G1286">
        <v>34</v>
      </c>
      <c r="H1286">
        <v>72</v>
      </c>
      <c r="I1286">
        <v>8.5</v>
      </c>
      <c r="J1286" s="110">
        <v>1284</v>
      </c>
      <c r="K1286" t="s">
        <v>2196</v>
      </c>
      <c r="L1286">
        <f>IF(Table_TRM_Fixtures[[#This Row],[Technology]]="LED", Table_TRM_Fixtures[[#This Row],[Fixture Watts  (TRM Data)]], Table_TRM_Fixtures[[#This Row],[Lamp Watts  (TRM Data)]])</f>
        <v>34</v>
      </c>
      <c r="M1286">
        <f>Table_TRM_Fixtures[[#This Row],[No. of Lamps  (TRM Data)]]</f>
        <v>2</v>
      </c>
      <c r="N1286">
        <v>48</v>
      </c>
      <c r="O1286" t="s">
        <v>1381</v>
      </c>
      <c r="P1286" t="s">
        <v>2640</v>
      </c>
      <c r="Q1286" t="s">
        <v>5608</v>
      </c>
      <c r="R1286" t="str">
        <f>_xlfn.CONCAT(Table_TRM_Fixtures[[#This Row],[Technology]], ", ", Table_TRM_Fixtures[[#This Row],[Ballast Code]], " Ballast")</f>
        <v>T12, Magnetic STD Ballast</v>
      </c>
      <c r="S1286" t="str">
        <f>Table_TRM_Fixtures[[#This Row],[Description  (TRM Data)]]</f>
        <v>Fluorescent, (2) 48", ES lamp</v>
      </c>
      <c r="T1286" t="str">
        <f>Table_TRM_Fixtures[[#This Row],[Fixture code  (TRM Data)]]</f>
        <v>F42EE</v>
      </c>
      <c r="U1286" t="s">
        <v>2882</v>
      </c>
      <c r="V1286" t="s">
        <v>186</v>
      </c>
      <c r="W1286" t="s">
        <v>5764</v>
      </c>
      <c r="X1286">
        <v>58</v>
      </c>
      <c r="Y1286" t="str">
        <f>_xlfn.CONCAT(Table_TRM_Fixtures[[#This Row],[Combined Lighting/Ballast Types]],":",Table_TRM_Fixtures[[#This Row],[No. of Lamps]], ":", Table_TRM_Fixtures[[#This Row],[Lamp Watts  (TRM Data)]])</f>
        <v>T12, Magnetic STD Ballast:2:34</v>
      </c>
      <c r="Z1286" t="s">
        <v>4815</v>
      </c>
      <c r="AA1286">
        <f>IF(Table_TRM_Fixtures[[#This Row],[Pre-EISA Baseline]]="Nominal", Table_TRM_Fixtures[[#This Row],[Fixture Watts  (TRM Data)]], Table_TRM_Fixtures[[#This Row],[Modified Baseline Fixture Watts]])</f>
        <v>58</v>
      </c>
    </row>
    <row r="1287" spans="1:27" x14ac:dyDescent="0.2">
      <c r="A1287" t="s">
        <v>2302</v>
      </c>
      <c r="B1287" t="s">
        <v>5791</v>
      </c>
      <c r="C1287" t="s">
        <v>2301</v>
      </c>
      <c r="D1287" t="s">
        <v>5793</v>
      </c>
      <c r="E1287" t="s">
        <v>1722</v>
      </c>
      <c r="F1287">
        <v>2</v>
      </c>
      <c r="G1287">
        <v>34</v>
      </c>
      <c r="H1287">
        <v>86</v>
      </c>
      <c r="I1287">
        <v>8.5</v>
      </c>
      <c r="J1287" s="110">
        <v>1285</v>
      </c>
      <c r="K1287" t="s">
        <v>2196</v>
      </c>
      <c r="L1287">
        <f>IF(Table_TRM_Fixtures[[#This Row],[Technology]]="LED", Table_TRM_Fixtures[[#This Row],[Fixture Watts  (TRM Data)]], Table_TRM_Fixtures[[#This Row],[Lamp Watts  (TRM Data)]])</f>
        <v>34</v>
      </c>
      <c r="M1287">
        <f>Table_TRM_Fixtures[[#This Row],[No. of Lamps  (TRM Data)]]</f>
        <v>2</v>
      </c>
      <c r="N1287">
        <v>48</v>
      </c>
      <c r="O1287" t="s">
        <v>1381</v>
      </c>
      <c r="P1287" t="s">
        <v>2640</v>
      </c>
      <c r="Q1287" t="s">
        <v>5608</v>
      </c>
      <c r="R1287" t="str">
        <f>_xlfn.CONCAT(Table_TRM_Fixtures[[#This Row],[Technology]], ", ", Table_TRM_Fixtures[[#This Row],[Ballast Code]], " Ballast")</f>
        <v>T12, Magnetic STD Ballast</v>
      </c>
      <c r="S1287" t="str">
        <f>Table_TRM_Fixtures[[#This Row],[Description  (TRM Data)]]</f>
        <v>Fluorescent, (2) 48", ES lamps, (2) 1-lamp ballasts</v>
      </c>
      <c r="T1287" t="str">
        <f>Table_TRM_Fixtures[[#This Row],[Fixture code  (TRM Data)]]</f>
        <v>F42EE/2</v>
      </c>
      <c r="U1287" t="s">
        <v>2882</v>
      </c>
      <c r="V1287" t="s">
        <v>186</v>
      </c>
      <c r="W1287" t="s">
        <v>5764</v>
      </c>
      <c r="X1287">
        <v>58</v>
      </c>
      <c r="Y1287" t="s">
        <v>4815</v>
      </c>
      <c r="Z1287" t="s">
        <v>4815</v>
      </c>
      <c r="AA1287">
        <f>IF(Table_TRM_Fixtures[[#This Row],[Pre-EISA Baseline]]="Nominal", Table_TRM_Fixtures[[#This Row],[Fixture Watts  (TRM Data)]], Table_TRM_Fixtures[[#This Row],[Modified Baseline Fixture Watts]])</f>
        <v>58</v>
      </c>
    </row>
    <row r="1288" spans="1:27" x14ac:dyDescent="0.2">
      <c r="A1288" t="s">
        <v>2304</v>
      </c>
      <c r="B1288" t="s">
        <v>5791</v>
      </c>
      <c r="C1288" t="s">
        <v>2303</v>
      </c>
      <c r="D1288" t="s">
        <v>5793</v>
      </c>
      <c r="E1288" t="s">
        <v>1722</v>
      </c>
      <c r="F1288">
        <v>2</v>
      </c>
      <c r="G1288">
        <v>34</v>
      </c>
      <c r="H1288">
        <v>76</v>
      </c>
      <c r="I1288">
        <v>8.5</v>
      </c>
      <c r="J1288" s="110">
        <v>1286</v>
      </c>
      <c r="K1288" t="s">
        <v>2196</v>
      </c>
      <c r="L1288">
        <f>IF(Table_TRM_Fixtures[[#This Row],[Technology]]="LED", Table_TRM_Fixtures[[#This Row],[Fixture Watts  (TRM Data)]], Table_TRM_Fixtures[[#This Row],[Lamp Watts  (TRM Data)]])</f>
        <v>34</v>
      </c>
      <c r="M1288">
        <f>Table_TRM_Fixtures[[#This Row],[No. of Lamps  (TRM Data)]]</f>
        <v>2</v>
      </c>
      <c r="N1288">
        <v>48</v>
      </c>
      <c r="O1288" t="s">
        <v>1381</v>
      </c>
      <c r="P1288" t="s">
        <v>2640</v>
      </c>
      <c r="Q1288" t="s">
        <v>5608</v>
      </c>
      <c r="R1288" t="str">
        <f>_xlfn.CONCAT(Table_TRM_Fixtures[[#This Row],[Technology]], ", ", Table_TRM_Fixtures[[#This Row],[Ballast Code]], " Ballast")</f>
        <v>T12, Magnetic STD Ballast</v>
      </c>
      <c r="S1288" t="str">
        <f>Table_TRM_Fixtures[[#This Row],[Description  (TRM Data)]]</f>
        <v>Fluorescent, (2) 48", ES lamps, 2 Ballasts (delamped)</v>
      </c>
      <c r="T1288" t="str">
        <f>Table_TRM_Fixtures[[#This Row],[Fixture code  (TRM Data)]]</f>
        <v>F42EE/D2</v>
      </c>
      <c r="U1288" t="s">
        <v>2882</v>
      </c>
      <c r="V1288" t="s">
        <v>186</v>
      </c>
      <c r="W1288" t="s">
        <v>5764</v>
      </c>
      <c r="X1288">
        <v>58</v>
      </c>
      <c r="Y1288" t="s">
        <v>4815</v>
      </c>
      <c r="Z1288" t="s">
        <v>4815</v>
      </c>
      <c r="AA1288">
        <f>IF(Table_TRM_Fixtures[[#This Row],[Pre-EISA Baseline]]="Nominal", Table_TRM_Fixtures[[#This Row],[Fixture Watts  (TRM Data)]], Table_TRM_Fixtures[[#This Row],[Modified Baseline Fixture Watts]])</f>
        <v>58</v>
      </c>
    </row>
    <row r="1289" spans="1:27" x14ac:dyDescent="0.2">
      <c r="A1289" t="s">
        <v>2306</v>
      </c>
      <c r="B1289" t="s">
        <v>5791</v>
      </c>
      <c r="C1289" t="s">
        <v>2305</v>
      </c>
      <c r="D1289" t="s">
        <v>5793</v>
      </c>
      <c r="E1289" t="s">
        <v>187</v>
      </c>
      <c r="F1289">
        <v>2</v>
      </c>
      <c r="G1289">
        <v>34</v>
      </c>
      <c r="H1289">
        <v>60</v>
      </c>
      <c r="I1289">
        <v>15.5</v>
      </c>
      <c r="J1289" s="110">
        <v>1287</v>
      </c>
      <c r="K1289" t="s">
        <v>2196</v>
      </c>
      <c r="L1289">
        <f>IF(Table_TRM_Fixtures[[#This Row],[Technology]]="LED", Table_TRM_Fixtures[[#This Row],[Fixture Watts  (TRM Data)]], Table_TRM_Fixtures[[#This Row],[Lamp Watts  (TRM Data)]])</f>
        <v>34</v>
      </c>
      <c r="M1289">
        <f>Table_TRM_Fixtures[[#This Row],[No. of Lamps  (TRM Data)]]</f>
        <v>2</v>
      </c>
      <c r="N1289">
        <v>48</v>
      </c>
      <c r="O1289" t="s">
        <v>1381</v>
      </c>
      <c r="P1289" t="s">
        <v>187</v>
      </c>
      <c r="Q1289" t="s">
        <v>5612</v>
      </c>
      <c r="R1289" t="str">
        <f>_xlfn.CONCAT(Table_TRM_Fixtures[[#This Row],[Technology]], ", ", Table_TRM_Fixtures[[#This Row],[Ballast Code]], " Ballast")</f>
        <v>T12, Electronic STD Ballast</v>
      </c>
      <c r="S1289" t="str">
        <f>Table_TRM_Fixtures[[#This Row],[Description  (TRM Data)]]</f>
        <v>Fluorescent, (2) 48", T12 ES lamps, Electronic Ballast</v>
      </c>
      <c r="T1289" t="str">
        <f>Table_TRM_Fixtures[[#This Row],[Fixture code  (TRM Data)]]</f>
        <v>F42EL</v>
      </c>
      <c r="U1289" t="s">
        <v>2882</v>
      </c>
      <c r="V1289" t="s">
        <v>186</v>
      </c>
      <c r="W1289" t="s">
        <v>5764</v>
      </c>
      <c r="X1289">
        <v>58</v>
      </c>
      <c r="Y1289" t="str">
        <f>_xlfn.CONCAT(Table_TRM_Fixtures[[#This Row],[Combined Lighting/Ballast Types]],":",Table_TRM_Fixtures[[#This Row],[No. of Lamps]], ":", Table_TRM_Fixtures[[#This Row],[Lamp Watts  (TRM Data)]])</f>
        <v>T12, Electronic STD Ballast:2:34</v>
      </c>
      <c r="Z1289"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T12:2:34</v>
      </c>
      <c r="AA1289">
        <f>IF(Table_TRM_Fixtures[[#This Row],[Pre-EISA Baseline]]="Nominal", Table_TRM_Fixtures[[#This Row],[Fixture Watts  (TRM Data)]], Table_TRM_Fixtures[[#This Row],[Modified Baseline Fixture Watts]])</f>
        <v>58</v>
      </c>
    </row>
    <row r="1290" spans="1:27" x14ac:dyDescent="0.2">
      <c r="A1290" t="s">
        <v>2308</v>
      </c>
      <c r="B1290" t="s">
        <v>5791</v>
      </c>
      <c r="C1290" t="s">
        <v>2307</v>
      </c>
      <c r="D1290" t="s">
        <v>5794</v>
      </c>
      <c r="E1290" t="s">
        <v>1722</v>
      </c>
      <c r="F1290">
        <v>3</v>
      </c>
      <c r="G1290">
        <v>34</v>
      </c>
      <c r="H1290">
        <v>115</v>
      </c>
      <c r="I1290">
        <v>8.5</v>
      </c>
      <c r="J1290" s="110">
        <v>1288</v>
      </c>
      <c r="K1290" t="s">
        <v>2196</v>
      </c>
      <c r="L1290">
        <f>IF(Table_TRM_Fixtures[[#This Row],[Technology]]="LED", Table_TRM_Fixtures[[#This Row],[Fixture Watts  (TRM Data)]], Table_TRM_Fixtures[[#This Row],[Lamp Watts  (TRM Data)]])</f>
        <v>34</v>
      </c>
      <c r="M1290">
        <f>Table_TRM_Fixtures[[#This Row],[No. of Lamps  (TRM Data)]]</f>
        <v>3</v>
      </c>
      <c r="N1290">
        <v>48</v>
      </c>
      <c r="O1290" t="s">
        <v>1381</v>
      </c>
      <c r="P1290" t="s">
        <v>2640</v>
      </c>
      <c r="Q1290" t="s">
        <v>5608</v>
      </c>
      <c r="R1290" t="str">
        <f>_xlfn.CONCAT(Table_TRM_Fixtures[[#This Row],[Technology]], ", ", Table_TRM_Fixtures[[#This Row],[Ballast Code]], " Ballast")</f>
        <v>T12, Magnetic STD Ballast</v>
      </c>
      <c r="S1290" t="str">
        <f>Table_TRM_Fixtures[[#This Row],[Description  (TRM Data)]]</f>
        <v>Fluorescent, (3) 48", ES lamps</v>
      </c>
      <c r="T1290" t="str">
        <f>Table_TRM_Fixtures[[#This Row],[Fixture code  (TRM Data)]]</f>
        <v>F43EE</v>
      </c>
      <c r="U1290" t="s">
        <v>2882</v>
      </c>
      <c r="V1290" t="s">
        <v>186</v>
      </c>
      <c r="W1290" t="s">
        <v>5764</v>
      </c>
      <c r="X1290">
        <v>85</v>
      </c>
      <c r="Y1290" t="str">
        <f>_xlfn.CONCAT(Table_TRM_Fixtures[[#This Row],[Combined Lighting/Ballast Types]],":",Table_TRM_Fixtures[[#This Row],[No. of Lamps]], ":", Table_TRM_Fixtures[[#This Row],[Lamp Watts  (TRM Data)]])</f>
        <v>T12, Magnetic STD Ballast:3:34</v>
      </c>
      <c r="Z1290" t="s">
        <v>4815</v>
      </c>
      <c r="AA1290">
        <f>IF(Table_TRM_Fixtures[[#This Row],[Pre-EISA Baseline]]="Nominal", Table_TRM_Fixtures[[#This Row],[Fixture Watts  (TRM Data)]], Table_TRM_Fixtures[[#This Row],[Modified Baseline Fixture Watts]])</f>
        <v>85</v>
      </c>
    </row>
    <row r="1291" spans="1:27" x14ac:dyDescent="0.2">
      <c r="A1291" t="s">
        <v>2310</v>
      </c>
      <c r="B1291" t="s">
        <v>5791</v>
      </c>
      <c r="C1291" t="s">
        <v>2309</v>
      </c>
      <c r="D1291" t="s">
        <v>5794</v>
      </c>
      <c r="E1291" t="s">
        <v>1722</v>
      </c>
      <c r="F1291">
        <v>3</v>
      </c>
      <c r="G1291">
        <v>34</v>
      </c>
      <c r="H1291">
        <v>108</v>
      </c>
      <c r="I1291">
        <v>8.5</v>
      </c>
      <c r="J1291" s="110">
        <v>1289</v>
      </c>
      <c r="K1291" t="s">
        <v>2196</v>
      </c>
      <c r="L1291">
        <f>IF(Table_TRM_Fixtures[[#This Row],[Technology]]="LED", Table_TRM_Fixtures[[#This Row],[Fixture Watts  (TRM Data)]], Table_TRM_Fixtures[[#This Row],[Lamp Watts  (TRM Data)]])</f>
        <v>34</v>
      </c>
      <c r="M1291">
        <f>Table_TRM_Fixtures[[#This Row],[No. of Lamps  (TRM Data)]]</f>
        <v>3</v>
      </c>
      <c r="N1291">
        <v>48</v>
      </c>
      <c r="O1291" t="s">
        <v>1381</v>
      </c>
      <c r="P1291" t="s">
        <v>2640</v>
      </c>
      <c r="Q1291" t="s">
        <v>5608</v>
      </c>
      <c r="R1291" t="str">
        <f>_xlfn.CONCAT(Table_TRM_Fixtures[[#This Row],[Technology]], ", ", Table_TRM_Fixtures[[#This Row],[Ballast Code]], " Ballast")</f>
        <v>T12, Magnetic STD Ballast</v>
      </c>
      <c r="S1291" t="str">
        <f>Table_TRM_Fixtures[[#This Row],[Description  (TRM Data)]]</f>
        <v>Fluorescent, (3) 48", ES lamps, Tandem 2-lamp ballasts</v>
      </c>
      <c r="T1291" t="str">
        <f>Table_TRM_Fixtures[[#This Row],[Fixture code  (TRM Data)]]</f>
        <v>F43EE/T2</v>
      </c>
      <c r="U1291" t="s">
        <v>2882</v>
      </c>
      <c r="V1291" t="s">
        <v>186</v>
      </c>
      <c r="W1291" t="s">
        <v>5764</v>
      </c>
      <c r="X1291">
        <v>85</v>
      </c>
      <c r="Y1291" t="s">
        <v>4815</v>
      </c>
      <c r="Z1291" t="s">
        <v>4815</v>
      </c>
      <c r="AA1291">
        <f>IF(Table_TRM_Fixtures[[#This Row],[Pre-EISA Baseline]]="Nominal", Table_TRM_Fixtures[[#This Row],[Fixture Watts  (TRM Data)]], Table_TRM_Fixtures[[#This Row],[Modified Baseline Fixture Watts]])</f>
        <v>85</v>
      </c>
    </row>
    <row r="1292" spans="1:27" x14ac:dyDescent="0.2">
      <c r="A1292" t="s">
        <v>2312</v>
      </c>
      <c r="B1292" t="s">
        <v>5791</v>
      </c>
      <c r="C1292" t="s">
        <v>2311</v>
      </c>
      <c r="D1292" t="s">
        <v>5794</v>
      </c>
      <c r="E1292" t="s">
        <v>187</v>
      </c>
      <c r="F1292">
        <v>3</v>
      </c>
      <c r="G1292">
        <v>34</v>
      </c>
      <c r="H1292">
        <v>92</v>
      </c>
      <c r="I1292">
        <v>15.5</v>
      </c>
      <c r="J1292" s="110">
        <v>1290</v>
      </c>
      <c r="K1292" t="s">
        <v>2196</v>
      </c>
      <c r="L1292">
        <f>IF(Table_TRM_Fixtures[[#This Row],[Technology]]="LED", Table_TRM_Fixtures[[#This Row],[Fixture Watts  (TRM Data)]], Table_TRM_Fixtures[[#This Row],[Lamp Watts  (TRM Data)]])</f>
        <v>34</v>
      </c>
      <c r="M1292">
        <f>Table_TRM_Fixtures[[#This Row],[No. of Lamps  (TRM Data)]]</f>
        <v>3</v>
      </c>
      <c r="N1292">
        <v>48</v>
      </c>
      <c r="O1292" t="s">
        <v>1381</v>
      </c>
      <c r="P1292" t="s">
        <v>187</v>
      </c>
      <c r="Q1292" t="s">
        <v>5612</v>
      </c>
      <c r="R1292" t="str">
        <f>_xlfn.CONCAT(Table_TRM_Fixtures[[#This Row],[Technology]], ", ", Table_TRM_Fixtures[[#This Row],[Ballast Code]], " Ballast")</f>
        <v>T12, Electronic STD Ballast</v>
      </c>
      <c r="S1292" t="str">
        <f>Table_TRM_Fixtures[[#This Row],[Description  (TRM Data)]]</f>
        <v>Fluorescent, (3) 48", T12 ES lamps, Electronic Ballast</v>
      </c>
      <c r="T1292" t="str">
        <f>Table_TRM_Fixtures[[#This Row],[Fixture code  (TRM Data)]]</f>
        <v>F43EL</v>
      </c>
      <c r="U1292" t="s">
        <v>2882</v>
      </c>
      <c r="V1292" t="s">
        <v>186</v>
      </c>
      <c r="W1292" t="s">
        <v>5764</v>
      </c>
      <c r="X1292">
        <v>85</v>
      </c>
      <c r="Y1292" t="str">
        <f>_xlfn.CONCAT(Table_TRM_Fixtures[[#This Row],[Combined Lighting/Ballast Types]],":",Table_TRM_Fixtures[[#This Row],[No. of Lamps]], ":", Table_TRM_Fixtures[[#This Row],[Lamp Watts  (TRM Data)]])</f>
        <v>T12, Electronic STD Ballast:3:34</v>
      </c>
      <c r="Z1292"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T12:3:34</v>
      </c>
      <c r="AA1292">
        <f>IF(Table_TRM_Fixtures[[#This Row],[Pre-EISA Baseline]]="Nominal", Table_TRM_Fixtures[[#This Row],[Fixture Watts  (TRM Data)]], Table_TRM_Fixtures[[#This Row],[Modified Baseline Fixture Watts]])</f>
        <v>85</v>
      </c>
    </row>
    <row r="1293" spans="1:27" x14ac:dyDescent="0.2">
      <c r="A1293" t="s">
        <v>2314</v>
      </c>
      <c r="B1293" t="s">
        <v>5791</v>
      </c>
      <c r="C1293" t="s">
        <v>2313</v>
      </c>
      <c r="D1293" t="s">
        <v>5794</v>
      </c>
      <c r="E1293" t="s">
        <v>1722</v>
      </c>
      <c r="F1293">
        <v>4</v>
      </c>
      <c r="G1293">
        <v>34</v>
      </c>
      <c r="H1293">
        <v>144</v>
      </c>
      <c r="I1293">
        <v>8.5</v>
      </c>
      <c r="J1293" s="110">
        <v>1291</v>
      </c>
      <c r="K1293" t="s">
        <v>2196</v>
      </c>
      <c r="L1293">
        <f>IF(Table_TRM_Fixtures[[#This Row],[Technology]]="LED", Table_TRM_Fixtures[[#This Row],[Fixture Watts  (TRM Data)]], Table_TRM_Fixtures[[#This Row],[Lamp Watts  (TRM Data)]])</f>
        <v>34</v>
      </c>
      <c r="M1293">
        <f>Table_TRM_Fixtures[[#This Row],[No. of Lamps  (TRM Data)]]</f>
        <v>4</v>
      </c>
      <c r="N1293">
        <v>48</v>
      </c>
      <c r="O1293" t="s">
        <v>1381</v>
      </c>
      <c r="P1293" t="s">
        <v>2640</v>
      </c>
      <c r="Q1293" t="s">
        <v>5608</v>
      </c>
      <c r="R1293" t="str">
        <f>_xlfn.CONCAT(Table_TRM_Fixtures[[#This Row],[Technology]], ", ", Table_TRM_Fixtures[[#This Row],[Ballast Code]], " Ballast")</f>
        <v>T12, Magnetic STD Ballast</v>
      </c>
      <c r="S1293" t="str">
        <f>Table_TRM_Fixtures[[#This Row],[Description  (TRM Data)]]</f>
        <v>Fluorescent, (4) 48", ES lamps</v>
      </c>
      <c r="T1293" t="str">
        <f>Table_TRM_Fixtures[[#This Row],[Fixture code  (TRM Data)]]</f>
        <v>F44EE</v>
      </c>
      <c r="U1293" t="s">
        <v>2882</v>
      </c>
      <c r="V1293" t="s">
        <v>186</v>
      </c>
      <c r="W1293" t="s">
        <v>5764</v>
      </c>
      <c r="X1293">
        <v>112</v>
      </c>
      <c r="Y1293" t="str">
        <f>_xlfn.CONCAT(Table_TRM_Fixtures[[#This Row],[Combined Lighting/Ballast Types]],":",Table_TRM_Fixtures[[#This Row],[No. of Lamps]], ":", Table_TRM_Fixtures[[#This Row],[Lamp Watts  (TRM Data)]])</f>
        <v>T12, Magnetic STD Ballast:4:34</v>
      </c>
      <c r="Z1293" t="s">
        <v>4815</v>
      </c>
      <c r="AA1293">
        <f>IF(Table_TRM_Fixtures[[#This Row],[Pre-EISA Baseline]]="Nominal", Table_TRM_Fixtures[[#This Row],[Fixture Watts  (TRM Data)]], Table_TRM_Fixtures[[#This Row],[Modified Baseline Fixture Watts]])</f>
        <v>112</v>
      </c>
    </row>
    <row r="1294" spans="1:27" x14ac:dyDescent="0.2">
      <c r="A1294" t="s">
        <v>2316</v>
      </c>
      <c r="B1294" t="s">
        <v>5791</v>
      </c>
      <c r="C1294" t="s">
        <v>2315</v>
      </c>
      <c r="D1294" t="s">
        <v>5795</v>
      </c>
      <c r="E1294" t="s">
        <v>1722</v>
      </c>
      <c r="F1294">
        <v>4</v>
      </c>
      <c r="G1294">
        <v>34</v>
      </c>
      <c r="H1294">
        <v>148</v>
      </c>
      <c r="I1294">
        <v>8.5</v>
      </c>
      <c r="J1294" s="110">
        <v>1292</v>
      </c>
      <c r="K1294" t="s">
        <v>2196</v>
      </c>
      <c r="L1294">
        <f>IF(Table_TRM_Fixtures[[#This Row],[Technology]]="LED", Table_TRM_Fixtures[[#This Row],[Fixture Watts  (TRM Data)]], Table_TRM_Fixtures[[#This Row],[Lamp Watts  (TRM Data)]])</f>
        <v>34</v>
      </c>
      <c r="M1294">
        <f>Table_TRM_Fixtures[[#This Row],[No. of Lamps  (TRM Data)]]</f>
        <v>4</v>
      </c>
      <c r="N1294">
        <v>48</v>
      </c>
      <c r="O1294" t="s">
        <v>1381</v>
      </c>
      <c r="P1294" t="s">
        <v>2640</v>
      </c>
      <c r="Q1294" t="s">
        <v>5608</v>
      </c>
      <c r="R1294" t="str">
        <f>_xlfn.CONCAT(Table_TRM_Fixtures[[#This Row],[Technology]], ", ", Table_TRM_Fixtures[[#This Row],[Ballast Code]], " Ballast")</f>
        <v>T12, Magnetic STD Ballast</v>
      </c>
      <c r="S1294" t="str">
        <f>Table_TRM_Fixtures[[#This Row],[Description  (TRM Data)]]</f>
        <v>Fluorescent, (4) 48", ES lamps, 3 Ballasts (delamped)</v>
      </c>
      <c r="T1294" t="str">
        <f>Table_TRM_Fixtures[[#This Row],[Fixture code  (TRM Data)]]</f>
        <v>F44EE/D3</v>
      </c>
      <c r="U1294" t="s">
        <v>2882</v>
      </c>
      <c r="V1294" t="s">
        <v>186</v>
      </c>
      <c r="W1294" t="s">
        <v>5764</v>
      </c>
      <c r="X1294">
        <v>112</v>
      </c>
      <c r="Y1294" t="s">
        <v>4815</v>
      </c>
      <c r="Z1294" t="s">
        <v>4815</v>
      </c>
      <c r="AA1294">
        <f>IF(Table_TRM_Fixtures[[#This Row],[Pre-EISA Baseline]]="Nominal", Table_TRM_Fixtures[[#This Row],[Fixture Watts  (TRM Data)]], Table_TRM_Fixtures[[#This Row],[Modified Baseline Fixture Watts]])</f>
        <v>112</v>
      </c>
    </row>
    <row r="1295" spans="1:27" x14ac:dyDescent="0.2">
      <c r="A1295" t="s">
        <v>2318</v>
      </c>
      <c r="B1295" t="s">
        <v>5791</v>
      </c>
      <c r="C1295" t="s">
        <v>2317</v>
      </c>
      <c r="D1295" t="s">
        <v>5794</v>
      </c>
      <c r="E1295" t="s">
        <v>1722</v>
      </c>
      <c r="F1295">
        <v>4</v>
      </c>
      <c r="G1295">
        <v>34</v>
      </c>
      <c r="H1295">
        <v>152</v>
      </c>
      <c r="I1295">
        <v>8.5</v>
      </c>
      <c r="J1295" s="110">
        <v>1293</v>
      </c>
      <c r="K1295" t="s">
        <v>2196</v>
      </c>
      <c r="L1295">
        <f>IF(Table_TRM_Fixtures[[#This Row],[Technology]]="LED", Table_TRM_Fixtures[[#This Row],[Fixture Watts  (TRM Data)]], Table_TRM_Fixtures[[#This Row],[Lamp Watts  (TRM Data)]])</f>
        <v>34</v>
      </c>
      <c r="M1295">
        <f>Table_TRM_Fixtures[[#This Row],[No. of Lamps  (TRM Data)]]</f>
        <v>4</v>
      </c>
      <c r="N1295">
        <v>48</v>
      </c>
      <c r="O1295" t="s">
        <v>1381</v>
      </c>
      <c r="P1295" t="s">
        <v>2640</v>
      </c>
      <c r="Q1295" t="s">
        <v>5608</v>
      </c>
      <c r="R1295" t="str">
        <f>_xlfn.CONCAT(Table_TRM_Fixtures[[#This Row],[Technology]], ", ", Table_TRM_Fixtures[[#This Row],[Ballast Code]], " Ballast")</f>
        <v>T12, Magnetic STD Ballast</v>
      </c>
      <c r="S1295" t="str">
        <f>Table_TRM_Fixtures[[#This Row],[Description  (TRM Data)]]</f>
        <v>Fluorescent, (4) 48", ES lamps, 4 Ballasts (delamped)</v>
      </c>
      <c r="T1295" t="str">
        <f>Table_TRM_Fixtures[[#This Row],[Fixture code  (TRM Data)]]</f>
        <v>F44EE/D4</v>
      </c>
      <c r="U1295" t="s">
        <v>2882</v>
      </c>
      <c r="V1295" t="s">
        <v>186</v>
      </c>
      <c r="W1295" t="s">
        <v>5764</v>
      </c>
      <c r="X1295">
        <v>112</v>
      </c>
      <c r="Y1295" t="s">
        <v>4815</v>
      </c>
      <c r="Z1295" t="s">
        <v>4815</v>
      </c>
      <c r="AA1295">
        <f>IF(Table_TRM_Fixtures[[#This Row],[Pre-EISA Baseline]]="Nominal", Table_TRM_Fixtures[[#This Row],[Fixture Watts  (TRM Data)]], Table_TRM_Fixtures[[#This Row],[Modified Baseline Fixture Watts]])</f>
        <v>112</v>
      </c>
    </row>
    <row r="1296" spans="1:27" x14ac:dyDescent="0.2">
      <c r="A1296" t="s">
        <v>2320</v>
      </c>
      <c r="B1296" t="s">
        <v>5791</v>
      </c>
      <c r="C1296" t="s">
        <v>2319</v>
      </c>
      <c r="D1296" t="s">
        <v>5795</v>
      </c>
      <c r="E1296" t="s">
        <v>187</v>
      </c>
      <c r="F1296">
        <v>4</v>
      </c>
      <c r="G1296">
        <v>34</v>
      </c>
      <c r="H1296">
        <v>120</v>
      </c>
      <c r="I1296">
        <v>15.5</v>
      </c>
      <c r="J1296" s="110">
        <v>1294</v>
      </c>
      <c r="K1296" t="s">
        <v>2196</v>
      </c>
      <c r="L1296">
        <f>IF(Table_TRM_Fixtures[[#This Row],[Technology]]="LED", Table_TRM_Fixtures[[#This Row],[Fixture Watts  (TRM Data)]], Table_TRM_Fixtures[[#This Row],[Lamp Watts  (TRM Data)]])</f>
        <v>34</v>
      </c>
      <c r="M1296">
        <f>Table_TRM_Fixtures[[#This Row],[No. of Lamps  (TRM Data)]]</f>
        <v>4</v>
      </c>
      <c r="N1296">
        <v>48</v>
      </c>
      <c r="O1296" t="s">
        <v>1381</v>
      </c>
      <c r="P1296" t="s">
        <v>187</v>
      </c>
      <c r="Q1296" t="s">
        <v>5612</v>
      </c>
      <c r="R1296" t="str">
        <f>_xlfn.CONCAT(Table_TRM_Fixtures[[#This Row],[Technology]], ", ", Table_TRM_Fixtures[[#This Row],[Ballast Code]], " Ballast")</f>
        <v>T12, Electronic STD Ballast</v>
      </c>
      <c r="S1296" t="str">
        <f>Table_TRM_Fixtures[[#This Row],[Description  (TRM Data)]]</f>
        <v>Fluorescent, (4) 48", T12 ES lamps, Electronic Ballast</v>
      </c>
      <c r="T1296" t="str">
        <f>Table_TRM_Fixtures[[#This Row],[Fixture code  (TRM Data)]]</f>
        <v>F44EL</v>
      </c>
      <c r="U1296" t="s">
        <v>2882</v>
      </c>
      <c r="V1296" t="s">
        <v>186</v>
      </c>
      <c r="W1296" t="s">
        <v>5764</v>
      </c>
      <c r="X1296">
        <v>112</v>
      </c>
      <c r="Y1296" t="str">
        <f>_xlfn.CONCAT(Table_TRM_Fixtures[[#This Row],[Combined Lighting/Ballast Types]],":",Table_TRM_Fixtures[[#This Row],[No. of Lamps]], ":", Table_TRM_Fixtures[[#This Row],[Lamp Watts  (TRM Data)]])</f>
        <v>T12, Electronic STD Ballast:4:34</v>
      </c>
      <c r="Z1296"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T12:4:34</v>
      </c>
      <c r="AA1296">
        <f>IF(Table_TRM_Fixtures[[#This Row],[Pre-EISA Baseline]]="Nominal", Table_TRM_Fixtures[[#This Row],[Fixture Watts  (TRM Data)]], Table_TRM_Fixtures[[#This Row],[Modified Baseline Fixture Watts]])</f>
        <v>112</v>
      </c>
    </row>
    <row r="1297" spans="1:27" x14ac:dyDescent="0.2">
      <c r="A1297" t="s">
        <v>2322</v>
      </c>
      <c r="B1297" t="s">
        <v>5791</v>
      </c>
      <c r="C1297" t="s">
        <v>2321</v>
      </c>
      <c r="D1297" t="s">
        <v>5796</v>
      </c>
      <c r="E1297" t="s">
        <v>1722</v>
      </c>
      <c r="F1297">
        <v>6</v>
      </c>
      <c r="G1297">
        <v>34</v>
      </c>
      <c r="H1297">
        <v>216</v>
      </c>
      <c r="I1297">
        <v>8.5</v>
      </c>
      <c r="J1297" s="110">
        <v>1295</v>
      </c>
      <c r="K1297" t="s">
        <v>2196</v>
      </c>
      <c r="L1297">
        <f>IF(Table_TRM_Fixtures[[#This Row],[Technology]]="LED", Table_TRM_Fixtures[[#This Row],[Fixture Watts  (TRM Data)]], Table_TRM_Fixtures[[#This Row],[Lamp Watts  (TRM Data)]])</f>
        <v>34</v>
      </c>
      <c r="M1297">
        <f>Table_TRM_Fixtures[[#This Row],[No. of Lamps  (TRM Data)]]</f>
        <v>6</v>
      </c>
      <c r="N1297">
        <v>48</v>
      </c>
      <c r="O1297" t="s">
        <v>1381</v>
      </c>
      <c r="P1297" t="s">
        <v>2640</v>
      </c>
      <c r="Q1297" t="s">
        <v>5608</v>
      </c>
      <c r="R1297" t="str">
        <f>_xlfn.CONCAT(Table_TRM_Fixtures[[#This Row],[Technology]], ", ", Table_TRM_Fixtures[[#This Row],[Ballast Code]], " Ballast")</f>
        <v>T12, Magnetic STD Ballast</v>
      </c>
      <c r="S1297" t="str">
        <f>Table_TRM_Fixtures[[#This Row],[Description  (TRM Data)]]</f>
        <v>Fluorescent, (6) 48", ES lamps</v>
      </c>
      <c r="T1297" t="str">
        <f>Table_TRM_Fixtures[[#This Row],[Fixture code  (TRM Data)]]</f>
        <v>F46EE</v>
      </c>
      <c r="U1297" t="s">
        <v>2882</v>
      </c>
      <c r="V1297" t="s">
        <v>186</v>
      </c>
      <c r="W1297" t="s">
        <v>5764</v>
      </c>
      <c r="X1297">
        <v>170</v>
      </c>
      <c r="Y1297" t="str">
        <f>_xlfn.CONCAT(Table_TRM_Fixtures[[#This Row],[Combined Lighting/Ballast Types]],":",Table_TRM_Fixtures[[#This Row],[No. of Lamps]], ":", Table_TRM_Fixtures[[#This Row],[Lamp Watts  (TRM Data)]])</f>
        <v>T12, Magnetic STD Ballast:6:34</v>
      </c>
      <c r="Z1297" t="s">
        <v>4815</v>
      </c>
      <c r="AA1297">
        <f>IF(Table_TRM_Fixtures[[#This Row],[Pre-EISA Baseline]]="Nominal", Table_TRM_Fixtures[[#This Row],[Fixture Watts  (TRM Data)]], Table_TRM_Fixtures[[#This Row],[Modified Baseline Fixture Watts]])</f>
        <v>170</v>
      </c>
    </row>
    <row r="1298" spans="1:27" x14ac:dyDescent="0.2">
      <c r="A1298" t="s">
        <v>2323</v>
      </c>
      <c r="B1298" t="s">
        <v>5791</v>
      </c>
      <c r="C1298" t="s">
        <v>2321</v>
      </c>
      <c r="D1298" t="s">
        <v>5796</v>
      </c>
      <c r="E1298" t="s">
        <v>187</v>
      </c>
      <c r="F1298">
        <v>6</v>
      </c>
      <c r="G1298">
        <v>34</v>
      </c>
      <c r="H1298">
        <v>180</v>
      </c>
      <c r="I1298">
        <v>15.5</v>
      </c>
      <c r="J1298" s="110">
        <v>1296</v>
      </c>
      <c r="K1298" t="s">
        <v>2196</v>
      </c>
      <c r="L1298">
        <f>IF(Table_TRM_Fixtures[[#This Row],[Technology]]="LED", Table_TRM_Fixtures[[#This Row],[Fixture Watts  (TRM Data)]], Table_TRM_Fixtures[[#This Row],[Lamp Watts  (TRM Data)]])</f>
        <v>34</v>
      </c>
      <c r="M1298">
        <f>Table_TRM_Fixtures[[#This Row],[No. of Lamps  (TRM Data)]]</f>
        <v>6</v>
      </c>
      <c r="N1298">
        <v>48</v>
      </c>
      <c r="O1298" t="s">
        <v>1381</v>
      </c>
      <c r="P1298" t="s">
        <v>187</v>
      </c>
      <c r="Q1298" t="s">
        <v>5612</v>
      </c>
      <c r="R1298" t="str">
        <f>_xlfn.CONCAT(Table_TRM_Fixtures[[#This Row],[Technology]], ", ", Table_TRM_Fixtures[[#This Row],[Ballast Code]], " Ballast")</f>
        <v>T12, Electronic STD Ballast</v>
      </c>
      <c r="S1298" t="str">
        <f>Table_TRM_Fixtures[[#This Row],[Description  (TRM Data)]]</f>
        <v>Fluorescent, (6) 48", ES lamps</v>
      </c>
      <c r="T1298" t="str">
        <f>Table_TRM_Fixtures[[#This Row],[Fixture code  (TRM Data)]]</f>
        <v>F46EL</v>
      </c>
      <c r="U1298" t="s">
        <v>2882</v>
      </c>
      <c r="V1298" t="s">
        <v>186</v>
      </c>
      <c r="W1298" t="s">
        <v>5764</v>
      </c>
      <c r="X1298">
        <v>170</v>
      </c>
      <c r="Y1298" t="str">
        <f>_xlfn.CONCAT(Table_TRM_Fixtures[[#This Row],[Combined Lighting/Ballast Types]],":",Table_TRM_Fixtures[[#This Row],[No. of Lamps]], ":", Table_TRM_Fixtures[[#This Row],[Lamp Watts  (TRM Data)]])</f>
        <v>T12, Electronic STD Ballast:6:34</v>
      </c>
      <c r="Z1298"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T12:6:34</v>
      </c>
      <c r="AA1298">
        <f>IF(Table_TRM_Fixtures[[#This Row],[Pre-EISA Baseline]]="Nominal", Table_TRM_Fixtures[[#This Row],[Fixture Watts  (TRM Data)]], Table_TRM_Fixtures[[#This Row],[Modified Baseline Fixture Watts]])</f>
        <v>170</v>
      </c>
    </row>
    <row r="1299" spans="1:27" x14ac:dyDescent="0.2">
      <c r="A1299" t="s">
        <v>2325</v>
      </c>
      <c r="B1299" t="s">
        <v>5791</v>
      </c>
      <c r="C1299" t="s">
        <v>2324</v>
      </c>
      <c r="D1299" t="s">
        <v>5797</v>
      </c>
      <c r="E1299" t="s">
        <v>1722</v>
      </c>
      <c r="F1299">
        <v>8</v>
      </c>
      <c r="G1299">
        <v>34</v>
      </c>
      <c r="H1299">
        <v>288</v>
      </c>
      <c r="I1299">
        <v>8.5</v>
      </c>
      <c r="J1299" s="110">
        <v>1297</v>
      </c>
      <c r="K1299" t="s">
        <v>2196</v>
      </c>
      <c r="L1299">
        <f>IF(Table_TRM_Fixtures[[#This Row],[Technology]]="LED", Table_TRM_Fixtures[[#This Row],[Fixture Watts  (TRM Data)]], Table_TRM_Fixtures[[#This Row],[Lamp Watts  (TRM Data)]])</f>
        <v>34</v>
      </c>
      <c r="M1299">
        <f>Table_TRM_Fixtures[[#This Row],[No. of Lamps  (TRM Data)]]</f>
        <v>8</v>
      </c>
      <c r="N1299">
        <v>48</v>
      </c>
      <c r="O1299" t="s">
        <v>1381</v>
      </c>
      <c r="P1299" t="s">
        <v>2640</v>
      </c>
      <c r="Q1299" t="s">
        <v>5608</v>
      </c>
      <c r="R1299" t="str">
        <f>_xlfn.CONCAT(Table_TRM_Fixtures[[#This Row],[Technology]], ", ", Table_TRM_Fixtures[[#This Row],[Ballast Code]], " Ballast")</f>
        <v>T12, Magnetic STD Ballast</v>
      </c>
      <c r="S1299" t="str">
        <f>Table_TRM_Fixtures[[#This Row],[Description  (TRM Data)]]</f>
        <v>Fluorescent, (8) 48", ES lamps</v>
      </c>
      <c r="T1299" t="str">
        <f>Table_TRM_Fixtures[[#This Row],[Fixture code  (TRM Data)]]</f>
        <v>F48EE</v>
      </c>
      <c r="U1299" t="s">
        <v>2882</v>
      </c>
      <c r="V1299" t="s">
        <v>186</v>
      </c>
      <c r="W1299" t="s">
        <v>5764</v>
      </c>
      <c r="X1299">
        <v>224</v>
      </c>
      <c r="Y1299" t="str">
        <f>_xlfn.CONCAT(Table_TRM_Fixtures[[#This Row],[Combined Lighting/Ballast Types]],":",Table_TRM_Fixtures[[#This Row],[No. of Lamps]], ":", Table_TRM_Fixtures[[#This Row],[Lamp Watts  (TRM Data)]])</f>
        <v>T12, Magnetic STD Ballast:8:34</v>
      </c>
      <c r="Z1299"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T12:8:34</v>
      </c>
      <c r="AA1299">
        <f>IF(Table_TRM_Fixtures[[#This Row],[Pre-EISA Baseline]]="Nominal", Table_TRM_Fixtures[[#This Row],[Fixture Watts  (TRM Data)]], Table_TRM_Fixtures[[#This Row],[Modified Baseline Fixture Watts]])</f>
        <v>224</v>
      </c>
    </row>
    <row r="1300" spans="1:27" x14ac:dyDescent="0.2">
      <c r="A1300" t="s">
        <v>2327</v>
      </c>
      <c r="B1300" t="s">
        <v>5798</v>
      </c>
      <c r="C1300" t="s">
        <v>2326</v>
      </c>
      <c r="D1300" t="s">
        <v>5799</v>
      </c>
      <c r="E1300" t="s">
        <v>1309</v>
      </c>
      <c r="F1300">
        <v>2</v>
      </c>
      <c r="G1300">
        <v>55</v>
      </c>
      <c r="H1300">
        <v>135</v>
      </c>
      <c r="I1300">
        <v>8.5</v>
      </c>
      <c r="J1300" s="110">
        <v>1298</v>
      </c>
      <c r="K1300" t="s">
        <v>2196</v>
      </c>
      <c r="L1300">
        <f>IF(Table_TRM_Fixtures[[#This Row],[Technology]]="LED", Table_TRM_Fixtures[[#This Row],[Fixture Watts  (TRM Data)]], Table_TRM_Fixtures[[#This Row],[Lamp Watts  (TRM Data)]])</f>
        <v>55</v>
      </c>
      <c r="M1300">
        <f>Table_TRM_Fixtures[[#This Row],[No. of Lamps  (TRM Data)]]</f>
        <v>2</v>
      </c>
      <c r="N1300">
        <v>42</v>
      </c>
      <c r="O1300" t="s">
        <v>2211</v>
      </c>
      <c r="P1300" t="s">
        <v>2640</v>
      </c>
      <c r="Q1300" t="s">
        <v>5608</v>
      </c>
      <c r="R1300" t="str">
        <f>_xlfn.CONCAT(Table_TRM_Fixtures[[#This Row],[Technology]], " ", Table_TRM_Fixtures[[#This Row],[Ballast Code]], " Ballast")</f>
        <v>T12 Magnetic STD Ballast</v>
      </c>
      <c r="S1300" t="str">
        <f>Table_TRM_Fixtures[[#This Row],[Description  (TRM Data)]]</f>
        <v>Fluorescent, (2) 42", HO lamps (3.5' lamp)</v>
      </c>
      <c r="T1300" t="str">
        <f>Table_TRM_Fixtures[[#This Row],[Fixture code  (TRM Data)]]</f>
        <v>F42EHS</v>
      </c>
      <c r="U1300" t="s">
        <v>2883</v>
      </c>
      <c r="V1300" t="s">
        <v>5562</v>
      </c>
      <c r="W1300" t="s">
        <v>3120</v>
      </c>
      <c r="X1300" t="s">
        <v>186</v>
      </c>
      <c r="AA1300">
        <f>IF(Table_TRM_Fixtures[[#This Row],[Pre-EISA Baseline]]="Nominal", Table_TRM_Fixtures[[#This Row],[Fixture Watts  (TRM Data)]], Table_TRM_Fixtures[[#This Row],[Modified Baseline Fixture Watts]])</f>
        <v>135</v>
      </c>
    </row>
    <row r="1301" spans="1:27" x14ac:dyDescent="0.2">
      <c r="A1301" t="s">
        <v>2329</v>
      </c>
      <c r="B1301" t="s">
        <v>5798</v>
      </c>
      <c r="C1301" t="s">
        <v>2328</v>
      </c>
      <c r="D1301" t="s">
        <v>5800</v>
      </c>
      <c r="E1301" t="s">
        <v>1309</v>
      </c>
      <c r="F1301">
        <v>3</v>
      </c>
      <c r="G1301">
        <v>55</v>
      </c>
      <c r="H1301">
        <v>215</v>
      </c>
      <c r="I1301">
        <v>8.5</v>
      </c>
      <c r="J1301" s="110">
        <v>1299</v>
      </c>
      <c r="K1301" t="s">
        <v>2196</v>
      </c>
      <c r="L1301">
        <f>IF(Table_TRM_Fixtures[[#This Row],[Technology]]="LED", Table_TRM_Fixtures[[#This Row],[Fixture Watts  (TRM Data)]], Table_TRM_Fixtures[[#This Row],[Lamp Watts  (TRM Data)]])</f>
        <v>55</v>
      </c>
      <c r="M1301">
        <f>Table_TRM_Fixtures[[#This Row],[No. of Lamps  (TRM Data)]]</f>
        <v>3</v>
      </c>
      <c r="N1301">
        <v>42</v>
      </c>
      <c r="O1301" t="s">
        <v>2211</v>
      </c>
      <c r="P1301" t="s">
        <v>2640</v>
      </c>
      <c r="Q1301" t="s">
        <v>5608</v>
      </c>
      <c r="R1301" t="str">
        <f>_xlfn.CONCAT(Table_TRM_Fixtures[[#This Row],[Technology]], " ", Table_TRM_Fixtures[[#This Row],[Ballast Code]], " Ballast")</f>
        <v>T12 Magnetic STD Ballast</v>
      </c>
      <c r="S1301" t="str">
        <f>Table_TRM_Fixtures[[#This Row],[Description  (TRM Data)]]</f>
        <v>Fluorescent, (3) 42", HO lamps (3.5' lamp)</v>
      </c>
      <c r="T1301" t="str">
        <f>Table_TRM_Fixtures[[#This Row],[Fixture code  (TRM Data)]]</f>
        <v>F43EHS</v>
      </c>
      <c r="U1301" t="s">
        <v>2883</v>
      </c>
      <c r="V1301" t="s">
        <v>5562</v>
      </c>
      <c r="W1301" t="s">
        <v>3120</v>
      </c>
      <c r="X1301" t="s">
        <v>186</v>
      </c>
      <c r="AA1301">
        <f>IF(Table_TRM_Fixtures[[#This Row],[Pre-EISA Baseline]]="Nominal", Table_TRM_Fixtures[[#This Row],[Fixture Watts  (TRM Data)]], Table_TRM_Fixtures[[#This Row],[Modified Baseline Fixture Watts]])</f>
        <v>215</v>
      </c>
    </row>
    <row r="1302" spans="1:27" x14ac:dyDescent="0.2">
      <c r="A1302" t="s">
        <v>2331</v>
      </c>
      <c r="B1302" t="s">
        <v>5801</v>
      </c>
      <c r="C1302" t="s">
        <v>2330</v>
      </c>
      <c r="D1302" t="s">
        <v>5792</v>
      </c>
      <c r="E1302" t="s">
        <v>1309</v>
      </c>
      <c r="F1302">
        <v>1</v>
      </c>
      <c r="G1302">
        <v>40</v>
      </c>
      <c r="H1302">
        <v>51</v>
      </c>
      <c r="I1302">
        <v>8.5</v>
      </c>
      <c r="J1302" s="110">
        <v>1300</v>
      </c>
      <c r="K1302" t="s">
        <v>2196</v>
      </c>
      <c r="L1302">
        <f>IF(Table_TRM_Fixtures[[#This Row],[Technology]]="LED", Table_TRM_Fixtures[[#This Row],[Fixture Watts  (TRM Data)]], Table_TRM_Fixtures[[#This Row],[Lamp Watts  (TRM Data)]])</f>
        <v>40</v>
      </c>
      <c r="M1302">
        <f>Table_TRM_Fixtures[[#This Row],[No. of Lamps  (TRM Data)]]</f>
        <v>1</v>
      </c>
      <c r="N1302">
        <v>48</v>
      </c>
      <c r="O1302" t="s">
        <v>1381</v>
      </c>
      <c r="P1302" t="s">
        <v>2640</v>
      </c>
      <c r="Q1302" t="s">
        <v>5608</v>
      </c>
      <c r="R1302" t="str">
        <f>_xlfn.CONCAT(Table_TRM_Fixtures[[#This Row],[Technology]], ", ", Table_TRM_Fixtures[[#This Row],[Ballast Code]], " Ballast")</f>
        <v>T12, Magnetic STD Ballast</v>
      </c>
      <c r="S1302" t="str">
        <f>Table_TRM_Fixtures[[#This Row],[Description  (TRM Data)]]</f>
        <v>Fluorescent, (1) 48" ES Instant Start lamp. Magnetic ballast</v>
      </c>
      <c r="T1302" t="str">
        <f>Table_TRM_Fixtures[[#This Row],[Fixture code  (TRM Data)]]</f>
        <v>F41EIS</v>
      </c>
      <c r="U1302" t="s">
        <v>2882</v>
      </c>
      <c r="V1302" t="s">
        <v>186</v>
      </c>
      <c r="W1302" t="s">
        <v>5764</v>
      </c>
      <c r="X1302">
        <v>31</v>
      </c>
      <c r="Y1302" t="str">
        <f>_xlfn.CONCAT(Table_TRM_Fixtures[[#This Row],[Combined Lighting/Ballast Types]],":",Table_TRM_Fixtures[[#This Row],[No. of Lamps]], ":", Table_TRM_Fixtures[[#This Row],[Lamp Watts  (TRM Data)]])</f>
        <v>T12, Magnetic STD Ballast:1:40</v>
      </c>
      <c r="Z1302" t="s">
        <v>4815</v>
      </c>
      <c r="AA1302">
        <f>IF(Table_TRM_Fixtures[[#This Row],[Pre-EISA Baseline]]="Nominal", Table_TRM_Fixtures[[#This Row],[Fixture Watts  (TRM Data)]], Table_TRM_Fixtures[[#This Row],[Modified Baseline Fixture Watts]])</f>
        <v>31</v>
      </c>
    </row>
    <row r="1303" spans="1:27" x14ac:dyDescent="0.2">
      <c r="A1303" t="s">
        <v>2333</v>
      </c>
      <c r="B1303" t="s">
        <v>5801</v>
      </c>
      <c r="C1303" t="s">
        <v>2332</v>
      </c>
      <c r="D1303" t="s">
        <v>5793</v>
      </c>
      <c r="E1303" t="s">
        <v>1309</v>
      </c>
      <c r="F1303">
        <v>2</v>
      </c>
      <c r="G1303">
        <v>40</v>
      </c>
      <c r="H1303">
        <v>82</v>
      </c>
      <c r="I1303">
        <v>8.5</v>
      </c>
      <c r="J1303" s="110">
        <v>1301</v>
      </c>
      <c r="K1303" t="s">
        <v>2196</v>
      </c>
      <c r="L1303">
        <f>IF(Table_TRM_Fixtures[[#This Row],[Technology]]="LED", Table_TRM_Fixtures[[#This Row],[Fixture Watts  (TRM Data)]], Table_TRM_Fixtures[[#This Row],[Lamp Watts  (TRM Data)]])</f>
        <v>40</v>
      </c>
      <c r="M1303">
        <f>Table_TRM_Fixtures[[#This Row],[No. of Lamps  (TRM Data)]]</f>
        <v>2</v>
      </c>
      <c r="N1303">
        <v>48</v>
      </c>
      <c r="O1303" t="s">
        <v>1381</v>
      </c>
      <c r="P1303" t="s">
        <v>2640</v>
      </c>
      <c r="Q1303" t="s">
        <v>5608</v>
      </c>
      <c r="R1303" t="str">
        <f>_xlfn.CONCAT(Table_TRM_Fixtures[[#This Row],[Technology]], ", ", Table_TRM_Fixtures[[#This Row],[Ballast Code]], " Ballast")</f>
        <v>T12, Magnetic STD Ballast</v>
      </c>
      <c r="S1303" t="str">
        <f>Table_TRM_Fixtures[[#This Row],[Description  (TRM Data)]]</f>
        <v>Fluorescent, (2) 48" ES Instant Start lamps. Magnetic ballast</v>
      </c>
      <c r="T1303" t="str">
        <f>Table_TRM_Fixtures[[#This Row],[Fixture code  (TRM Data)]]</f>
        <v>F42EIS</v>
      </c>
      <c r="U1303" t="s">
        <v>2882</v>
      </c>
      <c r="V1303" t="s">
        <v>186</v>
      </c>
      <c r="W1303" t="s">
        <v>5764</v>
      </c>
      <c r="X1303">
        <v>58</v>
      </c>
      <c r="Y1303" t="str">
        <f>_xlfn.CONCAT(Table_TRM_Fixtures[[#This Row],[Combined Lighting/Ballast Types]],":",Table_TRM_Fixtures[[#This Row],[No. of Lamps]], ":", Table_TRM_Fixtures[[#This Row],[Lamp Watts  (TRM Data)]])</f>
        <v>T12, Magnetic STD Ballast:2:40</v>
      </c>
      <c r="Z1303" t="s">
        <v>4815</v>
      </c>
      <c r="AA1303">
        <f>IF(Table_TRM_Fixtures[[#This Row],[Pre-EISA Baseline]]="Nominal", Table_TRM_Fixtures[[#This Row],[Fixture Watts  (TRM Data)]], Table_TRM_Fixtures[[#This Row],[Modified Baseline Fixture Watts]])</f>
        <v>58</v>
      </c>
    </row>
    <row r="1304" spans="1:27" x14ac:dyDescent="0.2">
      <c r="A1304" t="s">
        <v>2335</v>
      </c>
      <c r="B1304" t="s">
        <v>5801</v>
      </c>
      <c r="C1304" t="s">
        <v>2334</v>
      </c>
      <c r="D1304" t="s">
        <v>5794</v>
      </c>
      <c r="E1304" t="s">
        <v>1309</v>
      </c>
      <c r="F1304">
        <v>3</v>
      </c>
      <c r="G1304">
        <v>40</v>
      </c>
      <c r="H1304">
        <v>133</v>
      </c>
      <c r="I1304">
        <v>8.5</v>
      </c>
      <c r="J1304" s="110">
        <v>1302</v>
      </c>
      <c r="K1304" t="s">
        <v>2196</v>
      </c>
      <c r="L1304">
        <f>IF(Table_TRM_Fixtures[[#This Row],[Technology]]="LED", Table_TRM_Fixtures[[#This Row],[Fixture Watts  (TRM Data)]], Table_TRM_Fixtures[[#This Row],[Lamp Watts  (TRM Data)]])</f>
        <v>40</v>
      </c>
      <c r="M1304">
        <f>Table_TRM_Fixtures[[#This Row],[No. of Lamps  (TRM Data)]]</f>
        <v>3</v>
      </c>
      <c r="N1304">
        <v>48</v>
      </c>
      <c r="O1304" t="s">
        <v>1381</v>
      </c>
      <c r="P1304" t="s">
        <v>2640</v>
      </c>
      <c r="Q1304" t="s">
        <v>5608</v>
      </c>
      <c r="R1304" t="str">
        <f>_xlfn.CONCAT(Table_TRM_Fixtures[[#This Row],[Technology]], ", ", Table_TRM_Fixtures[[#This Row],[Ballast Code]], " Ballast")</f>
        <v>T12, Magnetic STD Ballast</v>
      </c>
      <c r="S1304" t="str">
        <f>Table_TRM_Fixtures[[#This Row],[Description  (TRM Data)]]</f>
        <v>Fluorescent, (3) 48" ES Instant Start lamps. Magnetic ballast</v>
      </c>
      <c r="T1304" t="str">
        <f>Table_TRM_Fixtures[[#This Row],[Fixture code  (TRM Data)]]</f>
        <v>F43EIS</v>
      </c>
      <c r="U1304" t="s">
        <v>2882</v>
      </c>
      <c r="V1304" t="s">
        <v>186</v>
      </c>
      <c r="W1304" t="s">
        <v>5764</v>
      </c>
      <c r="X1304">
        <v>85</v>
      </c>
      <c r="Y1304" t="str">
        <f>_xlfn.CONCAT(Table_TRM_Fixtures[[#This Row],[Combined Lighting/Ballast Types]],":",Table_TRM_Fixtures[[#This Row],[No. of Lamps]], ":", Table_TRM_Fixtures[[#This Row],[Lamp Watts  (TRM Data)]])</f>
        <v>T12, Magnetic STD Ballast:3:40</v>
      </c>
      <c r="Z1304" t="s">
        <v>4815</v>
      </c>
      <c r="AA1304">
        <f>IF(Table_TRM_Fixtures[[#This Row],[Pre-EISA Baseline]]="Nominal", Table_TRM_Fixtures[[#This Row],[Fixture Watts  (TRM Data)]], Table_TRM_Fixtures[[#This Row],[Modified Baseline Fixture Watts]])</f>
        <v>85</v>
      </c>
    </row>
    <row r="1305" spans="1:27" x14ac:dyDescent="0.2">
      <c r="A1305" t="s">
        <v>2337</v>
      </c>
      <c r="B1305" t="s">
        <v>5801</v>
      </c>
      <c r="C1305" t="s">
        <v>2336</v>
      </c>
      <c r="D1305" t="s">
        <v>5787</v>
      </c>
      <c r="E1305" t="s">
        <v>1309</v>
      </c>
      <c r="F1305">
        <v>4</v>
      </c>
      <c r="G1305">
        <v>40</v>
      </c>
      <c r="H1305">
        <v>164</v>
      </c>
      <c r="I1305">
        <v>8.5</v>
      </c>
      <c r="J1305" s="110">
        <v>1303</v>
      </c>
      <c r="K1305" t="s">
        <v>2196</v>
      </c>
      <c r="L1305">
        <f>IF(Table_TRM_Fixtures[[#This Row],[Technology]]="LED", Table_TRM_Fixtures[[#This Row],[Fixture Watts  (TRM Data)]], Table_TRM_Fixtures[[#This Row],[Lamp Watts  (TRM Data)]])</f>
        <v>40</v>
      </c>
      <c r="M1305">
        <f>Table_TRM_Fixtures[[#This Row],[No. of Lamps  (TRM Data)]]</f>
        <v>4</v>
      </c>
      <c r="N1305">
        <v>48</v>
      </c>
      <c r="O1305" t="s">
        <v>1381</v>
      </c>
      <c r="P1305" t="s">
        <v>2640</v>
      </c>
      <c r="Q1305" t="s">
        <v>5608</v>
      </c>
      <c r="R1305" t="str">
        <f>_xlfn.CONCAT(Table_TRM_Fixtures[[#This Row],[Technology]], ", ", Table_TRM_Fixtures[[#This Row],[Ballast Code]], " Ballast")</f>
        <v>T12, Magnetic STD Ballast</v>
      </c>
      <c r="S1305" t="str">
        <f>Table_TRM_Fixtures[[#This Row],[Description  (TRM Data)]]</f>
        <v>Fluorescent, (4) 48" ES Instant Start lamps. Magnetic ballast</v>
      </c>
      <c r="T1305" t="str">
        <f>Table_TRM_Fixtures[[#This Row],[Fixture code  (TRM Data)]]</f>
        <v>F44EIS</v>
      </c>
      <c r="U1305" t="s">
        <v>2882</v>
      </c>
      <c r="V1305" t="s">
        <v>186</v>
      </c>
      <c r="W1305" t="s">
        <v>5764</v>
      </c>
      <c r="X1305">
        <v>112</v>
      </c>
      <c r="Y1305" t="str">
        <f>_xlfn.CONCAT(Table_TRM_Fixtures[[#This Row],[Combined Lighting/Ballast Types]],":",Table_TRM_Fixtures[[#This Row],[No. of Lamps]], ":", Table_TRM_Fixtures[[#This Row],[Lamp Watts  (TRM Data)]])</f>
        <v>T12, Magnetic STD Ballast:4:40</v>
      </c>
      <c r="Z1305" t="s">
        <v>4815</v>
      </c>
      <c r="AA1305">
        <f>IF(Table_TRM_Fixtures[[#This Row],[Pre-EISA Baseline]]="Nominal", Table_TRM_Fixtures[[#This Row],[Fixture Watts  (TRM Data)]], Table_TRM_Fixtures[[#This Row],[Modified Baseline Fixture Watts]])</f>
        <v>112</v>
      </c>
    </row>
    <row r="1306" spans="1:27" x14ac:dyDescent="0.2">
      <c r="A1306" t="s">
        <v>2339</v>
      </c>
      <c r="B1306" t="s">
        <v>5802</v>
      </c>
      <c r="C1306" t="s">
        <v>2338</v>
      </c>
      <c r="D1306" t="s">
        <v>5803</v>
      </c>
      <c r="E1306" t="s">
        <v>1309</v>
      </c>
      <c r="F1306">
        <v>1</v>
      </c>
      <c r="G1306">
        <v>60</v>
      </c>
      <c r="H1306">
        <v>85</v>
      </c>
      <c r="I1306">
        <v>8.5</v>
      </c>
      <c r="J1306" s="110">
        <v>1304</v>
      </c>
      <c r="K1306" t="s">
        <v>2196</v>
      </c>
      <c r="L1306">
        <f>IF(Table_TRM_Fixtures[[#This Row],[Technology]]="LED", Table_TRM_Fixtures[[#This Row],[Fixture Watts  (TRM Data)]], Table_TRM_Fixtures[[#This Row],[Lamp Watts  (TRM Data)]])</f>
        <v>60</v>
      </c>
      <c r="M1306">
        <f>Table_TRM_Fixtures[[#This Row],[No. of Lamps  (TRM Data)]]</f>
        <v>1</v>
      </c>
      <c r="N1306">
        <v>48</v>
      </c>
      <c r="O1306" t="s">
        <v>2211</v>
      </c>
      <c r="P1306" t="s">
        <v>2640</v>
      </c>
      <c r="Q1306" t="s">
        <v>5781</v>
      </c>
      <c r="R1306" t="str">
        <f>_xlfn.CONCAT(Table_TRM_Fixtures[[#This Row],[Technology]], ", ", Table_TRM_Fixtures[[#This Row],[Ballast Code]], " Ballast")</f>
        <v>T12, Magnetic HLO Ballast</v>
      </c>
      <c r="S1306" t="str">
        <f>Table_TRM_Fixtures[[#This Row],[Description  (TRM Data)]]</f>
        <v>Fluorescent, (1) 48", STD HO lamp</v>
      </c>
      <c r="T1306" t="str">
        <f>Table_TRM_Fixtures[[#This Row],[Fixture code  (TRM Data)]]</f>
        <v>F41SHS</v>
      </c>
      <c r="U1306" t="s">
        <v>2882</v>
      </c>
      <c r="V1306" t="s">
        <v>186</v>
      </c>
      <c r="W1306" t="s">
        <v>5764</v>
      </c>
      <c r="X1306">
        <v>31</v>
      </c>
      <c r="Y1306" t="str">
        <f>_xlfn.CONCAT(Table_TRM_Fixtures[[#This Row],[Combined Lighting/Ballast Types]],":",Table_TRM_Fixtures[[#This Row],[No. of Lamps]], ":", Table_TRM_Fixtures[[#This Row],[Lamp Watts  (TRM Data)]])</f>
        <v>T12, Magnetic HLO Ballast:1:60</v>
      </c>
      <c r="Z1306" t="s">
        <v>4815</v>
      </c>
      <c r="AA1306">
        <f>IF(Table_TRM_Fixtures[[#This Row],[Pre-EISA Baseline]]="Nominal", Table_TRM_Fixtures[[#This Row],[Fixture Watts  (TRM Data)]], Table_TRM_Fixtures[[#This Row],[Modified Baseline Fixture Watts]])</f>
        <v>31</v>
      </c>
    </row>
    <row r="1307" spans="1:27" x14ac:dyDescent="0.2">
      <c r="A1307" t="s">
        <v>2341</v>
      </c>
      <c r="B1307" t="s">
        <v>5802</v>
      </c>
      <c r="C1307" t="s">
        <v>2340</v>
      </c>
      <c r="D1307" t="s">
        <v>5799</v>
      </c>
      <c r="E1307" t="s">
        <v>1309</v>
      </c>
      <c r="F1307">
        <v>2</v>
      </c>
      <c r="G1307">
        <v>60</v>
      </c>
      <c r="H1307">
        <v>145</v>
      </c>
      <c r="I1307">
        <v>8.5</v>
      </c>
      <c r="J1307" s="110">
        <v>1305</v>
      </c>
      <c r="K1307" t="s">
        <v>2196</v>
      </c>
      <c r="L1307">
        <f>IF(Table_TRM_Fixtures[[#This Row],[Technology]]="LED", Table_TRM_Fixtures[[#This Row],[Fixture Watts  (TRM Data)]], Table_TRM_Fixtures[[#This Row],[Lamp Watts  (TRM Data)]])</f>
        <v>60</v>
      </c>
      <c r="M1307">
        <f>Table_TRM_Fixtures[[#This Row],[No. of Lamps  (TRM Data)]]</f>
        <v>2</v>
      </c>
      <c r="N1307">
        <v>48</v>
      </c>
      <c r="O1307" t="s">
        <v>2211</v>
      </c>
      <c r="P1307" t="s">
        <v>2640</v>
      </c>
      <c r="Q1307" t="s">
        <v>5781</v>
      </c>
      <c r="R1307" t="str">
        <f>_xlfn.CONCAT(Table_TRM_Fixtures[[#This Row],[Technology]], ", ", Table_TRM_Fixtures[[#This Row],[Ballast Code]], " Ballast")</f>
        <v>T12, Magnetic HLO Ballast</v>
      </c>
      <c r="S1307" t="str">
        <f>Table_TRM_Fixtures[[#This Row],[Description  (TRM Data)]]</f>
        <v>Fluorescent, (2) 48", STD HO lamps</v>
      </c>
      <c r="T1307" t="str">
        <f>Table_TRM_Fixtures[[#This Row],[Fixture code  (TRM Data)]]</f>
        <v>F42SHS</v>
      </c>
      <c r="U1307" t="s">
        <v>2882</v>
      </c>
      <c r="V1307" t="s">
        <v>186</v>
      </c>
      <c r="W1307" t="s">
        <v>5764</v>
      </c>
      <c r="X1307">
        <v>58</v>
      </c>
      <c r="Y1307" t="str">
        <f>_xlfn.CONCAT(Table_TRM_Fixtures[[#This Row],[Combined Lighting/Ballast Types]],":",Table_TRM_Fixtures[[#This Row],[No. of Lamps]], ":", Table_TRM_Fixtures[[#This Row],[Lamp Watts  (TRM Data)]])</f>
        <v>T12, Magnetic HLO Ballast:2:60</v>
      </c>
      <c r="Z1307" t="s">
        <v>4815</v>
      </c>
      <c r="AA1307">
        <f>IF(Table_TRM_Fixtures[[#This Row],[Pre-EISA Baseline]]="Nominal", Table_TRM_Fixtures[[#This Row],[Fixture Watts  (TRM Data)]], Table_TRM_Fixtures[[#This Row],[Modified Baseline Fixture Watts]])</f>
        <v>58</v>
      </c>
    </row>
    <row r="1308" spans="1:27" x14ac:dyDescent="0.2">
      <c r="A1308" t="s">
        <v>2343</v>
      </c>
      <c r="B1308" t="s">
        <v>5802</v>
      </c>
      <c r="C1308" t="s">
        <v>2342</v>
      </c>
      <c r="D1308" t="s">
        <v>5804</v>
      </c>
      <c r="E1308" t="s">
        <v>1309</v>
      </c>
      <c r="F1308">
        <v>3</v>
      </c>
      <c r="G1308">
        <v>60</v>
      </c>
      <c r="H1308">
        <v>230</v>
      </c>
      <c r="I1308">
        <v>8.5</v>
      </c>
      <c r="J1308" s="110">
        <v>1306</v>
      </c>
      <c r="K1308" t="s">
        <v>2196</v>
      </c>
      <c r="L1308">
        <f>IF(Table_TRM_Fixtures[[#This Row],[Technology]]="LED", Table_TRM_Fixtures[[#This Row],[Fixture Watts  (TRM Data)]], Table_TRM_Fixtures[[#This Row],[Lamp Watts  (TRM Data)]])</f>
        <v>60</v>
      </c>
      <c r="M1308">
        <f>Table_TRM_Fixtures[[#This Row],[No. of Lamps  (TRM Data)]]</f>
        <v>3</v>
      </c>
      <c r="N1308">
        <v>48</v>
      </c>
      <c r="O1308" t="s">
        <v>2211</v>
      </c>
      <c r="P1308" t="s">
        <v>2640</v>
      </c>
      <c r="Q1308" t="s">
        <v>5781</v>
      </c>
      <c r="R1308" t="str">
        <f>_xlfn.CONCAT(Table_TRM_Fixtures[[#This Row],[Technology]], ", ", Table_TRM_Fixtures[[#This Row],[Ballast Code]], " Ballast")</f>
        <v>T12, Magnetic HLO Ballast</v>
      </c>
      <c r="S1308" t="str">
        <f>Table_TRM_Fixtures[[#This Row],[Description  (TRM Data)]]</f>
        <v>Fluorescent, (3) 48", STD HO lamps</v>
      </c>
      <c r="T1308" t="str">
        <f>Table_TRM_Fixtures[[#This Row],[Fixture code  (TRM Data)]]</f>
        <v>F43SHS</v>
      </c>
      <c r="U1308" t="s">
        <v>2882</v>
      </c>
      <c r="V1308" t="s">
        <v>186</v>
      </c>
      <c r="W1308" t="s">
        <v>5764</v>
      </c>
      <c r="X1308">
        <v>85</v>
      </c>
      <c r="Y1308" t="str">
        <f>_xlfn.CONCAT(Table_TRM_Fixtures[[#This Row],[Combined Lighting/Ballast Types]],":",Table_TRM_Fixtures[[#This Row],[No. of Lamps]], ":", Table_TRM_Fixtures[[#This Row],[Lamp Watts  (TRM Data)]])</f>
        <v>T12, Magnetic HLO Ballast:3:60</v>
      </c>
      <c r="Z1308" t="s">
        <v>4815</v>
      </c>
      <c r="AA1308">
        <f>IF(Table_TRM_Fixtures[[#This Row],[Pre-EISA Baseline]]="Nominal", Table_TRM_Fixtures[[#This Row],[Fixture Watts  (TRM Data)]], Table_TRM_Fixtures[[#This Row],[Modified Baseline Fixture Watts]])</f>
        <v>85</v>
      </c>
    </row>
    <row r="1309" spans="1:27" x14ac:dyDescent="0.2">
      <c r="A1309" t="s">
        <v>2345</v>
      </c>
      <c r="B1309" t="s">
        <v>5802</v>
      </c>
      <c r="C1309" t="s">
        <v>2344</v>
      </c>
      <c r="D1309" t="s">
        <v>5805</v>
      </c>
      <c r="E1309" t="s">
        <v>1309</v>
      </c>
      <c r="F1309">
        <v>4</v>
      </c>
      <c r="G1309">
        <v>60</v>
      </c>
      <c r="H1309">
        <v>290</v>
      </c>
      <c r="I1309">
        <v>8.5</v>
      </c>
      <c r="J1309" s="110">
        <v>1307</v>
      </c>
      <c r="K1309" t="s">
        <v>2196</v>
      </c>
      <c r="L1309">
        <f>IF(Table_TRM_Fixtures[[#This Row],[Technology]]="LED", Table_TRM_Fixtures[[#This Row],[Fixture Watts  (TRM Data)]], Table_TRM_Fixtures[[#This Row],[Lamp Watts  (TRM Data)]])</f>
        <v>60</v>
      </c>
      <c r="M1309">
        <f>Table_TRM_Fixtures[[#This Row],[No. of Lamps  (TRM Data)]]</f>
        <v>4</v>
      </c>
      <c r="N1309">
        <v>48</v>
      </c>
      <c r="O1309" t="s">
        <v>2211</v>
      </c>
      <c r="P1309" t="s">
        <v>2640</v>
      </c>
      <c r="Q1309" t="s">
        <v>5781</v>
      </c>
      <c r="R1309" t="str">
        <f>_xlfn.CONCAT(Table_TRM_Fixtures[[#This Row],[Technology]], ", ", Table_TRM_Fixtures[[#This Row],[Ballast Code]], " Ballast")</f>
        <v>T12, Magnetic HLO Ballast</v>
      </c>
      <c r="S1309" t="str">
        <f>Table_TRM_Fixtures[[#This Row],[Description  (TRM Data)]]</f>
        <v>Fluorescent, (4) 48", STD HO lamps</v>
      </c>
      <c r="T1309" t="str">
        <f>Table_TRM_Fixtures[[#This Row],[Fixture code  (TRM Data)]]</f>
        <v>F44SHS</v>
      </c>
      <c r="U1309" t="s">
        <v>2882</v>
      </c>
      <c r="V1309" t="s">
        <v>186</v>
      </c>
      <c r="W1309" t="s">
        <v>5764</v>
      </c>
      <c r="X1309">
        <v>112</v>
      </c>
      <c r="Y1309" t="str">
        <f>_xlfn.CONCAT(Table_TRM_Fixtures[[#This Row],[Combined Lighting/Ballast Types]],":",Table_TRM_Fixtures[[#This Row],[No. of Lamps]], ":", Table_TRM_Fixtures[[#This Row],[Lamp Watts  (TRM Data)]])</f>
        <v>T12, Magnetic HLO Ballast:4:60</v>
      </c>
      <c r="Z1309" t="s">
        <v>4815</v>
      </c>
      <c r="AA1309">
        <f>IF(Table_TRM_Fixtures[[#This Row],[Pre-EISA Baseline]]="Nominal", Table_TRM_Fixtures[[#This Row],[Fixture Watts  (TRM Data)]], Table_TRM_Fixtures[[#This Row],[Modified Baseline Fixture Watts]])</f>
        <v>112</v>
      </c>
    </row>
    <row r="1310" spans="1:27" x14ac:dyDescent="0.2">
      <c r="A1310" t="s">
        <v>2347</v>
      </c>
      <c r="B1310" t="s">
        <v>5806</v>
      </c>
      <c r="C1310" t="s">
        <v>2346</v>
      </c>
      <c r="D1310" t="s">
        <v>5803</v>
      </c>
      <c r="E1310" t="s">
        <v>1309</v>
      </c>
      <c r="F1310">
        <v>1</v>
      </c>
      <c r="G1310">
        <v>55</v>
      </c>
      <c r="H1310">
        <v>80</v>
      </c>
      <c r="I1310">
        <v>8.5</v>
      </c>
      <c r="J1310" s="110">
        <v>1308</v>
      </c>
      <c r="K1310" t="s">
        <v>2196</v>
      </c>
      <c r="L1310">
        <f>IF(Table_TRM_Fixtures[[#This Row],[Technology]]="LED", Table_TRM_Fixtures[[#This Row],[Fixture Watts  (TRM Data)]], Table_TRM_Fixtures[[#This Row],[Lamp Watts  (TRM Data)]])</f>
        <v>55</v>
      </c>
      <c r="M1310">
        <f>Table_TRM_Fixtures[[#This Row],[No. of Lamps  (TRM Data)]]</f>
        <v>1</v>
      </c>
      <c r="N1310">
        <v>48</v>
      </c>
      <c r="O1310" t="s">
        <v>2211</v>
      </c>
      <c r="P1310" t="s">
        <v>2640</v>
      </c>
      <c r="Q1310" t="s">
        <v>5781</v>
      </c>
      <c r="R1310" t="str">
        <f>_xlfn.CONCAT(Table_TRM_Fixtures[[#This Row],[Technology]], ", ", Table_TRM_Fixtures[[#This Row],[Ballast Code]], " Ballast")</f>
        <v>T12, Magnetic HLO Ballast</v>
      </c>
      <c r="S1310" t="str">
        <f>Table_TRM_Fixtures[[#This Row],[Description  (TRM Data)]]</f>
        <v>Fluorescent, (1) 48", ES HO lamp</v>
      </c>
      <c r="T1310" t="str">
        <f>Table_TRM_Fixtures[[#This Row],[Fixture code  (TRM Data)]]</f>
        <v>F41EHS</v>
      </c>
      <c r="U1310" t="s">
        <v>2882</v>
      </c>
      <c r="V1310" t="s">
        <v>186</v>
      </c>
      <c r="W1310" t="s">
        <v>5764</v>
      </c>
      <c r="X1310">
        <v>31</v>
      </c>
      <c r="Y1310" t="str">
        <f>_xlfn.CONCAT(Table_TRM_Fixtures[[#This Row],[Combined Lighting/Ballast Types]],":",Table_TRM_Fixtures[[#This Row],[No. of Lamps]], ":", Table_TRM_Fixtures[[#This Row],[Lamp Watts  (TRM Data)]])</f>
        <v>T12, Magnetic HLO Ballast:1:55</v>
      </c>
      <c r="Z1310"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T12:1:55</v>
      </c>
      <c r="AA1310">
        <f>IF(Table_TRM_Fixtures[[#This Row],[Pre-EISA Baseline]]="Nominal", Table_TRM_Fixtures[[#This Row],[Fixture Watts  (TRM Data)]], Table_TRM_Fixtures[[#This Row],[Modified Baseline Fixture Watts]])</f>
        <v>31</v>
      </c>
    </row>
    <row r="1311" spans="1:27" x14ac:dyDescent="0.2">
      <c r="A1311" t="s">
        <v>2349</v>
      </c>
      <c r="B1311" t="s">
        <v>5806</v>
      </c>
      <c r="C1311" t="s">
        <v>2348</v>
      </c>
      <c r="D1311" t="s">
        <v>5800</v>
      </c>
      <c r="E1311" t="s">
        <v>1309</v>
      </c>
      <c r="F1311">
        <v>4</v>
      </c>
      <c r="G1311">
        <v>55</v>
      </c>
      <c r="H1311">
        <v>270</v>
      </c>
      <c r="I1311">
        <v>8.5</v>
      </c>
      <c r="J1311" s="110">
        <v>1309</v>
      </c>
      <c r="K1311" t="s">
        <v>2196</v>
      </c>
      <c r="L1311">
        <f>IF(Table_TRM_Fixtures[[#This Row],[Technology]]="LED", Table_TRM_Fixtures[[#This Row],[Fixture Watts  (TRM Data)]], Table_TRM_Fixtures[[#This Row],[Lamp Watts  (TRM Data)]])</f>
        <v>55</v>
      </c>
      <c r="M1311">
        <f>Table_TRM_Fixtures[[#This Row],[No. of Lamps  (TRM Data)]]</f>
        <v>4</v>
      </c>
      <c r="N1311">
        <v>48</v>
      </c>
      <c r="O1311" t="s">
        <v>2211</v>
      </c>
      <c r="P1311" t="s">
        <v>2640</v>
      </c>
      <c r="Q1311" t="s">
        <v>5781</v>
      </c>
      <c r="R1311" t="str">
        <f>_xlfn.CONCAT(Table_TRM_Fixtures[[#This Row],[Technology]], ", ", Table_TRM_Fixtures[[#This Row],[Ballast Code]], " Ballast")</f>
        <v>T12, Magnetic HLO Ballast</v>
      </c>
      <c r="S1311" t="str">
        <f>Table_TRM_Fixtures[[#This Row],[Description  (TRM Data)]]</f>
        <v>Fluorescent, (4) 48", ES HO lamps</v>
      </c>
      <c r="T1311" t="str">
        <f>Table_TRM_Fixtures[[#This Row],[Fixture code  (TRM Data)]]</f>
        <v>F44EHS</v>
      </c>
      <c r="U1311" t="s">
        <v>2882</v>
      </c>
      <c r="V1311" t="s">
        <v>186</v>
      </c>
      <c r="W1311" t="s">
        <v>5764</v>
      </c>
      <c r="X1311">
        <v>112</v>
      </c>
      <c r="Y1311" t="str">
        <f>_xlfn.CONCAT(Table_TRM_Fixtures[[#This Row],[Combined Lighting/Ballast Types]],":",Table_TRM_Fixtures[[#This Row],[No. of Lamps]], ":", Table_TRM_Fixtures[[#This Row],[Lamp Watts  (TRM Data)]])</f>
        <v>T12, Magnetic HLO Ballast:4:55</v>
      </c>
      <c r="Z1311"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T12:4:55</v>
      </c>
      <c r="AA1311">
        <f>IF(Table_TRM_Fixtures[[#This Row],[Pre-EISA Baseline]]="Nominal", Table_TRM_Fixtures[[#This Row],[Fixture Watts  (TRM Data)]], Table_TRM_Fixtures[[#This Row],[Modified Baseline Fixture Watts]])</f>
        <v>112</v>
      </c>
    </row>
    <row r="1312" spans="1:27" x14ac:dyDescent="0.2">
      <c r="A1312" t="s">
        <v>2352</v>
      </c>
      <c r="B1312" t="s">
        <v>5807</v>
      </c>
      <c r="C1312" t="s">
        <v>2351</v>
      </c>
      <c r="D1312" t="s">
        <v>5808</v>
      </c>
      <c r="E1312" t="s">
        <v>1309</v>
      </c>
      <c r="F1312">
        <v>1</v>
      </c>
      <c r="G1312">
        <v>110</v>
      </c>
      <c r="H1312">
        <v>140</v>
      </c>
      <c r="I1312">
        <v>8.5</v>
      </c>
      <c r="J1312" s="110">
        <v>1310</v>
      </c>
      <c r="K1312" t="s">
        <v>2196</v>
      </c>
      <c r="L1312">
        <f>IF(Table_TRM_Fixtures[[#This Row],[Technology]]="LED", Table_TRM_Fixtures[[#This Row],[Fixture Watts  (TRM Data)]], Table_TRM_Fixtures[[#This Row],[Lamp Watts  (TRM Data)]])</f>
        <v>110</v>
      </c>
      <c r="M1312">
        <f>Table_TRM_Fixtures[[#This Row],[No. of Lamps  (TRM Data)]]</f>
        <v>1</v>
      </c>
      <c r="N1312">
        <v>48</v>
      </c>
      <c r="O1312" t="s">
        <v>2350</v>
      </c>
      <c r="P1312" t="s">
        <v>2640</v>
      </c>
      <c r="Q1312" t="s">
        <v>5781</v>
      </c>
      <c r="R1312" t="str">
        <f>_xlfn.CONCAT(Table_TRM_Fixtures[[#This Row],[Technology]], ", ", Table_TRM_Fixtures[[#This Row],[Ballast Code]], " Ballast")</f>
        <v>T12, Magnetic HLO Ballast</v>
      </c>
      <c r="S1312" t="str">
        <f>Table_TRM_Fixtures[[#This Row],[Description  (TRM Data)]]</f>
        <v>Fluorescent, (1) 48", STD VHO lamp</v>
      </c>
      <c r="T1312" t="str">
        <f>Table_TRM_Fixtures[[#This Row],[Fixture code  (TRM Data)]]</f>
        <v>F41SVS</v>
      </c>
      <c r="U1312" t="s">
        <v>2882</v>
      </c>
      <c r="V1312" t="s">
        <v>186</v>
      </c>
      <c r="W1312" t="s">
        <v>5764</v>
      </c>
      <c r="X1312">
        <v>58</v>
      </c>
      <c r="Y1312" t="s">
        <v>4815</v>
      </c>
      <c r="Z1312"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T12:1:110</v>
      </c>
      <c r="AA1312">
        <f>IF(Table_TRM_Fixtures[[#This Row],[Pre-EISA Baseline]]="Nominal", Table_TRM_Fixtures[[#This Row],[Fixture Watts  (TRM Data)]], Table_TRM_Fixtures[[#This Row],[Modified Baseline Fixture Watts]])</f>
        <v>58</v>
      </c>
    </row>
    <row r="1313" spans="1:27" x14ac:dyDescent="0.2">
      <c r="A1313" t="s">
        <v>2354</v>
      </c>
      <c r="B1313" t="s">
        <v>5807</v>
      </c>
      <c r="C1313" t="s">
        <v>2353</v>
      </c>
      <c r="D1313" t="s">
        <v>5809</v>
      </c>
      <c r="E1313" t="s">
        <v>1309</v>
      </c>
      <c r="F1313">
        <v>2</v>
      </c>
      <c r="G1313">
        <v>110</v>
      </c>
      <c r="H1313">
        <v>252</v>
      </c>
      <c r="I1313">
        <v>8.5</v>
      </c>
      <c r="J1313" s="110">
        <v>1311</v>
      </c>
      <c r="K1313" t="s">
        <v>2196</v>
      </c>
      <c r="L1313">
        <f>IF(Table_TRM_Fixtures[[#This Row],[Technology]]="LED", Table_TRM_Fixtures[[#This Row],[Fixture Watts  (TRM Data)]], Table_TRM_Fixtures[[#This Row],[Lamp Watts  (TRM Data)]])</f>
        <v>110</v>
      </c>
      <c r="M1313">
        <f>Table_TRM_Fixtures[[#This Row],[No. of Lamps  (TRM Data)]]</f>
        <v>2</v>
      </c>
      <c r="N1313">
        <v>48</v>
      </c>
      <c r="O1313" t="s">
        <v>2350</v>
      </c>
      <c r="P1313" t="s">
        <v>2640</v>
      </c>
      <c r="Q1313" t="s">
        <v>5781</v>
      </c>
      <c r="R1313" t="str">
        <f>_xlfn.CONCAT(Table_TRM_Fixtures[[#This Row],[Technology]], ", ", Table_TRM_Fixtures[[#This Row],[Ballast Code]], " Ballast")</f>
        <v>T12, Magnetic HLO Ballast</v>
      </c>
      <c r="S1313" t="str">
        <f>Table_TRM_Fixtures[[#This Row],[Description  (TRM Data)]]</f>
        <v>Fluorescent, (2) 48", STD VHO lamps</v>
      </c>
      <c r="T1313" t="str">
        <f>Table_TRM_Fixtures[[#This Row],[Fixture code  (TRM Data)]]</f>
        <v>F42SVS</v>
      </c>
      <c r="U1313" t="s">
        <v>2882</v>
      </c>
      <c r="V1313" t="s">
        <v>186</v>
      </c>
      <c r="W1313" t="s">
        <v>5764</v>
      </c>
      <c r="X1313">
        <v>58</v>
      </c>
      <c r="Y1313" t="s">
        <v>4815</v>
      </c>
      <c r="Z1313" t="s">
        <v>4815</v>
      </c>
      <c r="AA1313">
        <f>IF(Table_TRM_Fixtures[[#This Row],[Pre-EISA Baseline]]="Nominal", Table_TRM_Fixtures[[#This Row],[Fixture Watts  (TRM Data)]], Table_TRM_Fixtures[[#This Row],[Modified Baseline Fixture Watts]])</f>
        <v>58</v>
      </c>
    </row>
    <row r="1314" spans="1:27" x14ac:dyDescent="0.2">
      <c r="A1314" t="s">
        <v>2356</v>
      </c>
      <c r="B1314" t="s">
        <v>5807</v>
      </c>
      <c r="C1314" t="s">
        <v>2355</v>
      </c>
      <c r="D1314" t="s">
        <v>5810</v>
      </c>
      <c r="E1314" t="s">
        <v>1309</v>
      </c>
      <c r="F1314">
        <v>3</v>
      </c>
      <c r="G1314">
        <v>110</v>
      </c>
      <c r="H1314">
        <v>377</v>
      </c>
      <c r="I1314">
        <v>8.5</v>
      </c>
      <c r="J1314" s="110">
        <v>1312</v>
      </c>
      <c r="K1314" t="s">
        <v>2196</v>
      </c>
      <c r="L1314">
        <f>IF(Table_TRM_Fixtures[[#This Row],[Technology]]="LED", Table_TRM_Fixtures[[#This Row],[Fixture Watts  (TRM Data)]], Table_TRM_Fixtures[[#This Row],[Lamp Watts  (TRM Data)]])</f>
        <v>110</v>
      </c>
      <c r="M1314">
        <f>Table_TRM_Fixtures[[#This Row],[No. of Lamps  (TRM Data)]]</f>
        <v>3</v>
      </c>
      <c r="N1314">
        <v>48</v>
      </c>
      <c r="O1314" t="s">
        <v>2350</v>
      </c>
      <c r="P1314" t="s">
        <v>2640</v>
      </c>
      <c r="Q1314" t="s">
        <v>5781</v>
      </c>
      <c r="R1314" t="str">
        <f>_xlfn.CONCAT(Table_TRM_Fixtures[[#This Row],[Technology]], ", ", Table_TRM_Fixtures[[#This Row],[Ballast Code]], " Ballast")</f>
        <v>T12, Magnetic HLO Ballast</v>
      </c>
      <c r="S1314" t="str">
        <f>Table_TRM_Fixtures[[#This Row],[Description  (TRM Data)]]</f>
        <v>Fluorescent, (3) 48", STD VHO lamps</v>
      </c>
      <c r="T1314" t="str">
        <f>Table_TRM_Fixtures[[#This Row],[Fixture code  (TRM Data)]]</f>
        <v>F43SVS</v>
      </c>
      <c r="U1314" t="s">
        <v>2882</v>
      </c>
      <c r="V1314" t="s">
        <v>186</v>
      </c>
      <c r="W1314" t="s">
        <v>5764</v>
      </c>
      <c r="X1314">
        <v>85</v>
      </c>
      <c r="Y1314" t="s">
        <v>4815</v>
      </c>
      <c r="Z1314" t="s">
        <v>4815</v>
      </c>
      <c r="AA1314">
        <f>IF(Table_TRM_Fixtures[[#This Row],[Pre-EISA Baseline]]="Nominal", Table_TRM_Fixtures[[#This Row],[Fixture Watts  (TRM Data)]], Table_TRM_Fixtures[[#This Row],[Modified Baseline Fixture Watts]])</f>
        <v>85</v>
      </c>
    </row>
    <row r="1315" spans="1:27" x14ac:dyDescent="0.2">
      <c r="A1315" t="s">
        <v>2358</v>
      </c>
      <c r="B1315" t="s">
        <v>5807</v>
      </c>
      <c r="C1315" t="s">
        <v>2357</v>
      </c>
      <c r="D1315" t="s">
        <v>5811</v>
      </c>
      <c r="E1315" t="s">
        <v>1309</v>
      </c>
      <c r="F1315">
        <v>4</v>
      </c>
      <c r="G1315">
        <v>110</v>
      </c>
      <c r="H1315">
        <v>484</v>
      </c>
      <c r="I1315">
        <v>8.5</v>
      </c>
      <c r="J1315" s="110">
        <v>1313</v>
      </c>
      <c r="K1315" t="s">
        <v>2196</v>
      </c>
      <c r="L1315">
        <f>IF(Table_TRM_Fixtures[[#This Row],[Technology]]="LED", Table_TRM_Fixtures[[#This Row],[Fixture Watts  (TRM Data)]], Table_TRM_Fixtures[[#This Row],[Lamp Watts  (TRM Data)]])</f>
        <v>110</v>
      </c>
      <c r="M1315">
        <f>Table_TRM_Fixtures[[#This Row],[No. of Lamps  (TRM Data)]]</f>
        <v>4</v>
      </c>
      <c r="N1315">
        <v>48</v>
      </c>
      <c r="O1315" t="s">
        <v>2350</v>
      </c>
      <c r="P1315" t="s">
        <v>2640</v>
      </c>
      <c r="Q1315" t="s">
        <v>5781</v>
      </c>
      <c r="R1315" t="str">
        <f>_xlfn.CONCAT(Table_TRM_Fixtures[[#This Row],[Technology]], ", ", Table_TRM_Fixtures[[#This Row],[Ballast Code]], " Ballast")</f>
        <v>T12, Magnetic HLO Ballast</v>
      </c>
      <c r="S1315" t="str">
        <f>Table_TRM_Fixtures[[#This Row],[Description  (TRM Data)]]</f>
        <v>Fluorescent, (4) 48", STD VHO lamps</v>
      </c>
      <c r="T1315" t="str">
        <f>Table_TRM_Fixtures[[#This Row],[Fixture code  (TRM Data)]]</f>
        <v>F44SVS</v>
      </c>
      <c r="U1315" t="s">
        <v>2882</v>
      </c>
      <c r="V1315" t="s">
        <v>186</v>
      </c>
      <c r="W1315" t="s">
        <v>5764</v>
      </c>
      <c r="X1315">
        <v>112</v>
      </c>
      <c r="Y1315" t="s">
        <v>4815</v>
      </c>
      <c r="Z1315" t="s">
        <v>4815</v>
      </c>
      <c r="AA1315">
        <f>IF(Table_TRM_Fixtures[[#This Row],[Pre-EISA Baseline]]="Nominal", Table_TRM_Fixtures[[#This Row],[Fixture Watts  (TRM Data)]], Table_TRM_Fixtures[[#This Row],[Modified Baseline Fixture Watts]])</f>
        <v>112</v>
      </c>
    </row>
    <row r="1316" spans="1:27" x14ac:dyDescent="0.2">
      <c r="A1316" t="s">
        <v>2360</v>
      </c>
      <c r="B1316" t="s">
        <v>5812</v>
      </c>
      <c r="C1316" t="s">
        <v>2359</v>
      </c>
      <c r="D1316" t="s">
        <v>5811</v>
      </c>
      <c r="E1316" t="s">
        <v>1309</v>
      </c>
      <c r="F1316">
        <v>4</v>
      </c>
      <c r="G1316">
        <v>100</v>
      </c>
      <c r="H1316">
        <v>420</v>
      </c>
      <c r="I1316">
        <v>8.5</v>
      </c>
      <c r="J1316" s="110">
        <v>1314</v>
      </c>
      <c r="K1316" t="s">
        <v>2196</v>
      </c>
      <c r="L1316">
        <f>IF(Table_TRM_Fixtures[[#This Row],[Technology]]="LED", Table_TRM_Fixtures[[#This Row],[Fixture Watts  (TRM Data)]], Table_TRM_Fixtures[[#This Row],[Lamp Watts  (TRM Data)]])</f>
        <v>100</v>
      </c>
      <c r="M1316">
        <f>Table_TRM_Fixtures[[#This Row],[No. of Lamps  (TRM Data)]]</f>
        <v>4</v>
      </c>
      <c r="N1316">
        <v>48</v>
      </c>
      <c r="O1316" t="s">
        <v>2350</v>
      </c>
      <c r="P1316" t="s">
        <v>2640</v>
      </c>
      <c r="Q1316" t="s">
        <v>5781</v>
      </c>
      <c r="R1316" t="str">
        <f>_xlfn.CONCAT(Table_TRM_Fixtures[[#This Row],[Technology]], ", ", Table_TRM_Fixtures[[#This Row],[Ballast Code]], " Ballast")</f>
        <v>T12, Magnetic HLO Ballast</v>
      </c>
      <c r="S1316" t="str">
        <f>Table_TRM_Fixtures[[#This Row],[Description  (TRM Data)]]</f>
        <v>Fluorescent, (4) 48", VHO ES lamps</v>
      </c>
      <c r="T1316" t="str">
        <f>Table_TRM_Fixtures[[#This Row],[Fixture code  (TRM Data)]]</f>
        <v>F44EVS</v>
      </c>
      <c r="U1316" t="s">
        <v>2882</v>
      </c>
      <c r="V1316" t="s">
        <v>186</v>
      </c>
      <c r="W1316" t="s">
        <v>5764</v>
      </c>
      <c r="X1316">
        <v>112</v>
      </c>
      <c r="Y1316" t="str">
        <f>_xlfn.CONCAT(Table_TRM_Fixtures[[#This Row],[Combined Lighting/Ballast Types]],":",Table_TRM_Fixtures[[#This Row],[No. of Lamps]], ":", Table_TRM_Fixtures[[#This Row],[Lamp Watts  (TRM Data)]])</f>
        <v>T12, Magnetic HLO Ballast:4:100</v>
      </c>
      <c r="Z1316"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T12:4:100</v>
      </c>
      <c r="AA1316">
        <f>IF(Table_TRM_Fixtures[[#This Row],[Pre-EISA Baseline]]="Nominal", Table_TRM_Fixtures[[#This Row],[Fixture Watts  (TRM Data)]], Table_TRM_Fixtures[[#This Row],[Modified Baseline Fixture Watts]])</f>
        <v>112</v>
      </c>
    </row>
    <row r="1317" spans="1:27" x14ac:dyDescent="0.2">
      <c r="A1317" t="s">
        <v>2362</v>
      </c>
      <c r="B1317" t="s">
        <v>5813</v>
      </c>
      <c r="C1317" t="s">
        <v>2361</v>
      </c>
      <c r="D1317" t="s">
        <v>5814</v>
      </c>
      <c r="E1317" t="s">
        <v>187</v>
      </c>
      <c r="F1317">
        <v>1</v>
      </c>
      <c r="G1317">
        <v>50</v>
      </c>
      <c r="H1317">
        <v>44</v>
      </c>
      <c r="I1317">
        <v>15.5</v>
      </c>
      <c r="J1317" s="110">
        <v>1315</v>
      </c>
      <c r="K1317" t="s">
        <v>2196</v>
      </c>
      <c r="L1317">
        <f>IF(Table_TRM_Fixtures[[#This Row],[Technology]]="LED", Table_TRM_Fixtures[[#This Row],[Fixture Watts  (TRM Data)]], Table_TRM_Fixtures[[#This Row],[Lamp Watts  (TRM Data)]])</f>
        <v>50</v>
      </c>
      <c r="M1317">
        <f>Table_TRM_Fixtures[[#This Row],[No. of Lamps  (TRM Data)]]</f>
        <v>1</v>
      </c>
      <c r="N1317">
        <v>60</v>
      </c>
      <c r="O1317" t="s">
        <v>1381</v>
      </c>
      <c r="P1317" t="s">
        <v>187</v>
      </c>
      <c r="Q1317" t="s">
        <v>5612</v>
      </c>
      <c r="R1317" t="str">
        <f>_xlfn.CONCAT(Table_TRM_Fixtures[[#This Row],[Technology]], " ", Table_TRM_Fixtures[[#This Row],[Ballast Code]], " Ballast")</f>
        <v>T12 Electronic STD Ballast</v>
      </c>
      <c r="S1317" t="str">
        <f>Table_TRM_Fixtures[[#This Row],[Description  (TRM Data)]]</f>
        <v>Fluorescent, (1) 60", STD lamp</v>
      </c>
      <c r="T1317" t="str">
        <f>Table_TRM_Fixtures[[#This Row],[Fixture code  (TRM Data)]]</f>
        <v>F51SL</v>
      </c>
      <c r="U1317" t="s">
        <v>2883</v>
      </c>
      <c r="V1317" t="s">
        <v>5562</v>
      </c>
      <c r="W1317" t="s">
        <v>3120</v>
      </c>
      <c r="X1317" t="s">
        <v>186</v>
      </c>
      <c r="AA1317">
        <f>IF(Table_TRM_Fixtures[[#This Row],[Pre-EISA Baseline]]="Nominal", Table_TRM_Fixtures[[#This Row],[Fixture Watts  (TRM Data)]], Table_TRM_Fixtures[[#This Row],[Modified Baseline Fixture Watts]])</f>
        <v>44</v>
      </c>
    </row>
    <row r="1318" spans="1:27" x14ac:dyDescent="0.2">
      <c r="A1318" t="s">
        <v>2363</v>
      </c>
      <c r="B1318" t="s">
        <v>5813</v>
      </c>
      <c r="C1318" t="s">
        <v>2361</v>
      </c>
      <c r="D1318" t="s">
        <v>5814</v>
      </c>
      <c r="E1318" t="s">
        <v>1309</v>
      </c>
      <c r="F1318">
        <v>1</v>
      </c>
      <c r="G1318">
        <v>50</v>
      </c>
      <c r="H1318">
        <v>63</v>
      </c>
      <c r="I1318">
        <v>8.5</v>
      </c>
      <c r="J1318" s="110">
        <v>1316</v>
      </c>
      <c r="K1318" t="s">
        <v>2196</v>
      </c>
      <c r="L1318">
        <f>IF(Table_TRM_Fixtures[[#This Row],[Technology]]="LED", Table_TRM_Fixtures[[#This Row],[Fixture Watts  (TRM Data)]], Table_TRM_Fixtures[[#This Row],[Lamp Watts  (TRM Data)]])</f>
        <v>50</v>
      </c>
      <c r="M1318">
        <f>Table_TRM_Fixtures[[#This Row],[No. of Lamps  (TRM Data)]]</f>
        <v>1</v>
      </c>
      <c r="N1318">
        <v>60</v>
      </c>
      <c r="O1318" t="s">
        <v>1381</v>
      </c>
      <c r="P1318" t="s">
        <v>2640</v>
      </c>
      <c r="Q1318" t="s">
        <v>5608</v>
      </c>
      <c r="R1318" t="str">
        <f>_xlfn.CONCAT(Table_TRM_Fixtures[[#This Row],[Technology]], " ", Table_TRM_Fixtures[[#This Row],[Ballast Code]], " Ballast")</f>
        <v>T12 Magnetic STD Ballast</v>
      </c>
      <c r="S1318" t="str">
        <f>Table_TRM_Fixtures[[#This Row],[Description  (TRM Data)]]</f>
        <v>Fluorescent, (1) 60", STD lamp</v>
      </c>
      <c r="T1318" t="str">
        <f>Table_TRM_Fixtures[[#This Row],[Fixture code  (TRM Data)]]</f>
        <v>F51SS</v>
      </c>
      <c r="U1318" t="s">
        <v>2883</v>
      </c>
      <c r="V1318" t="s">
        <v>5562</v>
      </c>
      <c r="W1318" t="s">
        <v>3120</v>
      </c>
      <c r="X1318" t="s">
        <v>186</v>
      </c>
      <c r="AA1318">
        <f>IF(Table_TRM_Fixtures[[#This Row],[Pre-EISA Baseline]]="Nominal", Table_TRM_Fixtures[[#This Row],[Fixture Watts  (TRM Data)]], Table_TRM_Fixtures[[#This Row],[Modified Baseline Fixture Watts]])</f>
        <v>63</v>
      </c>
    </row>
    <row r="1319" spans="1:27" x14ac:dyDescent="0.2">
      <c r="A1319" t="s">
        <v>2365</v>
      </c>
      <c r="B1319" t="s">
        <v>5813</v>
      </c>
      <c r="C1319" t="s">
        <v>2364</v>
      </c>
      <c r="D1319" t="s">
        <v>5815</v>
      </c>
      <c r="E1319" t="s">
        <v>187</v>
      </c>
      <c r="F1319">
        <v>2</v>
      </c>
      <c r="G1319">
        <v>50</v>
      </c>
      <c r="H1319">
        <v>88</v>
      </c>
      <c r="I1319">
        <v>15.5</v>
      </c>
      <c r="J1319" s="110">
        <v>1317</v>
      </c>
      <c r="K1319" t="s">
        <v>2196</v>
      </c>
      <c r="L1319">
        <f>IF(Table_TRM_Fixtures[[#This Row],[Technology]]="LED", Table_TRM_Fixtures[[#This Row],[Fixture Watts  (TRM Data)]], Table_TRM_Fixtures[[#This Row],[Lamp Watts  (TRM Data)]])</f>
        <v>50</v>
      </c>
      <c r="M1319">
        <f>Table_TRM_Fixtures[[#This Row],[No. of Lamps  (TRM Data)]]</f>
        <v>2</v>
      </c>
      <c r="N1319">
        <v>60</v>
      </c>
      <c r="O1319" t="s">
        <v>1381</v>
      </c>
      <c r="P1319" t="s">
        <v>187</v>
      </c>
      <c r="Q1319" t="s">
        <v>5612</v>
      </c>
      <c r="R1319" t="str">
        <f>_xlfn.CONCAT(Table_TRM_Fixtures[[#This Row],[Technology]], " ", Table_TRM_Fixtures[[#This Row],[Ballast Code]], " Ballast")</f>
        <v>T12 Electronic STD Ballast</v>
      </c>
      <c r="S1319" t="str">
        <f>Table_TRM_Fixtures[[#This Row],[Description  (TRM Data)]]</f>
        <v>Fluorescent, (2) 60", STD lamps</v>
      </c>
      <c r="T1319" t="str">
        <f>Table_TRM_Fixtures[[#This Row],[Fixture code  (TRM Data)]]</f>
        <v>F52SL</v>
      </c>
      <c r="U1319" t="s">
        <v>2883</v>
      </c>
      <c r="V1319" t="s">
        <v>5562</v>
      </c>
      <c r="W1319" t="s">
        <v>3120</v>
      </c>
      <c r="X1319" t="s">
        <v>186</v>
      </c>
      <c r="AA1319">
        <f>IF(Table_TRM_Fixtures[[#This Row],[Pre-EISA Baseline]]="Nominal", Table_TRM_Fixtures[[#This Row],[Fixture Watts  (TRM Data)]], Table_TRM_Fixtures[[#This Row],[Modified Baseline Fixture Watts]])</f>
        <v>88</v>
      </c>
    </row>
    <row r="1320" spans="1:27" x14ac:dyDescent="0.2">
      <c r="A1320" t="s">
        <v>2366</v>
      </c>
      <c r="B1320" t="s">
        <v>5813</v>
      </c>
      <c r="C1320" t="s">
        <v>2364</v>
      </c>
      <c r="D1320" t="s">
        <v>5815</v>
      </c>
      <c r="E1320" t="s">
        <v>1309</v>
      </c>
      <c r="F1320">
        <v>2</v>
      </c>
      <c r="G1320">
        <v>50</v>
      </c>
      <c r="H1320">
        <v>128</v>
      </c>
      <c r="I1320">
        <v>8.5</v>
      </c>
      <c r="J1320" s="110">
        <v>1318</v>
      </c>
      <c r="K1320" t="s">
        <v>2196</v>
      </c>
      <c r="L1320">
        <f>IF(Table_TRM_Fixtures[[#This Row],[Technology]]="LED", Table_TRM_Fixtures[[#This Row],[Fixture Watts  (TRM Data)]], Table_TRM_Fixtures[[#This Row],[Lamp Watts  (TRM Data)]])</f>
        <v>50</v>
      </c>
      <c r="M1320">
        <f>Table_TRM_Fixtures[[#This Row],[No. of Lamps  (TRM Data)]]</f>
        <v>2</v>
      </c>
      <c r="N1320">
        <v>60</v>
      </c>
      <c r="O1320" t="s">
        <v>1381</v>
      </c>
      <c r="P1320" t="s">
        <v>2640</v>
      </c>
      <c r="Q1320" t="s">
        <v>5608</v>
      </c>
      <c r="R1320" t="str">
        <f>_xlfn.CONCAT(Table_TRM_Fixtures[[#This Row],[Technology]], " ", Table_TRM_Fixtures[[#This Row],[Ballast Code]], " Ballast")</f>
        <v>T12 Magnetic STD Ballast</v>
      </c>
      <c r="S1320" t="str">
        <f>Table_TRM_Fixtures[[#This Row],[Description  (TRM Data)]]</f>
        <v>Fluorescent, (2) 60", STD lamps</v>
      </c>
      <c r="T1320" t="str">
        <f>Table_TRM_Fixtures[[#This Row],[Fixture code  (TRM Data)]]</f>
        <v>F52SS</v>
      </c>
      <c r="U1320" t="s">
        <v>2883</v>
      </c>
      <c r="V1320" t="s">
        <v>5562</v>
      </c>
      <c r="W1320" t="s">
        <v>3120</v>
      </c>
      <c r="X1320" t="s">
        <v>186</v>
      </c>
      <c r="AA1320">
        <f>IF(Table_TRM_Fixtures[[#This Row],[Pre-EISA Baseline]]="Nominal", Table_TRM_Fixtures[[#This Row],[Fixture Watts  (TRM Data)]], Table_TRM_Fixtures[[#This Row],[Modified Baseline Fixture Watts]])</f>
        <v>128</v>
      </c>
    </row>
    <row r="1321" spans="1:27" x14ac:dyDescent="0.2">
      <c r="A1321" t="s">
        <v>2368</v>
      </c>
      <c r="B1321" t="s">
        <v>5816</v>
      </c>
      <c r="C1321" t="s">
        <v>2367</v>
      </c>
      <c r="D1321" t="s">
        <v>5817</v>
      </c>
      <c r="E1321" t="s">
        <v>1722</v>
      </c>
      <c r="F1321">
        <v>1</v>
      </c>
      <c r="G1321">
        <v>75</v>
      </c>
      <c r="H1321">
        <v>88</v>
      </c>
      <c r="I1321">
        <v>8.5</v>
      </c>
      <c r="J1321" s="110">
        <v>1319</v>
      </c>
      <c r="K1321" t="s">
        <v>2196</v>
      </c>
      <c r="L1321">
        <f>IF(Table_TRM_Fixtures[[#This Row],[Technology]]="LED", Table_TRM_Fixtures[[#This Row],[Fixture Watts  (TRM Data)]], Table_TRM_Fixtures[[#This Row],[Lamp Watts  (TRM Data)]])</f>
        <v>75</v>
      </c>
      <c r="M1321">
        <f>Table_TRM_Fixtures[[#This Row],[No. of Lamps  (TRM Data)]]</f>
        <v>1</v>
      </c>
      <c r="N1321">
        <v>60</v>
      </c>
      <c r="O1321" t="s">
        <v>2211</v>
      </c>
      <c r="P1321" t="s">
        <v>2640</v>
      </c>
      <c r="Q1321" t="s">
        <v>5608</v>
      </c>
      <c r="R1321" t="str">
        <f>_xlfn.CONCAT(Table_TRM_Fixtures[[#This Row],[Technology]], " ", Table_TRM_Fixtures[[#This Row],[Ballast Code]], " Ballast")</f>
        <v>T12 Magnetic STD Ballast</v>
      </c>
      <c r="S1321" t="str">
        <f>Table_TRM_Fixtures[[#This Row],[Description  (TRM Data)]]</f>
        <v>Fluorescent, (1) 60", STD HO lamp</v>
      </c>
      <c r="T1321" t="str">
        <f>Table_TRM_Fixtures[[#This Row],[Fixture code  (TRM Data)]]</f>
        <v>F51SHE</v>
      </c>
      <c r="U1321" t="s">
        <v>2883</v>
      </c>
      <c r="V1321" t="s">
        <v>5562</v>
      </c>
      <c r="W1321" t="s">
        <v>3120</v>
      </c>
      <c r="X1321" t="s">
        <v>186</v>
      </c>
      <c r="AA1321">
        <f>IF(Table_TRM_Fixtures[[#This Row],[Pre-EISA Baseline]]="Nominal", Table_TRM_Fixtures[[#This Row],[Fixture Watts  (TRM Data)]], Table_TRM_Fixtures[[#This Row],[Modified Baseline Fixture Watts]])</f>
        <v>88</v>
      </c>
    </row>
    <row r="1322" spans="1:27" x14ac:dyDescent="0.2">
      <c r="A1322" t="s">
        <v>2369</v>
      </c>
      <c r="B1322" t="s">
        <v>5816</v>
      </c>
      <c r="C1322" t="s">
        <v>2367</v>
      </c>
      <c r="D1322" t="s">
        <v>5817</v>
      </c>
      <c r="E1322" t="s">
        <v>187</v>
      </c>
      <c r="F1322">
        <v>1</v>
      </c>
      <c r="G1322">
        <v>75</v>
      </c>
      <c r="H1322">
        <v>69</v>
      </c>
      <c r="I1322">
        <v>15.5</v>
      </c>
      <c r="J1322" s="110">
        <v>1320</v>
      </c>
      <c r="K1322" t="s">
        <v>2196</v>
      </c>
      <c r="L1322">
        <f>IF(Table_TRM_Fixtures[[#This Row],[Technology]]="LED", Table_TRM_Fixtures[[#This Row],[Fixture Watts  (TRM Data)]], Table_TRM_Fixtures[[#This Row],[Lamp Watts  (TRM Data)]])</f>
        <v>75</v>
      </c>
      <c r="M1322">
        <f>Table_TRM_Fixtures[[#This Row],[No. of Lamps  (TRM Data)]]</f>
        <v>1</v>
      </c>
      <c r="N1322">
        <v>60</v>
      </c>
      <c r="O1322" t="s">
        <v>2211</v>
      </c>
      <c r="P1322" t="s">
        <v>187</v>
      </c>
      <c r="Q1322" t="s">
        <v>5612</v>
      </c>
      <c r="R1322" t="str">
        <f>_xlfn.CONCAT(Table_TRM_Fixtures[[#This Row],[Technology]], " ", Table_TRM_Fixtures[[#This Row],[Ballast Code]], " Ballast")</f>
        <v>T12 Electronic STD Ballast</v>
      </c>
      <c r="S1322" t="str">
        <f>Table_TRM_Fixtures[[#This Row],[Description  (TRM Data)]]</f>
        <v>Fluorescent, (1) 60", STD HO lamp</v>
      </c>
      <c r="T1322" t="str">
        <f>Table_TRM_Fixtures[[#This Row],[Fixture code  (TRM Data)]]</f>
        <v>F51SHL</v>
      </c>
      <c r="U1322" t="s">
        <v>2883</v>
      </c>
      <c r="V1322" t="s">
        <v>5562</v>
      </c>
      <c r="W1322" t="s">
        <v>3120</v>
      </c>
      <c r="X1322" t="s">
        <v>186</v>
      </c>
      <c r="AA1322">
        <f>IF(Table_TRM_Fixtures[[#This Row],[Pre-EISA Baseline]]="Nominal", Table_TRM_Fixtures[[#This Row],[Fixture Watts  (TRM Data)]], Table_TRM_Fixtures[[#This Row],[Modified Baseline Fixture Watts]])</f>
        <v>69</v>
      </c>
    </row>
    <row r="1323" spans="1:27" x14ac:dyDescent="0.2">
      <c r="A1323" t="s">
        <v>2370</v>
      </c>
      <c r="B1323" t="s">
        <v>5816</v>
      </c>
      <c r="C1323" t="s">
        <v>2367</v>
      </c>
      <c r="D1323" t="s">
        <v>5817</v>
      </c>
      <c r="E1323" t="s">
        <v>1309</v>
      </c>
      <c r="F1323">
        <v>1</v>
      </c>
      <c r="G1323">
        <v>75</v>
      </c>
      <c r="H1323">
        <v>92</v>
      </c>
      <c r="I1323">
        <v>8.5</v>
      </c>
      <c r="J1323" s="110">
        <v>1321</v>
      </c>
      <c r="K1323" t="s">
        <v>2196</v>
      </c>
      <c r="L1323">
        <f>IF(Table_TRM_Fixtures[[#This Row],[Technology]]="LED", Table_TRM_Fixtures[[#This Row],[Fixture Watts  (TRM Data)]], Table_TRM_Fixtures[[#This Row],[Lamp Watts  (TRM Data)]])</f>
        <v>75</v>
      </c>
      <c r="M1323">
        <f>Table_TRM_Fixtures[[#This Row],[No. of Lamps  (TRM Data)]]</f>
        <v>1</v>
      </c>
      <c r="N1323">
        <v>60</v>
      </c>
      <c r="O1323" t="s">
        <v>2211</v>
      </c>
      <c r="P1323" t="s">
        <v>2640</v>
      </c>
      <c r="Q1323" t="s">
        <v>5608</v>
      </c>
      <c r="R1323" t="str">
        <f>_xlfn.CONCAT(Table_TRM_Fixtures[[#This Row],[Technology]], " ", Table_TRM_Fixtures[[#This Row],[Ballast Code]], " Ballast")</f>
        <v>T12 Magnetic STD Ballast</v>
      </c>
      <c r="S1323" t="str">
        <f>Table_TRM_Fixtures[[#This Row],[Description  (TRM Data)]]</f>
        <v>Fluorescent, (1) 60", STD HO lamp</v>
      </c>
      <c r="T1323" t="str">
        <f>Table_TRM_Fixtures[[#This Row],[Fixture code  (TRM Data)]]</f>
        <v>F51SHS</v>
      </c>
      <c r="U1323" t="s">
        <v>2883</v>
      </c>
      <c r="V1323" t="s">
        <v>5562</v>
      </c>
      <c r="W1323" t="s">
        <v>3120</v>
      </c>
      <c r="X1323" t="s">
        <v>186</v>
      </c>
      <c r="AA1323">
        <f>IF(Table_TRM_Fixtures[[#This Row],[Pre-EISA Baseline]]="Nominal", Table_TRM_Fixtures[[#This Row],[Fixture Watts  (TRM Data)]], Table_TRM_Fixtures[[#This Row],[Modified Baseline Fixture Watts]])</f>
        <v>92</v>
      </c>
    </row>
    <row r="1324" spans="1:27" x14ac:dyDescent="0.2">
      <c r="A1324" t="s">
        <v>2372</v>
      </c>
      <c r="B1324" t="s">
        <v>5816</v>
      </c>
      <c r="C1324" t="s">
        <v>2371</v>
      </c>
      <c r="D1324" t="s">
        <v>5818</v>
      </c>
      <c r="E1324" t="s">
        <v>1722</v>
      </c>
      <c r="F1324">
        <v>2</v>
      </c>
      <c r="G1324">
        <v>75</v>
      </c>
      <c r="H1324">
        <v>176</v>
      </c>
      <c r="I1324">
        <v>8.5</v>
      </c>
      <c r="J1324" s="110">
        <v>1322</v>
      </c>
      <c r="K1324" t="s">
        <v>2196</v>
      </c>
      <c r="L1324">
        <f>IF(Table_TRM_Fixtures[[#This Row],[Technology]]="LED", Table_TRM_Fixtures[[#This Row],[Fixture Watts  (TRM Data)]], Table_TRM_Fixtures[[#This Row],[Lamp Watts  (TRM Data)]])</f>
        <v>75</v>
      </c>
      <c r="M1324">
        <f>Table_TRM_Fixtures[[#This Row],[No. of Lamps  (TRM Data)]]</f>
        <v>2</v>
      </c>
      <c r="N1324">
        <v>60</v>
      </c>
      <c r="O1324" t="s">
        <v>2211</v>
      </c>
      <c r="P1324" t="s">
        <v>2640</v>
      </c>
      <c r="Q1324" t="s">
        <v>5608</v>
      </c>
      <c r="R1324" t="str">
        <f>_xlfn.CONCAT(Table_TRM_Fixtures[[#This Row],[Technology]], " ", Table_TRM_Fixtures[[#This Row],[Ballast Code]], " Ballast")</f>
        <v>T12 Magnetic STD Ballast</v>
      </c>
      <c r="S1324" t="str">
        <f>Table_TRM_Fixtures[[#This Row],[Description  (TRM Data)]]</f>
        <v>Fluorescent, (2) 60", STD HO lamps</v>
      </c>
      <c r="T1324" t="str">
        <f>Table_TRM_Fixtures[[#This Row],[Fixture code  (TRM Data)]]</f>
        <v>F52SHE</v>
      </c>
      <c r="U1324" t="s">
        <v>2883</v>
      </c>
      <c r="V1324" t="s">
        <v>5562</v>
      </c>
      <c r="W1324" t="s">
        <v>3120</v>
      </c>
      <c r="X1324" t="s">
        <v>186</v>
      </c>
      <c r="AA1324">
        <f>IF(Table_TRM_Fixtures[[#This Row],[Pre-EISA Baseline]]="Nominal", Table_TRM_Fixtures[[#This Row],[Fixture Watts  (TRM Data)]], Table_TRM_Fixtures[[#This Row],[Modified Baseline Fixture Watts]])</f>
        <v>176</v>
      </c>
    </row>
    <row r="1325" spans="1:27" x14ac:dyDescent="0.2">
      <c r="A1325" t="s">
        <v>2373</v>
      </c>
      <c r="B1325" t="s">
        <v>5816</v>
      </c>
      <c r="C1325" t="s">
        <v>2371</v>
      </c>
      <c r="D1325" t="s">
        <v>5818</v>
      </c>
      <c r="E1325" t="s">
        <v>187</v>
      </c>
      <c r="F1325">
        <v>2</v>
      </c>
      <c r="G1325">
        <v>75</v>
      </c>
      <c r="H1325">
        <v>138</v>
      </c>
      <c r="I1325">
        <v>15.5</v>
      </c>
      <c r="J1325" s="110">
        <v>1323</v>
      </c>
      <c r="K1325" t="s">
        <v>2196</v>
      </c>
      <c r="L1325">
        <f>IF(Table_TRM_Fixtures[[#This Row],[Technology]]="LED", Table_TRM_Fixtures[[#This Row],[Fixture Watts  (TRM Data)]], Table_TRM_Fixtures[[#This Row],[Lamp Watts  (TRM Data)]])</f>
        <v>75</v>
      </c>
      <c r="M1325">
        <f>Table_TRM_Fixtures[[#This Row],[No. of Lamps  (TRM Data)]]</f>
        <v>2</v>
      </c>
      <c r="N1325">
        <v>60</v>
      </c>
      <c r="O1325" t="s">
        <v>2211</v>
      </c>
      <c r="P1325" t="s">
        <v>187</v>
      </c>
      <c r="Q1325" t="s">
        <v>5612</v>
      </c>
      <c r="R1325" t="str">
        <f>_xlfn.CONCAT(Table_TRM_Fixtures[[#This Row],[Technology]], " ", Table_TRM_Fixtures[[#This Row],[Ballast Code]], " Ballast")</f>
        <v>T12 Electronic STD Ballast</v>
      </c>
      <c r="S1325" t="str">
        <f>Table_TRM_Fixtures[[#This Row],[Description  (TRM Data)]]</f>
        <v>Fluorescent, (2) 60", STD HO lamps</v>
      </c>
      <c r="T1325" t="str">
        <f>Table_TRM_Fixtures[[#This Row],[Fixture code  (TRM Data)]]</f>
        <v>F52SHL</v>
      </c>
      <c r="U1325" t="s">
        <v>2883</v>
      </c>
      <c r="V1325" t="s">
        <v>5562</v>
      </c>
      <c r="W1325" t="s">
        <v>3120</v>
      </c>
      <c r="X1325" t="s">
        <v>186</v>
      </c>
      <c r="AA1325">
        <f>IF(Table_TRM_Fixtures[[#This Row],[Pre-EISA Baseline]]="Nominal", Table_TRM_Fixtures[[#This Row],[Fixture Watts  (TRM Data)]], Table_TRM_Fixtures[[#This Row],[Modified Baseline Fixture Watts]])</f>
        <v>138</v>
      </c>
    </row>
    <row r="1326" spans="1:27" x14ac:dyDescent="0.2">
      <c r="A1326" t="s">
        <v>2374</v>
      </c>
      <c r="B1326" t="s">
        <v>5816</v>
      </c>
      <c r="C1326" t="s">
        <v>2371</v>
      </c>
      <c r="D1326" t="s">
        <v>5818</v>
      </c>
      <c r="E1326" t="s">
        <v>1309</v>
      </c>
      <c r="F1326">
        <v>2</v>
      </c>
      <c r="G1326">
        <v>75</v>
      </c>
      <c r="H1326">
        <v>168</v>
      </c>
      <c r="I1326">
        <v>8.5</v>
      </c>
      <c r="J1326" s="110">
        <v>1324</v>
      </c>
      <c r="K1326" t="s">
        <v>2196</v>
      </c>
      <c r="L1326">
        <f>IF(Table_TRM_Fixtures[[#This Row],[Technology]]="LED", Table_TRM_Fixtures[[#This Row],[Fixture Watts  (TRM Data)]], Table_TRM_Fixtures[[#This Row],[Lamp Watts  (TRM Data)]])</f>
        <v>75</v>
      </c>
      <c r="M1326">
        <f>Table_TRM_Fixtures[[#This Row],[No. of Lamps  (TRM Data)]]</f>
        <v>2</v>
      </c>
      <c r="N1326">
        <v>60</v>
      </c>
      <c r="O1326" t="s">
        <v>2211</v>
      </c>
      <c r="P1326" t="s">
        <v>2640</v>
      </c>
      <c r="Q1326" t="s">
        <v>5608</v>
      </c>
      <c r="R1326" t="str">
        <f>_xlfn.CONCAT(Table_TRM_Fixtures[[#This Row],[Technology]], " ", Table_TRM_Fixtures[[#This Row],[Ballast Code]], " Ballast")</f>
        <v>T12 Magnetic STD Ballast</v>
      </c>
      <c r="S1326" t="str">
        <f>Table_TRM_Fixtures[[#This Row],[Description  (TRM Data)]]</f>
        <v>Fluorescent, (2) 60", STD HO lamps</v>
      </c>
      <c r="T1326" t="str">
        <f>Table_TRM_Fixtures[[#This Row],[Fixture code  (TRM Data)]]</f>
        <v>F52SHS</v>
      </c>
      <c r="U1326" t="s">
        <v>2883</v>
      </c>
      <c r="V1326" t="s">
        <v>5562</v>
      </c>
      <c r="W1326" t="s">
        <v>3120</v>
      </c>
      <c r="X1326" t="s">
        <v>186</v>
      </c>
      <c r="AA1326">
        <f>IF(Table_TRM_Fixtures[[#This Row],[Pre-EISA Baseline]]="Nominal", Table_TRM_Fixtures[[#This Row],[Fixture Watts  (TRM Data)]], Table_TRM_Fixtures[[#This Row],[Modified Baseline Fixture Watts]])</f>
        <v>168</v>
      </c>
    </row>
    <row r="1327" spans="1:27" x14ac:dyDescent="0.2">
      <c r="A1327" t="s">
        <v>2376</v>
      </c>
      <c r="B1327" t="s">
        <v>5819</v>
      </c>
      <c r="C1327" t="s">
        <v>2375</v>
      </c>
      <c r="D1327" t="s">
        <v>5820</v>
      </c>
      <c r="E1327" t="s">
        <v>1309</v>
      </c>
      <c r="F1327">
        <v>1</v>
      </c>
      <c r="G1327">
        <v>135</v>
      </c>
      <c r="H1327">
        <v>165</v>
      </c>
      <c r="I1327">
        <v>8.5</v>
      </c>
      <c r="J1327" s="110">
        <v>1325</v>
      </c>
      <c r="K1327" t="s">
        <v>2196</v>
      </c>
      <c r="L1327">
        <f>IF(Table_TRM_Fixtures[[#This Row],[Technology]]="LED", Table_TRM_Fixtures[[#This Row],[Fixture Watts  (TRM Data)]], Table_TRM_Fixtures[[#This Row],[Lamp Watts  (TRM Data)]])</f>
        <v>135</v>
      </c>
      <c r="M1327">
        <f>Table_TRM_Fixtures[[#This Row],[No. of Lamps  (TRM Data)]]</f>
        <v>1</v>
      </c>
      <c r="N1327">
        <v>60</v>
      </c>
      <c r="O1327" t="s">
        <v>2350</v>
      </c>
      <c r="P1327" t="s">
        <v>2640</v>
      </c>
      <c r="Q1327" t="s">
        <v>5608</v>
      </c>
      <c r="R1327" t="str">
        <f>_xlfn.CONCAT(Table_TRM_Fixtures[[#This Row],[Technology]], " ", Table_TRM_Fixtures[[#This Row],[Ballast Code]], " Ballast")</f>
        <v>T12 Magnetic STD Ballast</v>
      </c>
      <c r="S1327" t="str">
        <f>Table_TRM_Fixtures[[#This Row],[Description  (TRM Data)]]</f>
        <v>Fluorescent, (1) 60", VHO ES lamp</v>
      </c>
      <c r="T1327" t="str">
        <f>Table_TRM_Fixtures[[#This Row],[Fixture code  (TRM Data)]]</f>
        <v>F51SVS</v>
      </c>
      <c r="U1327" t="s">
        <v>2883</v>
      </c>
      <c r="V1327" t="s">
        <v>5562</v>
      </c>
      <c r="W1327" t="s">
        <v>3120</v>
      </c>
      <c r="X1327" t="s">
        <v>186</v>
      </c>
      <c r="AA1327">
        <f>IF(Table_TRM_Fixtures[[#This Row],[Pre-EISA Baseline]]="Nominal", Table_TRM_Fixtures[[#This Row],[Fixture Watts  (TRM Data)]], Table_TRM_Fixtures[[#This Row],[Modified Baseline Fixture Watts]])</f>
        <v>165</v>
      </c>
    </row>
    <row r="1328" spans="1:27" x14ac:dyDescent="0.2">
      <c r="A1328" t="s">
        <v>2378</v>
      </c>
      <c r="B1328" t="s">
        <v>5819</v>
      </c>
      <c r="C1328" t="s">
        <v>2377</v>
      </c>
      <c r="D1328" t="s">
        <v>5821</v>
      </c>
      <c r="E1328" t="s">
        <v>1309</v>
      </c>
      <c r="F1328">
        <v>2</v>
      </c>
      <c r="G1328">
        <v>135</v>
      </c>
      <c r="H1328">
        <v>310</v>
      </c>
      <c r="I1328">
        <v>8.5</v>
      </c>
      <c r="J1328" s="110">
        <v>1326</v>
      </c>
      <c r="K1328" t="s">
        <v>2196</v>
      </c>
      <c r="L1328">
        <f>IF(Table_TRM_Fixtures[[#This Row],[Technology]]="LED", Table_TRM_Fixtures[[#This Row],[Fixture Watts  (TRM Data)]], Table_TRM_Fixtures[[#This Row],[Lamp Watts  (TRM Data)]])</f>
        <v>135</v>
      </c>
      <c r="M1328">
        <f>Table_TRM_Fixtures[[#This Row],[No. of Lamps  (TRM Data)]]</f>
        <v>2</v>
      </c>
      <c r="N1328">
        <v>60</v>
      </c>
      <c r="O1328" t="s">
        <v>2350</v>
      </c>
      <c r="P1328" t="s">
        <v>2640</v>
      </c>
      <c r="Q1328" t="s">
        <v>5608</v>
      </c>
      <c r="R1328" t="str">
        <f>_xlfn.CONCAT(Table_TRM_Fixtures[[#This Row],[Technology]], " ", Table_TRM_Fixtures[[#This Row],[Ballast Code]], " Ballast")</f>
        <v>T12 Magnetic STD Ballast</v>
      </c>
      <c r="S1328" t="str">
        <f>Table_TRM_Fixtures[[#This Row],[Description  (TRM Data)]]</f>
        <v>Fluorescent, (2) 60", VHO ES lamps</v>
      </c>
      <c r="T1328" t="str">
        <f>Table_TRM_Fixtures[[#This Row],[Fixture code  (TRM Data)]]</f>
        <v>F52SVS</v>
      </c>
      <c r="U1328" t="s">
        <v>2883</v>
      </c>
      <c r="V1328" t="s">
        <v>5562</v>
      </c>
      <c r="W1328" t="s">
        <v>3120</v>
      </c>
      <c r="X1328" t="s">
        <v>186</v>
      </c>
      <c r="AA1328">
        <f>IF(Table_TRM_Fixtures[[#This Row],[Pre-EISA Baseline]]="Nominal", Table_TRM_Fixtures[[#This Row],[Fixture Watts  (TRM Data)]], Table_TRM_Fixtures[[#This Row],[Modified Baseline Fixture Watts]])</f>
        <v>310</v>
      </c>
    </row>
    <row r="1329" spans="1:27" x14ac:dyDescent="0.2">
      <c r="A1329" t="s">
        <v>2380</v>
      </c>
      <c r="B1329" t="s">
        <v>5822</v>
      </c>
      <c r="C1329" t="s">
        <v>2379</v>
      </c>
      <c r="D1329" t="s">
        <v>5823</v>
      </c>
      <c r="E1329" t="s">
        <v>187</v>
      </c>
      <c r="F1329">
        <v>1</v>
      </c>
      <c r="G1329">
        <v>55</v>
      </c>
      <c r="H1329">
        <v>68</v>
      </c>
      <c r="I1329">
        <v>15.5</v>
      </c>
      <c r="J1329" s="110">
        <v>1327</v>
      </c>
      <c r="K1329" t="s">
        <v>2196</v>
      </c>
      <c r="L1329">
        <f>IF(Table_TRM_Fixtures[[#This Row],[Technology]]="LED", Table_TRM_Fixtures[[#This Row],[Fixture Watts  (TRM Data)]], Table_TRM_Fixtures[[#This Row],[Lamp Watts  (TRM Data)]])</f>
        <v>55</v>
      </c>
      <c r="M1329">
        <f>Table_TRM_Fixtures[[#This Row],[No. of Lamps  (TRM Data)]]</f>
        <v>1</v>
      </c>
      <c r="N1329">
        <v>72</v>
      </c>
      <c r="O1329" t="s">
        <v>1381</v>
      </c>
      <c r="P1329" t="s">
        <v>187</v>
      </c>
      <c r="Q1329" t="s">
        <v>5612</v>
      </c>
      <c r="R1329" t="str">
        <f>_xlfn.CONCAT(Table_TRM_Fixtures[[#This Row],[Technology]], " ", Table_TRM_Fixtures[[#This Row],[Ballast Code]], " Ballast")</f>
        <v>T12 Electronic STD Ballast</v>
      </c>
      <c r="S1329" t="str">
        <f>Table_TRM_Fixtures[[#This Row],[Description  (TRM Data)]]</f>
        <v>Fluorescent, (1) 72", STD lamp, IS electronic ballast</v>
      </c>
      <c r="T1329" t="str">
        <f>Table_TRM_Fixtures[[#This Row],[Fixture code  (TRM Data)]]</f>
        <v>F61ISL</v>
      </c>
      <c r="U1329" t="s">
        <v>2883</v>
      </c>
      <c r="V1329" t="s">
        <v>5562</v>
      </c>
      <c r="W1329" t="s">
        <v>3120</v>
      </c>
      <c r="X1329" t="s">
        <v>186</v>
      </c>
      <c r="AA1329">
        <f>IF(Table_TRM_Fixtures[[#This Row],[Pre-EISA Baseline]]="Nominal", Table_TRM_Fixtures[[#This Row],[Fixture Watts  (TRM Data)]], Table_TRM_Fixtures[[#This Row],[Modified Baseline Fixture Watts]])</f>
        <v>68</v>
      </c>
    </row>
    <row r="1330" spans="1:27" x14ac:dyDescent="0.2">
      <c r="A1330" t="s">
        <v>2382</v>
      </c>
      <c r="B1330" t="s">
        <v>5822</v>
      </c>
      <c r="C1330" t="s">
        <v>2381</v>
      </c>
      <c r="D1330" t="s">
        <v>5823</v>
      </c>
      <c r="E1330" t="s">
        <v>1309</v>
      </c>
      <c r="F1330">
        <v>1</v>
      </c>
      <c r="G1330">
        <v>55</v>
      </c>
      <c r="H1330">
        <v>76</v>
      </c>
      <c r="I1330">
        <v>8.5</v>
      </c>
      <c r="J1330" s="110">
        <v>1328</v>
      </c>
      <c r="K1330" t="s">
        <v>2196</v>
      </c>
      <c r="L1330">
        <f>IF(Table_TRM_Fixtures[[#This Row],[Technology]]="LED", Table_TRM_Fixtures[[#This Row],[Fixture Watts  (TRM Data)]], Table_TRM_Fixtures[[#This Row],[Lamp Watts  (TRM Data)]])</f>
        <v>55</v>
      </c>
      <c r="M1330">
        <f>Table_TRM_Fixtures[[#This Row],[No. of Lamps  (TRM Data)]]</f>
        <v>1</v>
      </c>
      <c r="N1330">
        <v>72</v>
      </c>
      <c r="O1330" t="s">
        <v>1381</v>
      </c>
      <c r="P1330" t="s">
        <v>2640</v>
      </c>
      <c r="Q1330" t="s">
        <v>5608</v>
      </c>
      <c r="R1330" t="str">
        <f>_xlfn.CONCAT(Table_TRM_Fixtures[[#This Row],[Technology]], " ", Table_TRM_Fixtures[[#This Row],[Ballast Code]], " Ballast")</f>
        <v>T12 Magnetic STD Ballast</v>
      </c>
      <c r="S1330" t="str">
        <f>Table_TRM_Fixtures[[#This Row],[Description  (TRM Data)]]</f>
        <v>Fluorescent, (1) 72", STD lamp</v>
      </c>
      <c r="T1330" t="str">
        <f>Table_TRM_Fixtures[[#This Row],[Fixture code  (TRM Data)]]</f>
        <v>F61SS</v>
      </c>
      <c r="U1330" t="s">
        <v>2883</v>
      </c>
      <c r="V1330" t="s">
        <v>5562</v>
      </c>
      <c r="W1330" t="s">
        <v>3120</v>
      </c>
      <c r="X1330" t="s">
        <v>186</v>
      </c>
      <c r="AA1330">
        <f>IF(Table_TRM_Fixtures[[#This Row],[Pre-EISA Baseline]]="Nominal", Table_TRM_Fixtures[[#This Row],[Fixture Watts  (TRM Data)]], Table_TRM_Fixtures[[#This Row],[Modified Baseline Fixture Watts]])</f>
        <v>76</v>
      </c>
    </row>
    <row r="1331" spans="1:27" x14ac:dyDescent="0.2">
      <c r="A1331" t="s">
        <v>2384</v>
      </c>
      <c r="B1331" t="s">
        <v>5822</v>
      </c>
      <c r="C1331" t="s">
        <v>2383</v>
      </c>
      <c r="D1331" t="s">
        <v>5824</v>
      </c>
      <c r="E1331" t="s">
        <v>187</v>
      </c>
      <c r="F1331">
        <v>2</v>
      </c>
      <c r="G1331">
        <v>55</v>
      </c>
      <c r="H1331">
        <v>108</v>
      </c>
      <c r="I1331">
        <v>15.5</v>
      </c>
      <c r="J1331" s="110">
        <v>1329</v>
      </c>
      <c r="K1331" t="s">
        <v>2196</v>
      </c>
      <c r="L1331">
        <f>IF(Table_TRM_Fixtures[[#This Row],[Technology]]="LED", Table_TRM_Fixtures[[#This Row],[Fixture Watts  (TRM Data)]], Table_TRM_Fixtures[[#This Row],[Lamp Watts  (TRM Data)]])</f>
        <v>55</v>
      </c>
      <c r="M1331">
        <f>Table_TRM_Fixtures[[#This Row],[No. of Lamps  (TRM Data)]]</f>
        <v>2</v>
      </c>
      <c r="N1331">
        <v>72</v>
      </c>
      <c r="O1331" t="s">
        <v>1381</v>
      </c>
      <c r="P1331" t="s">
        <v>187</v>
      </c>
      <c r="Q1331" t="s">
        <v>5612</v>
      </c>
      <c r="R1331" t="str">
        <f>_xlfn.CONCAT(Table_TRM_Fixtures[[#This Row],[Technology]], " ", Table_TRM_Fixtures[[#This Row],[Ballast Code]], " Ballast")</f>
        <v>T12 Electronic STD Ballast</v>
      </c>
      <c r="S1331" t="str">
        <f>Table_TRM_Fixtures[[#This Row],[Description  (TRM Data)]]</f>
        <v>Fluorescent, (2) 72", STD lamps, IS electronic ballast</v>
      </c>
      <c r="T1331" t="str">
        <f>Table_TRM_Fixtures[[#This Row],[Fixture code  (TRM Data)]]</f>
        <v>F62ISL</v>
      </c>
      <c r="U1331" t="s">
        <v>2883</v>
      </c>
      <c r="V1331" t="s">
        <v>5562</v>
      </c>
      <c r="W1331" t="s">
        <v>3120</v>
      </c>
      <c r="X1331" t="s">
        <v>186</v>
      </c>
      <c r="AA1331">
        <f>IF(Table_TRM_Fixtures[[#This Row],[Pre-EISA Baseline]]="Nominal", Table_TRM_Fixtures[[#This Row],[Fixture Watts  (TRM Data)]], Table_TRM_Fixtures[[#This Row],[Modified Baseline Fixture Watts]])</f>
        <v>108</v>
      </c>
    </row>
    <row r="1332" spans="1:27" x14ac:dyDescent="0.2">
      <c r="A1332" t="s">
        <v>2386</v>
      </c>
      <c r="B1332" t="s">
        <v>5822</v>
      </c>
      <c r="C1332" t="s">
        <v>2385</v>
      </c>
      <c r="D1332" t="s">
        <v>5825</v>
      </c>
      <c r="E1332" t="s">
        <v>1722</v>
      </c>
      <c r="F1332">
        <v>2</v>
      </c>
      <c r="G1332">
        <v>55</v>
      </c>
      <c r="H1332">
        <v>122</v>
      </c>
      <c r="I1332">
        <v>8.5</v>
      </c>
      <c r="J1332" s="110">
        <v>1330</v>
      </c>
      <c r="K1332" t="s">
        <v>2196</v>
      </c>
      <c r="L1332">
        <f>IF(Table_TRM_Fixtures[[#This Row],[Technology]]="LED", Table_TRM_Fixtures[[#This Row],[Fixture Watts  (TRM Data)]], Table_TRM_Fixtures[[#This Row],[Lamp Watts  (TRM Data)]])</f>
        <v>55</v>
      </c>
      <c r="M1332">
        <f>Table_TRM_Fixtures[[#This Row],[No. of Lamps  (TRM Data)]]</f>
        <v>2</v>
      </c>
      <c r="N1332">
        <v>72</v>
      </c>
      <c r="O1332" t="s">
        <v>1381</v>
      </c>
      <c r="P1332" t="s">
        <v>2640</v>
      </c>
      <c r="Q1332" t="s">
        <v>5608</v>
      </c>
      <c r="R1332" t="str">
        <f>_xlfn.CONCAT(Table_TRM_Fixtures[[#This Row],[Technology]], " ", Table_TRM_Fixtures[[#This Row],[Ballast Code]], " Ballast")</f>
        <v>T12 Magnetic STD Ballast</v>
      </c>
      <c r="S1332" t="str">
        <f>Table_TRM_Fixtures[[#This Row],[Description  (TRM Data)]]</f>
        <v>Fluorescent, (2) 72", STD lamps</v>
      </c>
      <c r="T1332" t="str">
        <f>Table_TRM_Fixtures[[#This Row],[Fixture code  (TRM Data)]]</f>
        <v>F62SE</v>
      </c>
      <c r="U1332" t="s">
        <v>2883</v>
      </c>
      <c r="V1332" t="s">
        <v>5562</v>
      </c>
      <c r="W1332" t="s">
        <v>3120</v>
      </c>
      <c r="X1332" t="s">
        <v>186</v>
      </c>
      <c r="AA1332">
        <f>IF(Table_TRM_Fixtures[[#This Row],[Pre-EISA Baseline]]="Nominal", Table_TRM_Fixtures[[#This Row],[Fixture Watts  (TRM Data)]], Table_TRM_Fixtures[[#This Row],[Modified Baseline Fixture Watts]])</f>
        <v>122</v>
      </c>
    </row>
    <row r="1333" spans="1:27" x14ac:dyDescent="0.2">
      <c r="A1333" t="s">
        <v>2387</v>
      </c>
      <c r="B1333" t="s">
        <v>5822</v>
      </c>
      <c r="C1333" t="s">
        <v>2385</v>
      </c>
      <c r="D1333" t="s">
        <v>5825</v>
      </c>
      <c r="E1333" t="s">
        <v>187</v>
      </c>
      <c r="F1333">
        <v>2</v>
      </c>
      <c r="G1333">
        <v>55</v>
      </c>
      <c r="H1333">
        <v>108</v>
      </c>
      <c r="I1333">
        <v>15.5</v>
      </c>
      <c r="J1333" s="110">
        <v>1331</v>
      </c>
      <c r="K1333" t="s">
        <v>2196</v>
      </c>
      <c r="L1333">
        <f>IF(Table_TRM_Fixtures[[#This Row],[Technology]]="LED", Table_TRM_Fixtures[[#This Row],[Fixture Watts  (TRM Data)]], Table_TRM_Fixtures[[#This Row],[Lamp Watts  (TRM Data)]])</f>
        <v>55</v>
      </c>
      <c r="M1333">
        <f>Table_TRM_Fixtures[[#This Row],[No. of Lamps  (TRM Data)]]</f>
        <v>2</v>
      </c>
      <c r="N1333">
        <v>72</v>
      </c>
      <c r="O1333" t="s">
        <v>1381</v>
      </c>
      <c r="P1333" t="s">
        <v>187</v>
      </c>
      <c r="Q1333" t="s">
        <v>5612</v>
      </c>
      <c r="R1333" t="str">
        <f>_xlfn.CONCAT(Table_TRM_Fixtures[[#This Row],[Technology]], " ", Table_TRM_Fixtures[[#This Row],[Ballast Code]], " Ballast")</f>
        <v>T12 Electronic STD Ballast</v>
      </c>
      <c r="S1333" t="str">
        <f>Table_TRM_Fixtures[[#This Row],[Description  (TRM Data)]]</f>
        <v>Fluorescent, (2) 72", STD lamps</v>
      </c>
      <c r="T1333" t="str">
        <f>Table_TRM_Fixtures[[#This Row],[Fixture code  (TRM Data)]]</f>
        <v>F62SL</v>
      </c>
      <c r="U1333" t="s">
        <v>2883</v>
      </c>
      <c r="V1333" t="s">
        <v>5562</v>
      </c>
      <c r="W1333" t="s">
        <v>3120</v>
      </c>
      <c r="X1333" t="s">
        <v>186</v>
      </c>
      <c r="AA1333">
        <f>IF(Table_TRM_Fixtures[[#This Row],[Pre-EISA Baseline]]="Nominal", Table_TRM_Fixtures[[#This Row],[Fixture Watts  (TRM Data)]], Table_TRM_Fixtures[[#This Row],[Modified Baseline Fixture Watts]])</f>
        <v>108</v>
      </c>
    </row>
    <row r="1334" spans="1:27" x14ac:dyDescent="0.2">
      <c r="A1334" t="s">
        <v>2388</v>
      </c>
      <c r="B1334" t="s">
        <v>5822</v>
      </c>
      <c r="C1334" t="s">
        <v>2385</v>
      </c>
      <c r="D1334" t="s">
        <v>5825</v>
      </c>
      <c r="E1334" t="s">
        <v>1309</v>
      </c>
      <c r="F1334">
        <v>2</v>
      </c>
      <c r="G1334">
        <v>55</v>
      </c>
      <c r="H1334">
        <v>142</v>
      </c>
      <c r="I1334">
        <v>8.5</v>
      </c>
      <c r="J1334" s="110">
        <v>1332</v>
      </c>
      <c r="K1334" t="s">
        <v>2196</v>
      </c>
      <c r="L1334">
        <f>IF(Table_TRM_Fixtures[[#This Row],[Technology]]="LED", Table_TRM_Fixtures[[#This Row],[Fixture Watts  (TRM Data)]], Table_TRM_Fixtures[[#This Row],[Lamp Watts  (TRM Data)]])</f>
        <v>55</v>
      </c>
      <c r="M1334">
        <f>Table_TRM_Fixtures[[#This Row],[No. of Lamps  (TRM Data)]]</f>
        <v>2</v>
      </c>
      <c r="N1334">
        <v>72</v>
      </c>
      <c r="O1334" t="s">
        <v>1381</v>
      </c>
      <c r="P1334" t="s">
        <v>2640</v>
      </c>
      <c r="Q1334" t="s">
        <v>5608</v>
      </c>
      <c r="R1334" t="str">
        <f>_xlfn.CONCAT(Table_TRM_Fixtures[[#This Row],[Technology]], " ", Table_TRM_Fixtures[[#This Row],[Ballast Code]], " Ballast")</f>
        <v>T12 Magnetic STD Ballast</v>
      </c>
      <c r="S1334" t="str">
        <f>Table_TRM_Fixtures[[#This Row],[Description  (TRM Data)]]</f>
        <v>Fluorescent, (2) 72", STD lamps</v>
      </c>
      <c r="T1334" t="str">
        <f>Table_TRM_Fixtures[[#This Row],[Fixture code  (TRM Data)]]</f>
        <v>F62SS</v>
      </c>
      <c r="U1334" t="s">
        <v>2883</v>
      </c>
      <c r="V1334" t="s">
        <v>5562</v>
      </c>
      <c r="W1334" t="s">
        <v>3120</v>
      </c>
      <c r="X1334" t="s">
        <v>186</v>
      </c>
      <c r="AA1334">
        <f>IF(Table_TRM_Fixtures[[#This Row],[Pre-EISA Baseline]]="Nominal", Table_TRM_Fixtures[[#This Row],[Fixture Watts  (TRM Data)]], Table_TRM_Fixtures[[#This Row],[Modified Baseline Fixture Watts]])</f>
        <v>142</v>
      </c>
    </row>
    <row r="1335" spans="1:27" x14ac:dyDescent="0.2">
      <c r="A1335" t="s">
        <v>2390</v>
      </c>
      <c r="B1335" t="s">
        <v>5822</v>
      </c>
      <c r="C1335" t="s">
        <v>2389</v>
      </c>
      <c r="D1335" t="s">
        <v>5826</v>
      </c>
      <c r="E1335" t="s">
        <v>187</v>
      </c>
      <c r="F1335">
        <v>3</v>
      </c>
      <c r="G1335">
        <v>55</v>
      </c>
      <c r="H1335">
        <v>176</v>
      </c>
      <c r="I1335">
        <v>15.5</v>
      </c>
      <c r="J1335" s="110">
        <v>1333</v>
      </c>
      <c r="K1335" t="s">
        <v>2196</v>
      </c>
      <c r="L1335">
        <f>IF(Table_TRM_Fixtures[[#This Row],[Technology]]="LED", Table_TRM_Fixtures[[#This Row],[Fixture Watts  (TRM Data)]], Table_TRM_Fixtures[[#This Row],[Lamp Watts  (TRM Data)]])</f>
        <v>55</v>
      </c>
      <c r="M1335">
        <f>Table_TRM_Fixtures[[#This Row],[No. of Lamps  (TRM Data)]]</f>
        <v>3</v>
      </c>
      <c r="N1335">
        <v>72</v>
      </c>
      <c r="O1335" t="s">
        <v>1381</v>
      </c>
      <c r="P1335" t="s">
        <v>187</v>
      </c>
      <c r="Q1335" t="s">
        <v>5612</v>
      </c>
      <c r="R1335" t="str">
        <f>_xlfn.CONCAT(Table_TRM_Fixtures[[#This Row],[Technology]], " ", Table_TRM_Fixtures[[#This Row],[Ballast Code]], " Ballast")</f>
        <v>T12 Electronic STD Ballast</v>
      </c>
      <c r="S1335" t="str">
        <f>Table_TRM_Fixtures[[#This Row],[Description  (TRM Data)]]</f>
        <v>Fluorescent, (3) 72", STD lamps, IS electronic ballast</v>
      </c>
      <c r="T1335" t="str">
        <f>Table_TRM_Fixtures[[#This Row],[Fixture code  (TRM Data)]]</f>
        <v>F63ISL</v>
      </c>
      <c r="U1335" t="s">
        <v>2883</v>
      </c>
      <c r="V1335" t="s">
        <v>5562</v>
      </c>
      <c r="W1335" t="s">
        <v>3120</v>
      </c>
      <c r="X1335" t="s">
        <v>186</v>
      </c>
      <c r="AA1335">
        <f>IF(Table_TRM_Fixtures[[#This Row],[Pre-EISA Baseline]]="Nominal", Table_TRM_Fixtures[[#This Row],[Fixture Watts  (TRM Data)]], Table_TRM_Fixtures[[#This Row],[Modified Baseline Fixture Watts]])</f>
        <v>176</v>
      </c>
    </row>
    <row r="1336" spans="1:27" x14ac:dyDescent="0.2">
      <c r="A1336" t="s">
        <v>2392</v>
      </c>
      <c r="B1336" t="s">
        <v>5822</v>
      </c>
      <c r="C1336" t="s">
        <v>2391</v>
      </c>
      <c r="D1336" t="s">
        <v>5827</v>
      </c>
      <c r="E1336" t="s">
        <v>1309</v>
      </c>
      <c r="F1336">
        <v>3</v>
      </c>
      <c r="G1336">
        <v>55</v>
      </c>
      <c r="H1336">
        <v>202</v>
      </c>
      <c r="I1336">
        <v>8.5</v>
      </c>
      <c r="J1336" s="110">
        <v>1334</v>
      </c>
      <c r="K1336" t="s">
        <v>2196</v>
      </c>
      <c r="L1336">
        <f>IF(Table_TRM_Fixtures[[#This Row],[Technology]]="LED", Table_TRM_Fixtures[[#This Row],[Fixture Watts  (TRM Data)]], Table_TRM_Fixtures[[#This Row],[Lamp Watts  (TRM Data)]])</f>
        <v>55</v>
      </c>
      <c r="M1336">
        <f>Table_TRM_Fixtures[[#This Row],[No. of Lamps  (TRM Data)]]</f>
        <v>3</v>
      </c>
      <c r="N1336">
        <v>72</v>
      </c>
      <c r="O1336" t="s">
        <v>1381</v>
      </c>
      <c r="P1336" t="s">
        <v>2640</v>
      </c>
      <c r="Q1336" t="s">
        <v>5608</v>
      </c>
      <c r="R1336" t="str">
        <f>_xlfn.CONCAT(Table_TRM_Fixtures[[#This Row],[Technology]], " ", Table_TRM_Fixtures[[#This Row],[Ballast Code]], " Ballast")</f>
        <v>T12 Magnetic STD Ballast</v>
      </c>
      <c r="S1336" t="str">
        <f>Table_TRM_Fixtures[[#This Row],[Description  (TRM Data)]]</f>
        <v>Fluorescent, (3) 72", STD lamps</v>
      </c>
      <c r="T1336" t="str">
        <f>Table_TRM_Fixtures[[#This Row],[Fixture code  (TRM Data)]]</f>
        <v>F63SS</v>
      </c>
      <c r="U1336" t="s">
        <v>2883</v>
      </c>
      <c r="V1336" t="s">
        <v>5562</v>
      </c>
      <c r="W1336" t="s">
        <v>3120</v>
      </c>
      <c r="X1336" t="s">
        <v>186</v>
      </c>
      <c r="AA1336">
        <f>IF(Table_TRM_Fixtures[[#This Row],[Pre-EISA Baseline]]="Nominal", Table_TRM_Fixtures[[#This Row],[Fixture Watts  (TRM Data)]], Table_TRM_Fixtures[[#This Row],[Modified Baseline Fixture Watts]])</f>
        <v>202</v>
      </c>
    </row>
    <row r="1337" spans="1:27" x14ac:dyDescent="0.2">
      <c r="A1337" t="s">
        <v>2394</v>
      </c>
      <c r="B1337" t="s">
        <v>5822</v>
      </c>
      <c r="C1337" t="s">
        <v>2393</v>
      </c>
      <c r="D1337" t="s">
        <v>5828</v>
      </c>
      <c r="E1337" t="s">
        <v>187</v>
      </c>
      <c r="F1337">
        <v>4</v>
      </c>
      <c r="G1337">
        <v>55</v>
      </c>
      <c r="H1337">
        <v>216</v>
      </c>
      <c r="I1337">
        <v>15.5</v>
      </c>
      <c r="J1337" s="110">
        <v>1335</v>
      </c>
      <c r="K1337" t="s">
        <v>2196</v>
      </c>
      <c r="L1337">
        <f>IF(Table_TRM_Fixtures[[#This Row],[Technology]]="LED", Table_TRM_Fixtures[[#This Row],[Fixture Watts  (TRM Data)]], Table_TRM_Fixtures[[#This Row],[Lamp Watts  (TRM Data)]])</f>
        <v>55</v>
      </c>
      <c r="M1337">
        <f>Table_TRM_Fixtures[[#This Row],[No. of Lamps  (TRM Data)]]</f>
        <v>4</v>
      </c>
      <c r="N1337">
        <v>72</v>
      </c>
      <c r="O1337" t="s">
        <v>1381</v>
      </c>
      <c r="P1337" t="s">
        <v>187</v>
      </c>
      <c r="Q1337" t="s">
        <v>5612</v>
      </c>
      <c r="R1337" t="str">
        <f>_xlfn.CONCAT(Table_TRM_Fixtures[[#This Row],[Technology]], " ", Table_TRM_Fixtures[[#This Row],[Ballast Code]], " Ballast")</f>
        <v>T12 Electronic STD Ballast</v>
      </c>
      <c r="S1337" t="str">
        <f>Table_TRM_Fixtures[[#This Row],[Description  (TRM Data)]]</f>
        <v>Fluorescent, (4) 72", STD lamps, IS electronic ballast</v>
      </c>
      <c r="T1337" t="str">
        <f>Table_TRM_Fixtures[[#This Row],[Fixture code  (TRM Data)]]</f>
        <v>F64ISL</v>
      </c>
      <c r="U1337" t="s">
        <v>2883</v>
      </c>
      <c r="V1337" t="s">
        <v>5562</v>
      </c>
      <c r="W1337" t="s">
        <v>3120</v>
      </c>
      <c r="X1337" t="s">
        <v>186</v>
      </c>
      <c r="AA1337">
        <f>IF(Table_TRM_Fixtures[[#This Row],[Pre-EISA Baseline]]="Nominal", Table_TRM_Fixtures[[#This Row],[Fixture Watts  (TRM Data)]], Table_TRM_Fixtures[[#This Row],[Modified Baseline Fixture Watts]])</f>
        <v>216</v>
      </c>
    </row>
    <row r="1338" spans="1:27" x14ac:dyDescent="0.2">
      <c r="A1338" t="s">
        <v>2396</v>
      </c>
      <c r="B1338" t="s">
        <v>5822</v>
      </c>
      <c r="C1338" t="s">
        <v>2395</v>
      </c>
      <c r="D1338" t="s">
        <v>5829</v>
      </c>
      <c r="E1338" t="s">
        <v>1722</v>
      </c>
      <c r="F1338">
        <v>4</v>
      </c>
      <c r="G1338">
        <v>55</v>
      </c>
      <c r="H1338">
        <v>244</v>
      </c>
      <c r="I1338">
        <v>8.5</v>
      </c>
      <c r="J1338" s="110">
        <v>1336</v>
      </c>
      <c r="K1338" t="s">
        <v>2196</v>
      </c>
      <c r="L1338">
        <f>IF(Table_TRM_Fixtures[[#This Row],[Technology]]="LED", Table_TRM_Fixtures[[#This Row],[Fixture Watts  (TRM Data)]], Table_TRM_Fixtures[[#This Row],[Lamp Watts  (TRM Data)]])</f>
        <v>55</v>
      </c>
      <c r="M1338">
        <f>Table_TRM_Fixtures[[#This Row],[No. of Lamps  (TRM Data)]]</f>
        <v>4</v>
      </c>
      <c r="N1338">
        <v>72</v>
      </c>
      <c r="O1338" t="s">
        <v>1381</v>
      </c>
      <c r="P1338" t="s">
        <v>2640</v>
      </c>
      <c r="Q1338" t="s">
        <v>5608</v>
      </c>
      <c r="R1338" t="str">
        <f>_xlfn.CONCAT(Table_TRM_Fixtures[[#This Row],[Technology]], " ", Table_TRM_Fixtures[[#This Row],[Ballast Code]], " Ballast")</f>
        <v>T12 Magnetic STD Ballast</v>
      </c>
      <c r="S1338" t="str">
        <f>Table_TRM_Fixtures[[#This Row],[Description  (TRM Data)]]</f>
        <v>Fluorescent, (4) 72", STD lamps</v>
      </c>
      <c r="T1338" t="str">
        <f>Table_TRM_Fixtures[[#This Row],[Fixture code  (TRM Data)]]</f>
        <v>F64SE</v>
      </c>
      <c r="U1338" t="s">
        <v>2883</v>
      </c>
      <c r="V1338" t="s">
        <v>5562</v>
      </c>
      <c r="W1338" t="s">
        <v>3120</v>
      </c>
      <c r="X1338" t="s">
        <v>186</v>
      </c>
      <c r="AA1338">
        <f>IF(Table_TRM_Fixtures[[#This Row],[Pre-EISA Baseline]]="Nominal", Table_TRM_Fixtures[[#This Row],[Fixture Watts  (TRM Data)]], Table_TRM_Fixtures[[#This Row],[Modified Baseline Fixture Watts]])</f>
        <v>244</v>
      </c>
    </row>
    <row r="1339" spans="1:27" x14ac:dyDescent="0.2">
      <c r="A1339" t="s">
        <v>2397</v>
      </c>
      <c r="B1339" t="s">
        <v>5822</v>
      </c>
      <c r="C1339" t="s">
        <v>2395</v>
      </c>
      <c r="D1339" t="s">
        <v>5829</v>
      </c>
      <c r="E1339" t="s">
        <v>1309</v>
      </c>
      <c r="F1339">
        <v>4</v>
      </c>
      <c r="G1339">
        <v>56</v>
      </c>
      <c r="H1339">
        <v>244</v>
      </c>
      <c r="I1339">
        <v>8.5</v>
      </c>
      <c r="J1339" s="110">
        <v>1337</v>
      </c>
      <c r="K1339" t="s">
        <v>2196</v>
      </c>
      <c r="L1339">
        <f>IF(Table_TRM_Fixtures[[#This Row],[Technology]]="LED", Table_TRM_Fixtures[[#This Row],[Fixture Watts  (TRM Data)]], Table_TRM_Fixtures[[#This Row],[Lamp Watts  (TRM Data)]])</f>
        <v>56</v>
      </c>
      <c r="M1339">
        <f>Table_TRM_Fixtures[[#This Row],[No. of Lamps  (TRM Data)]]</f>
        <v>4</v>
      </c>
      <c r="N1339">
        <v>72</v>
      </c>
      <c r="O1339" t="s">
        <v>1381</v>
      </c>
      <c r="P1339" t="s">
        <v>2640</v>
      </c>
      <c r="Q1339" t="s">
        <v>5608</v>
      </c>
      <c r="R1339" t="str">
        <f>_xlfn.CONCAT(Table_TRM_Fixtures[[#This Row],[Technology]], " ", Table_TRM_Fixtures[[#This Row],[Ballast Code]], " Ballast")</f>
        <v>T12 Magnetic STD Ballast</v>
      </c>
      <c r="S1339" t="str">
        <f>Table_TRM_Fixtures[[#This Row],[Description  (TRM Data)]]</f>
        <v>Fluorescent, (4) 72", STD lamps</v>
      </c>
      <c r="T1339" t="str">
        <f>Table_TRM_Fixtures[[#This Row],[Fixture code  (TRM Data)]]</f>
        <v>F64SS</v>
      </c>
      <c r="U1339" t="s">
        <v>2883</v>
      </c>
      <c r="V1339" t="s">
        <v>5562</v>
      </c>
      <c r="W1339" t="s">
        <v>3120</v>
      </c>
      <c r="X1339" t="s">
        <v>186</v>
      </c>
      <c r="AA1339">
        <f>IF(Table_TRM_Fixtures[[#This Row],[Pre-EISA Baseline]]="Nominal", Table_TRM_Fixtures[[#This Row],[Fixture Watts  (TRM Data)]], Table_TRM_Fixtures[[#This Row],[Modified Baseline Fixture Watts]])</f>
        <v>244</v>
      </c>
    </row>
    <row r="1340" spans="1:27" x14ac:dyDescent="0.2">
      <c r="A1340" t="s">
        <v>2399</v>
      </c>
      <c r="B1340" t="s">
        <v>5830</v>
      </c>
      <c r="C1340" t="s">
        <v>2398</v>
      </c>
      <c r="D1340" t="s">
        <v>5831</v>
      </c>
      <c r="E1340" t="s">
        <v>1309</v>
      </c>
      <c r="F1340">
        <v>1</v>
      </c>
      <c r="G1340">
        <v>85</v>
      </c>
      <c r="H1340">
        <v>106</v>
      </c>
      <c r="I1340">
        <v>8.5</v>
      </c>
      <c r="J1340" s="110">
        <v>1338</v>
      </c>
      <c r="K1340" t="s">
        <v>2196</v>
      </c>
      <c r="L1340">
        <f>IF(Table_TRM_Fixtures[[#This Row],[Technology]]="LED", Table_TRM_Fixtures[[#This Row],[Fixture Watts  (TRM Data)]], Table_TRM_Fixtures[[#This Row],[Lamp Watts  (TRM Data)]])</f>
        <v>85</v>
      </c>
      <c r="M1340">
        <f>Table_TRM_Fixtures[[#This Row],[No. of Lamps  (TRM Data)]]</f>
        <v>1</v>
      </c>
      <c r="N1340">
        <v>72</v>
      </c>
      <c r="O1340" t="s">
        <v>2211</v>
      </c>
      <c r="P1340" t="s">
        <v>2640</v>
      </c>
      <c r="Q1340" t="s">
        <v>5608</v>
      </c>
      <c r="R1340" t="str">
        <f>_xlfn.CONCAT(Table_TRM_Fixtures[[#This Row],[Technology]], " ", Table_TRM_Fixtures[[#This Row],[Ballast Code]], " Ballast")</f>
        <v>T12 Magnetic STD Ballast</v>
      </c>
      <c r="S1340" t="str">
        <f>Table_TRM_Fixtures[[#This Row],[Description  (TRM Data)]]</f>
        <v>Fluorescent, (1) 72", STD HO lamp</v>
      </c>
      <c r="T1340" t="str">
        <f>Table_TRM_Fixtures[[#This Row],[Fixture code  (TRM Data)]]</f>
        <v>F61SHS</v>
      </c>
      <c r="U1340" t="s">
        <v>2883</v>
      </c>
      <c r="V1340" t="s">
        <v>5562</v>
      </c>
      <c r="W1340" t="s">
        <v>3120</v>
      </c>
      <c r="X1340" t="s">
        <v>186</v>
      </c>
      <c r="AA1340">
        <f>IF(Table_TRM_Fixtures[[#This Row],[Pre-EISA Baseline]]="Nominal", Table_TRM_Fixtures[[#This Row],[Fixture Watts  (TRM Data)]], Table_TRM_Fixtures[[#This Row],[Modified Baseline Fixture Watts]])</f>
        <v>106</v>
      </c>
    </row>
    <row r="1341" spans="1:27" x14ac:dyDescent="0.2">
      <c r="A1341" t="s">
        <v>2401</v>
      </c>
      <c r="B1341" t="s">
        <v>5830</v>
      </c>
      <c r="C1341" t="s">
        <v>2400</v>
      </c>
      <c r="D1341" t="s">
        <v>5832</v>
      </c>
      <c r="E1341" t="s">
        <v>1722</v>
      </c>
      <c r="F1341">
        <v>2</v>
      </c>
      <c r="G1341">
        <v>85</v>
      </c>
      <c r="H1341">
        <v>194</v>
      </c>
      <c r="I1341">
        <v>8.5</v>
      </c>
      <c r="J1341" s="110">
        <v>1339</v>
      </c>
      <c r="K1341" t="s">
        <v>2196</v>
      </c>
      <c r="L1341">
        <f>IF(Table_TRM_Fixtures[[#This Row],[Technology]]="LED", Table_TRM_Fixtures[[#This Row],[Fixture Watts  (TRM Data)]], Table_TRM_Fixtures[[#This Row],[Lamp Watts  (TRM Data)]])</f>
        <v>85</v>
      </c>
      <c r="M1341">
        <f>Table_TRM_Fixtures[[#This Row],[No. of Lamps  (TRM Data)]]</f>
        <v>2</v>
      </c>
      <c r="N1341">
        <v>72</v>
      </c>
      <c r="O1341" t="s">
        <v>2211</v>
      </c>
      <c r="P1341" t="s">
        <v>2640</v>
      </c>
      <c r="Q1341" t="s">
        <v>5608</v>
      </c>
      <c r="R1341" t="str">
        <f>_xlfn.CONCAT(Table_TRM_Fixtures[[#This Row],[Technology]], " ", Table_TRM_Fixtures[[#This Row],[Ballast Code]], " Ballast")</f>
        <v>T12 Magnetic STD Ballast</v>
      </c>
      <c r="S1341" t="str">
        <f>Table_TRM_Fixtures[[#This Row],[Description  (TRM Data)]]</f>
        <v>Fluorescent, (2) 72", STD HO lamps</v>
      </c>
      <c r="T1341" t="str">
        <f>Table_TRM_Fixtures[[#This Row],[Fixture code  (TRM Data)]]</f>
        <v>F62SHE</v>
      </c>
      <c r="U1341" t="s">
        <v>2883</v>
      </c>
      <c r="V1341" t="s">
        <v>5562</v>
      </c>
      <c r="W1341" t="s">
        <v>3120</v>
      </c>
      <c r="X1341" t="s">
        <v>186</v>
      </c>
      <c r="AA1341">
        <f>IF(Table_TRM_Fixtures[[#This Row],[Pre-EISA Baseline]]="Nominal", Table_TRM_Fixtures[[#This Row],[Fixture Watts  (TRM Data)]], Table_TRM_Fixtures[[#This Row],[Modified Baseline Fixture Watts]])</f>
        <v>194</v>
      </c>
    </row>
    <row r="1342" spans="1:27" x14ac:dyDescent="0.2">
      <c r="A1342" t="s">
        <v>2402</v>
      </c>
      <c r="B1342" t="s">
        <v>5830</v>
      </c>
      <c r="C1342" t="s">
        <v>2400</v>
      </c>
      <c r="D1342" t="s">
        <v>5832</v>
      </c>
      <c r="E1342" t="s">
        <v>187</v>
      </c>
      <c r="F1342">
        <v>2</v>
      </c>
      <c r="G1342">
        <v>85</v>
      </c>
      <c r="H1342">
        <v>167</v>
      </c>
      <c r="I1342">
        <v>15.5</v>
      </c>
      <c r="J1342" s="110">
        <v>1340</v>
      </c>
      <c r="K1342" t="s">
        <v>2196</v>
      </c>
      <c r="L1342">
        <f>IF(Table_TRM_Fixtures[[#This Row],[Technology]]="LED", Table_TRM_Fixtures[[#This Row],[Fixture Watts  (TRM Data)]], Table_TRM_Fixtures[[#This Row],[Lamp Watts  (TRM Data)]])</f>
        <v>85</v>
      </c>
      <c r="M1342">
        <f>Table_TRM_Fixtures[[#This Row],[No. of Lamps  (TRM Data)]]</f>
        <v>2</v>
      </c>
      <c r="N1342">
        <v>72</v>
      </c>
      <c r="O1342" t="s">
        <v>2211</v>
      </c>
      <c r="P1342" t="s">
        <v>187</v>
      </c>
      <c r="Q1342" t="s">
        <v>5612</v>
      </c>
      <c r="R1342" t="str">
        <f>_xlfn.CONCAT(Table_TRM_Fixtures[[#This Row],[Technology]], " ", Table_TRM_Fixtures[[#This Row],[Ballast Code]], " Ballast")</f>
        <v>T12 Electronic STD Ballast</v>
      </c>
      <c r="S1342" t="str">
        <f>Table_TRM_Fixtures[[#This Row],[Description  (TRM Data)]]</f>
        <v>Fluorescent, (2) 72", STD HO lamps</v>
      </c>
      <c r="T1342" t="str">
        <f>Table_TRM_Fixtures[[#This Row],[Fixture code  (TRM Data)]]</f>
        <v>F62SHL</v>
      </c>
      <c r="U1342" t="s">
        <v>2883</v>
      </c>
      <c r="V1342" t="s">
        <v>5562</v>
      </c>
      <c r="W1342" t="s">
        <v>3120</v>
      </c>
      <c r="X1342" t="s">
        <v>186</v>
      </c>
      <c r="AA1342">
        <f>IF(Table_TRM_Fixtures[[#This Row],[Pre-EISA Baseline]]="Nominal", Table_TRM_Fixtures[[#This Row],[Fixture Watts  (TRM Data)]], Table_TRM_Fixtures[[#This Row],[Modified Baseline Fixture Watts]])</f>
        <v>167</v>
      </c>
    </row>
    <row r="1343" spans="1:27" x14ac:dyDescent="0.2">
      <c r="A1343" t="s">
        <v>2403</v>
      </c>
      <c r="B1343" t="s">
        <v>5830</v>
      </c>
      <c r="C1343" t="s">
        <v>2400</v>
      </c>
      <c r="D1343" t="s">
        <v>5832</v>
      </c>
      <c r="E1343" t="s">
        <v>1309</v>
      </c>
      <c r="F1343">
        <v>2</v>
      </c>
      <c r="G1343">
        <v>85</v>
      </c>
      <c r="H1343">
        <v>200</v>
      </c>
      <c r="I1343">
        <v>8.5</v>
      </c>
      <c r="J1343" s="110">
        <v>1341</v>
      </c>
      <c r="K1343" t="s">
        <v>2196</v>
      </c>
      <c r="L1343">
        <f>IF(Table_TRM_Fixtures[[#This Row],[Technology]]="LED", Table_TRM_Fixtures[[#This Row],[Fixture Watts  (TRM Data)]], Table_TRM_Fixtures[[#This Row],[Lamp Watts  (TRM Data)]])</f>
        <v>85</v>
      </c>
      <c r="M1343">
        <f>Table_TRM_Fixtures[[#This Row],[No. of Lamps  (TRM Data)]]</f>
        <v>2</v>
      </c>
      <c r="N1343">
        <v>72</v>
      </c>
      <c r="O1343" t="s">
        <v>2211</v>
      </c>
      <c r="P1343" t="s">
        <v>2640</v>
      </c>
      <c r="Q1343" t="s">
        <v>5608</v>
      </c>
      <c r="R1343" t="str">
        <f>_xlfn.CONCAT(Table_TRM_Fixtures[[#This Row],[Technology]], " ", Table_TRM_Fixtures[[#This Row],[Ballast Code]], " Ballast")</f>
        <v>T12 Magnetic STD Ballast</v>
      </c>
      <c r="S1343" t="str">
        <f>Table_TRM_Fixtures[[#This Row],[Description  (TRM Data)]]</f>
        <v>Fluorescent, (2) 72", STD HO lamps</v>
      </c>
      <c r="T1343" t="str">
        <f>Table_TRM_Fixtures[[#This Row],[Fixture code  (TRM Data)]]</f>
        <v>F62SHS</v>
      </c>
      <c r="U1343" t="s">
        <v>2883</v>
      </c>
      <c r="V1343" t="s">
        <v>5562</v>
      </c>
      <c r="W1343" t="s">
        <v>3120</v>
      </c>
      <c r="X1343" t="s">
        <v>186</v>
      </c>
      <c r="AA1343">
        <f>IF(Table_TRM_Fixtures[[#This Row],[Pre-EISA Baseline]]="Nominal", Table_TRM_Fixtures[[#This Row],[Fixture Watts  (TRM Data)]], Table_TRM_Fixtures[[#This Row],[Modified Baseline Fixture Watts]])</f>
        <v>200</v>
      </c>
    </row>
    <row r="1344" spans="1:27" x14ac:dyDescent="0.2">
      <c r="A1344" t="s">
        <v>2405</v>
      </c>
      <c r="B1344" t="s">
        <v>5830</v>
      </c>
      <c r="C1344" t="s">
        <v>2404</v>
      </c>
      <c r="D1344" t="s">
        <v>5833</v>
      </c>
      <c r="E1344" t="s">
        <v>1722</v>
      </c>
      <c r="F1344">
        <v>4</v>
      </c>
      <c r="G1344">
        <v>85</v>
      </c>
      <c r="H1344">
        <v>388</v>
      </c>
      <c r="I1344">
        <v>8.5</v>
      </c>
      <c r="J1344" s="110">
        <v>1342</v>
      </c>
      <c r="K1344" t="s">
        <v>2196</v>
      </c>
      <c r="L1344">
        <f>IF(Table_TRM_Fixtures[[#This Row],[Technology]]="LED", Table_TRM_Fixtures[[#This Row],[Fixture Watts  (TRM Data)]], Table_TRM_Fixtures[[#This Row],[Lamp Watts  (TRM Data)]])</f>
        <v>85</v>
      </c>
      <c r="M1344">
        <f>Table_TRM_Fixtures[[#This Row],[No. of Lamps  (TRM Data)]]</f>
        <v>4</v>
      </c>
      <c r="N1344">
        <v>72</v>
      </c>
      <c r="O1344" t="s">
        <v>2211</v>
      </c>
      <c r="P1344" t="s">
        <v>2640</v>
      </c>
      <c r="Q1344" t="s">
        <v>5608</v>
      </c>
      <c r="R1344" t="str">
        <f>_xlfn.CONCAT(Table_TRM_Fixtures[[#This Row],[Technology]], " ", Table_TRM_Fixtures[[#This Row],[Ballast Code]], " Ballast")</f>
        <v>T12 Magnetic STD Ballast</v>
      </c>
      <c r="S1344" t="str">
        <f>Table_TRM_Fixtures[[#This Row],[Description  (TRM Data)]]</f>
        <v>Fluorescent, (4) 72", HO lamps</v>
      </c>
      <c r="T1344" t="str">
        <f>Table_TRM_Fixtures[[#This Row],[Fixture code  (TRM Data)]]</f>
        <v>F64SHE</v>
      </c>
      <c r="U1344" t="s">
        <v>2883</v>
      </c>
      <c r="V1344" t="s">
        <v>5562</v>
      </c>
      <c r="W1344" t="s">
        <v>3120</v>
      </c>
      <c r="X1344" t="s">
        <v>186</v>
      </c>
      <c r="AA1344">
        <f>IF(Table_TRM_Fixtures[[#This Row],[Pre-EISA Baseline]]="Nominal", Table_TRM_Fixtures[[#This Row],[Fixture Watts  (TRM Data)]], Table_TRM_Fixtures[[#This Row],[Modified Baseline Fixture Watts]])</f>
        <v>388</v>
      </c>
    </row>
    <row r="1345" spans="1:27" x14ac:dyDescent="0.2">
      <c r="A1345" t="s">
        <v>2407</v>
      </c>
      <c r="B1345" t="s">
        <v>5834</v>
      </c>
      <c r="C1345" t="s">
        <v>2406</v>
      </c>
      <c r="D1345" t="s">
        <v>5835</v>
      </c>
      <c r="E1345" t="s">
        <v>1309</v>
      </c>
      <c r="F1345">
        <v>1</v>
      </c>
      <c r="G1345">
        <v>160</v>
      </c>
      <c r="H1345">
        <v>180</v>
      </c>
      <c r="I1345">
        <v>8.5</v>
      </c>
      <c r="J1345" s="110">
        <v>1343</v>
      </c>
      <c r="K1345" t="s">
        <v>2196</v>
      </c>
      <c r="L1345">
        <f>IF(Table_TRM_Fixtures[[#This Row],[Technology]]="LED", Table_TRM_Fixtures[[#This Row],[Fixture Watts  (TRM Data)]], Table_TRM_Fixtures[[#This Row],[Lamp Watts  (TRM Data)]])</f>
        <v>160</v>
      </c>
      <c r="M1345">
        <f>Table_TRM_Fixtures[[#This Row],[No. of Lamps  (TRM Data)]]</f>
        <v>1</v>
      </c>
      <c r="N1345">
        <v>72</v>
      </c>
      <c r="O1345" t="s">
        <v>2350</v>
      </c>
      <c r="P1345" t="s">
        <v>2640</v>
      </c>
      <c r="Q1345" t="s">
        <v>5608</v>
      </c>
      <c r="R1345" t="str">
        <f>_xlfn.CONCAT(Table_TRM_Fixtures[[#This Row],[Technology]], " ", Table_TRM_Fixtures[[#This Row],[Ballast Code]], " Ballast")</f>
        <v>T12 Magnetic STD Ballast</v>
      </c>
      <c r="S1345" t="str">
        <f>Table_TRM_Fixtures[[#This Row],[Description  (TRM Data)]]</f>
        <v>Fluorescent, (1) 72", VHO lamp</v>
      </c>
      <c r="T1345" t="str">
        <f>Table_TRM_Fixtures[[#This Row],[Fixture code  (TRM Data)]]</f>
        <v>F61SVS</v>
      </c>
      <c r="U1345" t="s">
        <v>2883</v>
      </c>
      <c r="V1345" t="s">
        <v>5562</v>
      </c>
      <c r="W1345" t="s">
        <v>3120</v>
      </c>
      <c r="X1345" t="s">
        <v>186</v>
      </c>
      <c r="AA1345">
        <f>IF(Table_TRM_Fixtures[[#This Row],[Pre-EISA Baseline]]="Nominal", Table_TRM_Fixtures[[#This Row],[Fixture Watts  (TRM Data)]], Table_TRM_Fixtures[[#This Row],[Modified Baseline Fixture Watts]])</f>
        <v>180</v>
      </c>
    </row>
    <row r="1346" spans="1:27" x14ac:dyDescent="0.2">
      <c r="A1346" t="s">
        <v>2409</v>
      </c>
      <c r="B1346" t="s">
        <v>5834</v>
      </c>
      <c r="C1346" t="s">
        <v>2408</v>
      </c>
      <c r="D1346" t="s">
        <v>5836</v>
      </c>
      <c r="E1346" t="s">
        <v>1309</v>
      </c>
      <c r="F1346">
        <v>2</v>
      </c>
      <c r="G1346">
        <v>160</v>
      </c>
      <c r="H1346">
        <v>330</v>
      </c>
      <c r="I1346">
        <v>8.5</v>
      </c>
      <c r="J1346" s="110">
        <v>1344</v>
      </c>
      <c r="K1346" t="s">
        <v>2196</v>
      </c>
      <c r="L1346">
        <f>IF(Table_TRM_Fixtures[[#This Row],[Technology]]="LED", Table_TRM_Fixtures[[#This Row],[Fixture Watts  (TRM Data)]], Table_TRM_Fixtures[[#This Row],[Lamp Watts  (TRM Data)]])</f>
        <v>160</v>
      </c>
      <c r="M1346">
        <f>Table_TRM_Fixtures[[#This Row],[No. of Lamps  (TRM Data)]]</f>
        <v>2</v>
      </c>
      <c r="N1346">
        <v>72</v>
      </c>
      <c r="O1346" t="s">
        <v>2350</v>
      </c>
      <c r="P1346" t="s">
        <v>2640</v>
      </c>
      <c r="Q1346" t="s">
        <v>5608</v>
      </c>
      <c r="R1346" t="str">
        <f>_xlfn.CONCAT(Table_TRM_Fixtures[[#This Row],[Technology]], " ", Table_TRM_Fixtures[[#This Row],[Ballast Code]], " Ballast")</f>
        <v>T12 Magnetic STD Ballast</v>
      </c>
      <c r="S1346" t="str">
        <f>Table_TRM_Fixtures[[#This Row],[Description  (TRM Data)]]</f>
        <v>Fluorescent, (2) 72", VHO lamps</v>
      </c>
      <c r="T1346" t="str">
        <f>Table_TRM_Fixtures[[#This Row],[Fixture code  (TRM Data)]]</f>
        <v>F62SVS</v>
      </c>
      <c r="U1346" t="s">
        <v>2883</v>
      </c>
      <c r="V1346" t="s">
        <v>5562</v>
      </c>
      <c r="W1346" t="s">
        <v>3120</v>
      </c>
      <c r="X1346" t="s">
        <v>186</v>
      </c>
      <c r="AA1346">
        <f>IF(Table_TRM_Fixtures[[#This Row],[Pre-EISA Baseline]]="Nominal", Table_TRM_Fixtures[[#This Row],[Fixture Watts  (TRM Data)]], Table_TRM_Fixtures[[#This Row],[Modified Baseline Fixture Watts]])</f>
        <v>330</v>
      </c>
    </row>
    <row r="1347" spans="1:27" x14ac:dyDescent="0.2">
      <c r="A1347" t="s">
        <v>2411</v>
      </c>
      <c r="B1347" t="s">
        <v>5837</v>
      </c>
      <c r="C1347" t="s">
        <v>2410</v>
      </c>
      <c r="D1347" t="s">
        <v>5838</v>
      </c>
      <c r="E1347" t="s">
        <v>1722</v>
      </c>
      <c r="F1347">
        <v>1</v>
      </c>
      <c r="G1347">
        <v>100</v>
      </c>
      <c r="H1347">
        <v>104</v>
      </c>
      <c r="I1347">
        <v>8.5</v>
      </c>
      <c r="J1347" s="110">
        <v>1345</v>
      </c>
      <c r="K1347" t="s">
        <v>2196</v>
      </c>
      <c r="L1347">
        <f>IF(Table_TRM_Fixtures[[#This Row],[Technology]]="LED", Table_TRM_Fixtures[[#This Row],[Fixture Watts  (TRM Data)]], Table_TRM_Fixtures[[#This Row],[Lamp Watts  (TRM Data)]])</f>
        <v>100</v>
      </c>
      <c r="M1347">
        <f>Table_TRM_Fixtures[[#This Row],[No. of Lamps  (TRM Data)]]</f>
        <v>1</v>
      </c>
      <c r="N1347">
        <v>84</v>
      </c>
      <c r="O1347" t="s">
        <v>2211</v>
      </c>
      <c r="P1347" t="s">
        <v>2640</v>
      </c>
      <c r="Q1347" t="s">
        <v>5608</v>
      </c>
      <c r="R1347" t="str">
        <f>_xlfn.CONCAT(Table_TRM_Fixtures[[#This Row],[Technology]], " ", Table_TRM_Fixtures[[#This Row],[Ballast Code]], " Ballast")</f>
        <v>T12 Magnetic STD Ballast</v>
      </c>
      <c r="S1347" t="str">
        <f>Table_TRM_Fixtures[[#This Row],[Description  (TRM Data)]]</f>
        <v>Fluorescent, (1) 84", HO lamp</v>
      </c>
      <c r="T1347" t="str">
        <f>Table_TRM_Fixtures[[#This Row],[Fixture code  (TRM Data)]]</f>
        <v>F71HS</v>
      </c>
      <c r="U1347" t="s">
        <v>2883</v>
      </c>
      <c r="V1347" t="s">
        <v>5562</v>
      </c>
      <c r="W1347" t="s">
        <v>3120</v>
      </c>
      <c r="X1347" t="s">
        <v>186</v>
      </c>
      <c r="AA1347">
        <f>IF(Table_TRM_Fixtures[[#This Row],[Pre-EISA Baseline]]="Nominal", Table_TRM_Fixtures[[#This Row],[Fixture Watts  (TRM Data)]], Table_TRM_Fixtures[[#This Row],[Modified Baseline Fixture Watts]])</f>
        <v>104</v>
      </c>
    </row>
    <row r="1348" spans="1:27" x14ac:dyDescent="0.2">
      <c r="A1348" t="s">
        <v>2413</v>
      </c>
      <c r="B1348" t="s">
        <v>5837</v>
      </c>
      <c r="C1348" t="s">
        <v>2412</v>
      </c>
      <c r="D1348" t="s">
        <v>5839</v>
      </c>
      <c r="E1348" t="s">
        <v>1722</v>
      </c>
      <c r="F1348">
        <v>2</v>
      </c>
      <c r="G1348">
        <v>100</v>
      </c>
      <c r="H1348">
        <v>198</v>
      </c>
      <c r="I1348">
        <v>8.5</v>
      </c>
      <c r="J1348" s="110">
        <v>1346</v>
      </c>
      <c r="K1348" t="s">
        <v>2196</v>
      </c>
      <c r="L1348">
        <f>IF(Table_TRM_Fixtures[[#This Row],[Technology]]="LED", Table_TRM_Fixtures[[#This Row],[Fixture Watts  (TRM Data)]], Table_TRM_Fixtures[[#This Row],[Lamp Watts  (TRM Data)]])</f>
        <v>100</v>
      </c>
      <c r="M1348">
        <f>Table_TRM_Fixtures[[#This Row],[No. of Lamps  (TRM Data)]]</f>
        <v>2</v>
      </c>
      <c r="N1348">
        <v>84</v>
      </c>
      <c r="O1348" t="s">
        <v>2211</v>
      </c>
      <c r="P1348" t="s">
        <v>2640</v>
      </c>
      <c r="Q1348" t="s">
        <v>5608</v>
      </c>
      <c r="R1348" t="str">
        <f>_xlfn.CONCAT(Table_TRM_Fixtures[[#This Row],[Technology]], " ", Table_TRM_Fixtures[[#This Row],[Ballast Code]], " Ballast")</f>
        <v>T12 Magnetic STD Ballast</v>
      </c>
      <c r="S1348" t="str">
        <f>Table_TRM_Fixtures[[#This Row],[Description  (TRM Data)]]</f>
        <v>Fluorescent, (2) 84", HO lamp</v>
      </c>
      <c r="T1348" t="str">
        <f>Table_TRM_Fixtures[[#This Row],[Fixture code  (TRM Data)]]</f>
        <v>F72HS</v>
      </c>
      <c r="U1348" t="s">
        <v>2883</v>
      </c>
      <c r="V1348" t="s">
        <v>5562</v>
      </c>
      <c r="W1348" t="s">
        <v>3120</v>
      </c>
      <c r="X1348" t="s">
        <v>186</v>
      </c>
      <c r="AA1348">
        <f>IF(Table_TRM_Fixtures[[#This Row],[Pre-EISA Baseline]]="Nominal", Table_TRM_Fixtures[[#This Row],[Fixture Watts  (TRM Data)]], Table_TRM_Fixtures[[#This Row],[Modified Baseline Fixture Watts]])</f>
        <v>198</v>
      </c>
    </row>
    <row r="1349" spans="1:27" x14ac:dyDescent="0.2">
      <c r="A1349" t="s">
        <v>2415</v>
      </c>
      <c r="B1349" t="s">
        <v>5840</v>
      </c>
      <c r="C1349" t="s">
        <v>2414</v>
      </c>
      <c r="D1349" t="s">
        <v>5841</v>
      </c>
      <c r="E1349" t="s">
        <v>187</v>
      </c>
      <c r="F1349">
        <v>1</v>
      </c>
      <c r="G1349">
        <v>75</v>
      </c>
      <c r="H1349">
        <v>69</v>
      </c>
      <c r="I1349">
        <v>15.5</v>
      </c>
      <c r="J1349" s="110">
        <v>1347</v>
      </c>
      <c r="K1349" t="s">
        <v>2196</v>
      </c>
      <c r="L1349">
        <f>IF(Table_TRM_Fixtures[[#This Row],[Technology]]="LED", Table_TRM_Fixtures[[#This Row],[Fixture Watts  (TRM Data)]], Table_TRM_Fixtures[[#This Row],[Lamp Watts  (TRM Data)]])</f>
        <v>75</v>
      </c>
      <c r="M1349">
        <f>Table_TRM_Fixtures[[#This Row],[No. of Lamps  (TRM Data)]]</f>
        <v>1</v>
      </c>
      <c r="N1349">
        <v>96</v>
      </c>
      <c r="O1349" t="s">
        <v>1381</v>
      </c>
      <c r="P1349" t="s">
        <v>187</v>
      </c>
      <c r="Q1349" t="s">
        <v>5612</v>
      </c>
      <c r="R1349" t="str">
        <f>_xlfn.CONCAT(Table_TRM_Fixtures[[#This Row],[Technology]], ", ", Table_TRM_Fixtures[[#This Row],[Ballast Code]], " Ballast")</f>
        <v>T12, Electronic STD Ballast</v>
      </c>
      <c r="S1349" t="str">
        <f>Table_TRM_Fixtures[[#This Row],[Description  (TRM Data)]]</f>
        <v>Fluorescent, (1) 96", STD lamp</v>
      </c>
      <c r="T1349" t="str">
        <f>Table_TRM_Fixtures[[#This Row],[Fixture code  (TRM Data)]]</f>
        <v>F81SL</v>
      </c>
      <c r="U1349" t="s">
        <v>2882</v>
      </c>
      <c r="V1349" t="s">
        <v>186</v>
      </c>
      <c r="W1349" t="s">
        <v>5764</v>
      </c>
      <c r="X1349">
        <v>69</v>
      </c>
      <c r="Y1349" t="str">
        <f>_xlfn.CONCAT(Table_TRM_Fixtures[[#This Row],[Combined Lighting/Ballast Types]],":",Table_TRM_Fixtures[[#This Row],[No. of Lamps]], ":", Table_TRM_Fixtures[[#This Row],[Lamp Watts  (TRM Data)]])</f>
        <v>T12, Electronic STD Ballast:1:75</v>
      </c>
      <c r="Z1349"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T12:1:75</v>
      </c>
      <c r="AA1349">
        <f>IF(Table_TRM_Fixtures[[#This Row],[Pre-EISA Baseline]]="Nominal", Table_TRM_Fixtures[[#This Row],[Fixture Watts  (TRM Data)]], Table_TRM_Fixtures[[#This Row],[Modified Baseline Fixture Watts]])</f>
        <v>69</v>
      </c>
    </row>
    <row r="1350" spans="1:27" x14ac:dyDescent="0.2">
      <c r="A1350" t="s">
        <v>2417</v>
      </c>
      <c r="B1350" t="s">
        <v>5840</v>
      </c>
      <c r="C1350" t="s">
        <v>2416</v>
      </c>
      <c r="D1350" t="s">
        <v>5841</v>
      </c>
      <c r="E1350" t="s">
        <v>187</v>
      </c>
      <c r="F1350">
        <v>1</v>
      </c>
      <c r="G1350">
        <v>75</v>
      </c>
      <c r="H1350">
        <v>55</v>
      </c>
      <c r="I1350">
        <v>15.5</v>
      </c>
      <c r="J1350" s="110">
        <v>1348</v>
      </c>
      <c r="K1350" t="s">
        <v>2196</v>
      </c>
      <c r="L1350">
        <f>IF(Table_TRM_Fixtures[[#This Row],[Technology]]="LED", Table_TRM_Fixtures[[#This Row],[Fixture Watts  (TRM Data)]], Table_TRM_Fixtures[[#This Row],[Lamp Watts  (TRM Data)]])</f>
        <v>75</v>
      </c>
      <c r="M1350">
        <f>Table_TRM_Fixtures[[#This Row],[No. of Lamps  (TRM Data)]]</f>
        <v>1</v>
      </c>
      <c r="N1350">
        <v>96</v>
      </c>
      <c r="O1350" t="s">
        <v>1381</v>
      </c>
      <c r="P1350" t="s">
        <v>187</v>
      </c>
      <c r="Q1350" t="s">
        <v>5612</v>
      </c>
      <c r="R1350" t="str">
        <f>_xlfn.CONCAT(Table_TRM_Fixtures[[#This Row],[Technology]], ", ", Table_TRM_Fixtures[[#This Row],[Ballast Code]], " Ballast")</f>
        <v>T12, Electronic STD Ballast</v>
      </c>
      <c r="S1350" t="str">
        <f>Table_TRM_Fixtures[[#This Row],[Description  (TRM Data)]]</f>
        <v>Fluorescent, (1) 96", STD lamp, Tandem 2-lamp ballast</v>
      </c>
      <c r="T1350" t="str">
        <f>Table_TRM_Fixtures[[#This Row],[Fixture code  (TRM Data)]]</f>
        <v>F81SL/T2</v>
      </c>
      <c r="U1350" t="s">
        <v>2882</v>
      </c>
      <c r="V1350" t="s">
        <v>186</v>
      </c>
      <c r="W1350" t="s">
        <v>5764</v>
      </c>
      <c r="X1350">
        <v>69</v>
      </c>
      <c r="Y1350" t="s">
        <v>4815</v>
      </c>
      <c r="Z1350" t="s">
        <v>4815</v>
      </c>
      <c r="AA1350">
        <f>IF(Table_TRM_Fixtures[[#This Row],[Pre-EISA Baseline]]="Nominal", Table_TRM_Fixtures[[#This Row],[Fixture Watts  (TRM Data)]], Table_TRM_Fixtures[[#This Row],[Modified Baseline Fixture Watts]])</f>
        <v>69</v>
      </c>
    </row>
    <row r="1351" spans="1:27" x14ac:dyDescent="0.2">
      <c r="A1351" t="s">
        <v>2419</v>
      </c>
      <c r="B1351" t="s">
        <v>5840</v>
      </c>
      <c r="C1351" t="s">
        <v>2418</v>
      </c>
      <c r="D1351" t="s">
        <v>5842</v>
      </c>
      <c r="E1351" t="s">
        <v>187</v>
      </c>
      <c r="F1351">
        <v>2</v>
      </c>
      <c r="G1351">
        <v>75</v>
      </c>
      <c r="H1351">
        <v>110</v>
      </c>
      <c r="I1351">
        <v>15.5</v>
      </c>
      <c r="J1351" s="110">
        <v>1349</v>
      </c>
      <c r="K1351" t="s">
        <v>2196</v>
      </c>
      <c r="L1351">
        <f>IF(Table_TRM_Fixtures[[#This Row],[Technology]]="LED", Table_TRM_Fixtures[[#This Row],[Fixture Watts  (TRM Data)]], Table_TRM_Fixtures[[#This Row],[Lamp Watts  (TRM Data)]])</f>
        <v>75</v>
      </c>
      <c r="M1351">
        <f>Table_TRM_Fixtures[[#This Row],[No. of Lamps  (TRM Data)]]</f>
        <v>2</v>
      </c>
      <c r="N1351">
        <v>96</v>
      </c>
      <c r="O1351" t="s">
        <v>1381</v>
      </c>
      <c r="P1351" t="s">
        <v>187</v>
      </c>
      <c r="Q1351" t="s">
        <v>5612</v>
      </c>
      <c r="R1351" t="str">
        <f>_xlfn.CONCAT(Table_TRM_Fixtures[[#This Row],[Technology]], ", ", Table_TRM_Fixtures[[#This Row],[Ballast Code]], " Ballast")</f>
        <v>T12, Electronic STD Ballast</v>
      </c>
      <c r="S1351" t="str">
        <f>Table_TRM_Fixtures[[#This Row],[Description  (TRM Data)]]</f>
        <v>Fluorescent, (2) 96", STD lamps</v>
      </c>
      <c r="T1351" t="str">
        <f>Table_TRM_Fixtures[[#This Row],[Fixture code  (TRM Data)]]</f>
        <v>F82SL</v>
      </c>
      <c r="U1351" t="s">
        <v>2882</v>
      </c>
      <c r="V1351" t="s">
        <v>186</v>
      </c>
      <c r="W1351" t="s">
        <v>5764</v>
      </c>
      <c r="X1351">
        <v>110</v>
      </c>
      <c r="Y1351" t="str">
        <f>_xlfn.CONCAT(Table_TRM_Fixtures[[#This Row],[Combined Lighting/Ballast Types]],":",Table_TRM_Fixtures[[#This Row],[No. of Lamps]], ":", Table_TRM_Fixtures[[#This Row],[Lamp Watts  (TRM Data)]])</f>
        <v>T12, Electronic STD Ballast:2:75</v>
      </c>
      <c r="Z1351"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T12:2:75</v>
      </c>
      <c r="AA1351">
        <f>IF(Table_TRM_Fixtures[[#This Row],[Pre-EISA Baseline]]="Nominal", Table_TRM_Fixtures[[#This Row],[Fixture Watts  (TRM Data)]], Table_TRM_Fixtures[[#This Row],[Modified Baseline Fixture Watts]])</f>
        <v>110</v>
      </c>
    </row>
    <row r="1352" spans="1:27" x14ac:dyDescent="0.2">
      <c r="A1352" t="s">
        <v>2421</v>
      </c>
      <c r="B1352" t="s">
        <v>5840</v>
      </c>
      <c r="C1352" t="s">
        <v>2420</v>
      </c>
      <c r="D1352" t="s">
        <v>5843</v>
      </c>
      <c r="E1352" t="s">
        <v>187</v>
      </c>
      <c r="F1352">
        <v>3</v>
      </c>
      <c r="G1352">
        <v>75</v>
      </c>
      <c r="H1352">
        <v>179</v>
      </c>
      <c r="I1352">
        <v>15.5</v>
      </c>
      <c r="J1352" s="110">
        <v>1350</v>
      </c>
      <c r="K1352" t="s">
        <v>2196</v>
      </c>
      <c r="L1352">
        <f>IF(Table_TRM_Fixtures[[#This Row],[Technology]]="LED", Table_TRM_Fixtures[[#This Row],[Fixture Watts  (TRM Data)]], Table_TRM_Fixtures[[#This Row],[Lamp Watts  (TRM Data)]])</f>
        <v>75</v>
      </c>
      <c r="M1352">
        <f>Table_TRM_Fixtures[[#This Row],[No. of Lamps  (TRM Data)]]</f>
        <v>3</v>
      </c>
      <c r="N1352">
        <v>96</v>
      </c>
      <c r="O1352" t="s">
        <v>1381</v>
      </c>
      <c r="P1352" t="s">
        <v>187</v>
      </c>
      <c r="Q1352" t="s">
        <v>5612</v>
      </c>
      <c r="R1352" t="str">
        <f>_xlfn.CONCAT(Table_TRM_Fixtures[[#This Row],[Technology]], ", ", Table_TRM_Fixtures[[#This Row],[Ballast Code]], " Ballast")</f>
        <v>T12, Electronic STD Ballast</v>
      </c>
      <c r="S1352" t="str">
        <f>Table_TRM_Fixtures[[#This Row],[Description  (TRM Data)]]</f>
        <v>Fluorescent, (3) 96", STD lamps</v>
      </c>
      <c r="T1352" t="str">
        <f>Table_TRM_Fixtures[[#This Row],[Fixture code  (TRM Data)]]</f>
        <v>F83SL</v>
      </c>
      <c r="U1352" t="s">
        <v>2882</v>
      </c>
      <c r="V1352" t="s">
        <v>186</v>
      </c>
      <c r="W1352" t="s">
        <v>5764</v>
      </c>
      <c r="X1352">
        <v>179</v>
      </c>
      <c r="Y1352" t="str">
        <f>_xlfn.CONCAT(Table_TRM_Fixtures[[#This Row],[Combined Lighting/Ballast Types]],":",Table_TRM_Fixtures[[#This Row],[No. of Lamps]], ":", Table_TRM_Fixtures[[#This Row],[Lamp Watts  (TRM Data)]])</f>
        <v>T12, Electronic STD Ballast:3:75</v>
      </c>
      <c r="Z1352"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T12:3:75</v>
      </c>
      <c r="AA1352">
        <f>IF(Table_TRM_Fixtures[[#This Row],[Pre-EISA Baseline]]="Nominal", Table_TRM_Fixtures[[#This Row],[Fixture Watts  (TRM Data)]], Table_TRM_Fixtures[[#This Row],[Modified Baseline Fixture Watts]])</f>
        <v>179</v>
      </c>
    </row>
    <row r="1353" spans="1:27" x14ac:dyDescent="0.2">
      <c r="A1353" t="s">
        <v>2423</v>
      </c>
      <c r="B1353" t="s">
        <v>5840</v>
      </c>
      <c r="C1353" t="s">
        <v>2422</v>
      </c>
      <c r="D1353" t="s">
        <v>5844</v>
      </c>
      <c r="E1353" t="s">
        <v>187</v>
      </c>
      <c r="F1353">
        <v>4</v>
      </c>
      <c r="G1353">
        <v>75</v>
      </c>
      <c r="H1353">
        <v>220</v>
      </c>
      <c r="I1353">
        <v>15.5</v>
      </c>
      <c r="J1353" s="110">
        <v>1351</v>
      </c>
      <c r="K1353" t="s">
        <v>2196</v>
      </c>
      <c r="L1353">
        <f>IF(Table_TRM_Fixtures[[#This Row],[Technology]]="LED", Table_TRM_Fixtures[[#This Row],[Fixture Watts  (TRM Data)]], Table_TRM_Fixtures[[#This Row],[Lamp Watts  (TRM Data)]])</f>
        <v>75</v>
      </c>
      <c r="M1353">
        <f>Table_TRM_Fixtures[[#This Row],[No. of Lamps  (TRM Data)]]</f>
        <v>4</v>
      </c>
      <c r="N1353">
        <v>96</v>
      </c>
      <c r="O1353" t="s">
        <v>1381</v>
      </c>
      <c r="P1353" t="s">
        <v>187</v>
      </c>
      <c r="Q1353" t="s">
        <v>5612</v>
      </c>
      <c r="R1353" t="str">
        <f>_xlfn.CONCAT(Table_TRM_Fixtures[[#This Row],[Technology]], ", ", Table_TRM_Fixtures[[#This Row],[Ballast Code]], " Ballast")</f>
        <v>T12, Electronic STD Ballast</v>
      </c>
      <c r="S1353" t="str">
        <f>Table_TRM_Fixtures[[#This Row],[Description  (TRM Data)]]</f>
        <v>Fluorescent, (4) 96", STD lamps</v>
      </c>
      <c r="T1353" t="str">
        <f>Table_TRM_Fixtures[[#This Row],[Fixture code  (TRM Data)]]</f>
        <v>F84SL</v>
      </c>
      <c r="U1353" t="s">
        <v>2882</v>
      </c>
      <c r="V1353" t="s">
        <v>186</v>
      </c>
      <c r="W1353" t="s">
        <v>5764</v>
      </c>
      <c r="X1353">
        <v>219</v>
      </c>
      <c r="Y1353" t="str">
        <f>_xlfn.CONCAT(Table_TRM_Fixtures[[#This Row],[Combined Lighting/Ballast Types]],":",Table_TRM_Fixtures[[#This Row],[No. of Lamps]], ":", Table_TRM_Fixtures[[#This Row],[Lamp Watts  (TRM Data)]])</f>
        <v>T12, Electronic STD Ballast:4:75</v>
      </c>
      <c r="Z1353"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T12:4:75</v>
      </c>
      <c r="AA1353">
        <f>IF(Table_TRM_Fixtures[[#This Row],[Pre-EISA Baseline]]="Nominal", Table_TRM_Fixtures[[#This Row],[Fixture Watts  (TRM Data)]], Table_TRM_Fixtures[[#This Row],[Modified Baseline Fixture Watts]])</f>
        <v>219</v>
      </c>
    </row>
    <row r="1354" spans="1:27" x14ac:dyDescent="0.2">
      <c r="A1354" t="s">
        <v>2425</v>
      </c>
      <c r="B1354" t="s">
        <v>5845</v>
      </c>
      <c r="C1354" t="s">
        <v>2424</v>
      </c>
      <c r="D1354" t="s">
        <v>5846</v>
      </c>
      <c r="E1354" t="s">
        <v>1722</v>
      </c>
      <c r="F1354">
        <v>1</v>
      </c>
      <c r="G1354">
        <v>60</v>
      </c>
      <c r="H1354">
        <v>75</v>
      </c>
      <c r="I1354">
        <v>8.5</v>
      </c>
      <c r="J1354" s="110">
        <v>1352</v>
      </c>
      <c r="K1354" t="s">
        <v>2196</v>
      </c>
      <c r="L1354">
        <f>IF(Table_TRM_Fixtures[[#This Row],[Technology]]="LED", Table_TRM_Fixtures[[#This Row],[Fixture Watts  (TRM Data)]], Table_TRM_Fixtures[[#This Row],[Lamp Watts  (TRM Data)]])</f>
        <v>60</v>
      </c>
      <c r="M1354">
        <f>Table_TRM_Fixtures[[#This Row],[No. of Lamps  (TRM Data)]]</f>
        <v>1</v>
      </c>
      <c r="N1354">
        <v>96</v>
      </c>
      <c r="O1354" t="s">
        <v>1381</v>
      </c>
      <c r="P1354" t="s">
        <v>2640</v>
      </c>
      <c r="Q1354" t="s">
        <v>5608</v>
      </c>
      <c r="R1354" t="str">
        <f>_xlfn.CONCAT(Table_TRM_Fixtures[[#This Row],[Technology]], ", ", Table_TRM_Fixtures[[#This Row],[Ballast Code]], " Ballast")</f>
        <v>T12, Magnetic STD Ballast</v>
      </c>
      <c r="S1354" t="str">
        <f>Table_TRM_Fixtures[[#This Row],[Description  (TRM Data)]]</f>
        <v>Fluorescent, (1) 96" ES lamp</v>
      </c>
      <c r="T1354" t="str">
        <f>Table_TRM_Fixtures[[#This Row],[Fixture code  (TRM Data)]]</f>
        <v>F81EE</v>
      </c>
      <c r="U1354" t="s">
        <v>2882</v>
      </c>
      <c r="V1354" t="s">
        <v>186</v>
      </c>
      <c r="W1354" t="s">
        <v>5764</v>
      </c>
      <c r="X1354">
        <v>69</v>
      </c>
      <c r="Y1354" t="str">
        <f>_xlfn.CONCAT(Table_TRM_Fixtures[[#This Row],[Combined Lighting/Ballast Types]],":",Table_TRM_Fixtures[[#This Row],[No. of Lamps]], ":", Table_TRM_Fixtures[[#This Row],[Lamp Watts  (TRM Data)]])</f>
        <v>T12, Magnetic STD Ballast:1:60</v>
      </c>
      <c r="Z1354" t="s">
        <v>4815</v>
      </c>
      <c r="AA1354">
        <f>IF(Table_TRM_Fixtures[[#This Row],[Pre-EISA Baseline]]="Nominal", Table_TRM_Fixtures[[#This Row],[Fixture Watts  (TRM Data)]], Table_TRM_Fixtures[[#This Row],[Modified Baseline Fixture Watts]])</f>
        <v>69</v>
      </c>
    </row>
    <row r="1355" spans="1:27" x14ac:dyDescent="0.2">
      <c r="A1355" t="s">
        <v>2427</v>
      </c>
      <c r="B1355" t="s">
        <v>5845</v>
      </c>
      <c r="C1355" t="s">
        <v>2426</v>
      </c>
      <c r="D1355" t="s">
        <v>5847</v>
      </c>
      <c r="E1355" t="s">
        <v>1722</v>
      </c>
      <c r="F1355">
        <v>1</v>
      </c>
      <c r="G1355">
        <v>60</v>
      </c>
      <c r="H1355">
        <v>62</v>
      </c>
      <c r="I1355">
        <v>8.5</v>
      </c>
      <c r="J1355" s="110">
        <v>1353</v>
      </c>
      <c r="K1355" t="s">
        <v>2196</v>
      </c>
      <c r="L1355">
        <f>IF(Table_TRM_Fixtures[[#This Row],[Technology]]="LED", Table_TRM_Fixtures[[#This Row],[Fixture Watts  (TRM Data)]], Table_TRM_Fixtures[[#This Row],[Lamp Watts  (TRM Data)]])</f>
        <v>60</v>
      </c>
      <c r="M1355">
        <f>Table_TRM_Fixtures[[#This Row],[No. of Lamps  (TRM Data)]]</f>
        <v>1</v>
      </c>
      <c r="N1355">
        <v>96</v>
      </c>
      <c r="O1355" t="s">
        <v>1381</v>
      </c>
      <c r="P1355" t="s">
        <v>2640</v>
      </c>
      <c r="Q1355" t="s">
        <v>5608</v>
      </c>
      <c r="R1355" t="str">
        <f>_xlfn.CONCAT(Table_TRM_Fixtures[[#This Row],[Technology]], ", ", Table_TRM_Fixtures[[#This Row],[Ballast Code]], " Ballast")</f>
        <v>T12, Magnetic STD Ballast</v>
      </c>
      <c r="S1355" t="str">
        <f>Table_TRM_Fixtures[[#This Row],[Description  (TRM Data)]]</f>
        <v>Fluorescent, (1) 96", ES lamp, Tandem 2-lamp ballast</v>
      </c>
      <c r="T1355" t="str">
        <f>Table_TRM_Fixtures[[#This Row],[Fixture code  (TRM Data)]]</f>
        <v>F81EE/T2</v>
      </c>
      <c r="U1355" t="s">
        <v>2882</v>
      </c>
      <c r="V1355" t="s">
        <v>186</v>
      </c>
      <c r="W1355" t="s">
        <v>5764</v>
      </c>
      <c r="X1355">
        <v>69</v>
      </c>
      <c r="Y1355" t="s">
        <v>4815</v>
      </c>
      <c r="Z1355" t="s">
        <v>4815</v>
      </c>
      <c r="AA1355">
        <f>IF(Table_TRM_Fixtures[[#This Row],[Pre-EISA Baseline]]="Nominal", Table_TRM_Fixtures[[#This Row],[Fixture Watts  (TRM Data)]], Table_TRM_Fixtures[[#This Row],[Modified Baseline Fixture Watts]])</f>
        <v>69</v>
      </c>
    </row>
    <row r="1356" spans="1:27" x14ac:dyDescent="0.2">
      <c r="A1356" t="s">
        <v>2429</v>
      </c>
      <c r="B1356" t="s">
        <v>5845</v>
      </c>
      <c r="C1356" t="s">
        <v>2428</v>
      </c>
      <c r="D1356" t="s">
        <v>5847</v>
      </c>
      <c r="E1356" t="s">
        <v>187</v>
      </c>
      <c r="F1356">
        <v>1</v>
      </c>
      <c r="G1356">
        <v>60</v>
      </c>
      <c r="H1356">
        <v>69</v>
      </c>
      <c r="I1356">
        <v>15.5</v>
      </c>
      <c r="J1356" s="110">
        <v>1354</v>
      </c>
      <c r="K1356" t="s">
        <v>2196</v>
      </c>
      <c r="L1356">
        <f>IF(Table_TRM_Fixtures[[#This Row],[Technology]]="LED", Table_TRM_Fixtures[[#This Row],[Fixture Watts  (TRM Data)]], Table_TRM_Fixtures[[#This Row],[Lamp Watts  (TRM Data)]])</f>
        <v>60</v>
      </c>
      <c r="M1356">
        <f>Table_TRM_Fixtures[[#This Row],[No. of Lamps  (TRM Data)]]</f>
        <v>1</v>
      </c>
      <c r="N1356">
        <v>96</v>
      </c>
      <c r="O1356" t="s">
        <v>1381</v>
      </c>
      <c r="P1356" t="s">
        <v>187</v>
      </c>
      <c r="Q1356" t="s">
        <v>5612</v>
      </c>
      <c r="R1356" t="str">
        <f>_xlfn.CONCAT(Table_TRM_Fixtures[[#This Row],[Technology]], ", ", Table_TRM_Fixtures[[#This Row],[Ballast Code]], " Ballast")</f>
        <v>T12, Electronic STD Ballast</v>
      </c>
      <c r="S1356" t="str">
        <f>Table_TRM_Fixtures[[#This Row],[Description  (TRM Data)]]</f>
        <v>Fluorescent, (1) 96", ES lamp</v>
      </c>
      <c r="T1356" t="str">
        <f>Table_TRM_Fixtures[[#This Row],[Fixture code  (TRM Data)]]</f>
        <v>F81EL</v>
      </c>
      <c r="U1356" t="s">
        <v>2882</v>
      </c>
      <c r="V1356" t="s">
        <v>186</v>
      </c>
      <c r="W1356" t="s">
        <v>5764</v>
      </c>
      <c r="X1356">
        <v>69</v>
      </c>
      <c r="Y1356" t="str">
        <f>_xlfn.CONCAT(Table_TRM_Fixtures[[#This Row],[Combined Lighting/Ballast Types]],":",Table_TRM_Fixtures[[#This Row],[No. of Lamps]], ":", Table_TRM_Fixtures[[#This Row],[Lamp Watts  (TRM Data)]])</f>
        <v>T12, Electronic STD Ballast:1:60</v>
      </c>
      <c r="Z1356"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T12:1:60</v>
      </c>
      <c r="AA1356">
        <f>IF(Table_TRM_Fixtures[[#This Row],[Pre-EISA Baseline]]="Nominal", Table_TRM_Fixtures[[#This Row],[Fixture Watts  (TRM Data)]], Table_TRM_Fixtures[[#This Row],[Modified Baseline Fixture Watts]])</f>
        <v>69</v>
      </c>
    </row>
    <row r="1357" spans="1:27" x14ac:dyDescent="0.2">
      <c r="A1357" t="s">
        <v>2430</v>
      </c>
      <c r="B1357" t="s">
        <v>5845</v>
      </c>
      <c r="C1357" t="s">
        <v>2426</v>
      </c>
      <c r="D1357" t="s">
        <v>5847</v>
      </c>
      <c r="E1357" t="s">
        <v>187</v>
      </c>
      <c r="F1357">
        <v>1</v>
      </c>
      <c r="G1357">
        <v>60</v>
      </c>
      <c r="H1357">
        <v>55</v>
      </c>
      <c r="I1357">
        <v>15.5</v>
      </c>
      <c r="J1357" s="110">
        <v>1355</v>
      </c>
      <c r="K1357" t="s">
        <v>2196</v>
      </c>
      <c r="L1357">
        <f>IF(Table_TRM_Fixtures[[#This Row],[Technology]]="LED", Table_TRM_Fixtures[[#This Row],[Fixture Watts  (TRM Data)]], Table_TRM_Fixtures[[#This Row],[Lamp Watts  (TRM Data)]])</f>
        <v>60</v>
      </c>
      <c r="M1357">
        <f>Table_TRM_Fixtures[[#This Row],[No. of Lamps  (TRM Data)]]</f>
        <v>1</v>
      </c>
      <c r="N1357">
        <v>96</v>
      </c>
      <c r="O1357" t="s">
        <v>1381</v>
      </c>
      <c r="P1357" t="s">
        <v>187</v>
      </c>
      <c r="Q1357" t="s">
        <v>5612</v>
      </c>
      <c r="R1357" t="str">
        <f>_xlfn.CONCAT(Table_TRM_Fixtures[[#This Row],[Technology]], ", ", Table_TRM_Fixtures[[#This Row],[Ballast Code]], " Ballast")</f>
        <v>T12, Electronic STD Ballast</v>
      </c>
      <c r="S1357" t="str">
        <f>Table_TRM_Fixtures[[#This Row],[Description  (TRM Data)]]</f>
        <v>Fluorescent, (1) 96", ES lamp, Tandem 2-lamp ballast</v>
      </c>
      <c r="T1357" t="str">
        <f>Table_TRM_Fixtures[[#This Row],[Fixture code  (TRM Data)]]</f>
        <v>F81EL/T2</v>
      </c>
      <c r="U1357" t="s">
        <v>2882</v>
      </c>
      <c r="V1357" t="s">
        <v>186</v>
      </c>
      <c r="W1357" t="s">
        <v>5764</v>
      </c>
      <c r="X1357">
        <v>69</v>
      </c>
      <c r="Y1357" t="s">
        <v>4815</v>
      </c>
      <c r="Z1357" t="s">
        <v>4815</v>
      </c>
      <c r="AA1357">
        <f>IF(Table_TRM_Fixtures[[#This Row],[Pre-EISA Baseline]]="Nominal", Table_TRM_Fixtures[[#This Row],[Fixture Watts  (TRM Data)]], Table_TRM_Fixtures[[#This Row],[Modified Baseline Fixture Watts]])</f>
        <v>69</v>
      </c>
    </row>
    <row r="1358" spans="1:27" x14ac:dyDescent="0.2">
      <c r="A1358" t="s">
        <v>2432</v>
      </c>
      <c r="B1358" t="s">
        <v>5845</v>
      </c>
      <c r="C1358" t="s">
        <v>2431</v>
      </c>
      <c r="D1358" t="s">
        <v>5848</v>
      </c>
      <c r="E1358" t="s">
        <v>1722</v>
      </c>
      <c r="F1358">
        <v>2</v>
      </c>
      <c r="G1358">
        <v>60</v>
      </c>
      <c r="H1358">
        <v>123</v>
      </c>
      <c r="I1358">
        <v>8.5</v>
      </c>
      <c r="J1358" s="110">
        <v>1356</v>
      </c>
      <c r="K1358" t="s">
        <v>2196</v>
      </c>
      <c r="L1358">
        <f>IF(Table_TRM_Fixtures[[#This Row],[Technology]]="LED", Table_TRM_Fixtures[[#This Row],[Fixture Watts  (TRM Data)]], Table_TRM_Fixtures[[#This Row],[Lamp Watts  (TRM Data)]])</f>
        <v>60</v>
      </c>
      <c r="M1358">
        <f>Table_TRM_Fixtures[[#This Row],[No. of Lamps  (TRM Data)]]</f>
        <v>2</v>
      </c>
      <c r="N1358">
        <v>96</v>
      </c>
      <c r="O1358" t="s">
        <v>1381</v>
      </c>
      <c r="P1358" t="s">
        <v>2640</v>
      </c>
      <c r="Q1358" t="s">
        <v>5608</v>
      </c>
      <c r="R1358" t="str">
        <f>_xlfn.CONCAT(Table_TRM_Fixtures[[#This Row],[Technology]], ", ", Table_TRM_Fixtures[[#This Row],[Ballast Code]], " Ballast")</f>
        <v>T12, Magnetic STD Ballast</v>
      </c>
      <c r="S1358" t="str">
        <f>Table_TRM_Fixtures[[#This Row],[Description  (TRM Data)]]</f>
        <v>Fluorescent, (2) 96", ES lamps</v>
      </c>
      <c r="T1358" t="str">
        <f>Table_TRM_Fixtures[[#This Row],[Fixture code  (TRM Data)]]</f>
        <v>F82EE</v>
      </c>
      <c r="U1358" t="s">
        <v>2882</v>
      </c>
      <c r="V1358" t="s">
        <v>186</v>
      </c>
      <c r="W1358" t="s">
        <v>5764</v>
      </c>
      <c r="X1358">
        <v>110</v>
      </c>
      <c r="Y1358" t="str">
        <f>_xlfn.CONCAT(Table_TRM_Fixtures[[#This Row],[Combined Lighting/Ballast Types]],":",Table_TRM_Fixtures[[#This Row],[No. of Lamps]], ":", Table_TRM_Fixtures[[#This Row],[Lamp Watts  (TRM Data)]])</f>
        <v>T12, Magnetic STD Ballast:2:60</v>
      </c>
      <c r="Z1358" t="s">
        <v>4815</v>
      </c>
      <c r="AA1358">
        <f>IF(Table_TRM_Fixtures[[#This Row],[Pre-EISA Baseline]]="Nominal", Table_TRM_Fixtures[[#This Row],[Fixture Watts  (TRM Data)]], Table_TRM_Fixtures[[#This Row],[Modified Baseline Fixture Watts]])</f>
        <v>110</v>
      </c>
    </row>
    <row r="1359" spans="1:27" x14ac:dyDescent="0.2">
      <c r="A1359" t="s">
        <v>2433</v>
      </c>
      <c r="B1359" t="s">
        <v>5845</v>
      </c>
      <c r="C1359" t="s">
        <v>2431</v>
      </c>
      <c r="D1359" t="s">
        <v>5848</v>
      </c>
      <c r="E1359" t="s">
        <v>187</v>
      </c>
      <c r="F1359">
        <v>2</v>
      </c>
      <c r="G1359">
        <v>60</v>
      </c>
      <c r="H1359">
        <v>110</v>
      </c>
      <c r="I1359">
        <v>15.5</v>
      </c>
      <c r="J1359" s="110">
        <v>1357</v>
      </c>
      <c r="K1359" t="s">
        <v>2196</v>
      </c>
      <c r="L1359">
        <f>IF(Table_TRM_Fixtures[[#This Row],[Technology]]="LED", Table_TRM_Fixtures[[#This Row],[Fixture Watts  (TRM Data)]], Table_TRM_Fixtures[[#This Row],[Lamp Watts  (TRM Data)]])</f>
        <v>60</v>
      </c>
      <c r="M1359">
        <f>Table_TRM_Fixtures[[#This Row],[No. of Lamps  (TRM Data)]]</f>
        <v>2</v>
      </c>
      <c r="N1359">
        <v>96</v>
      </c>
      <c r="O1359" t="s">
        <v>1381</v>
      </c>
      <c r="P1359" t="s">
        <v>187</v>
      </c>
      <c r="Q1359" t="s">
        <v>5612</v>
      </c>
      <c r="R1359" t="str">
        <f>_xlfn.CONCAT(Table_TRM_Fixtures[[#This Row],[Technology]], ", ", Table_TRM_Fixtures[[#This Row],[Ballast Code]], " Ballast")</f>
        <v>T12, Electronic STD Ballast</v>
      </c>
      <c r="S1359" t="str">
        <f>Table_TRM_Fixtures[[#This Row],[Description  (TRM Data)]]</f>
        <v>Fluorescent, (2) 96", ES lamps</v>
      </c>
      <c r="T1359" t="str">
        <f>Table_TRM_Fixtures[[#This Row],[Fixture code  (TRM Data)]]</f>
        <v>F82EL</v>
      </c>
      <c r="U1359" t="s">
        <v>2882</v>
      </c>
      <c r="V1359" t="s">
        <v>186</v>
      </c>
      <c r="W1359" t="s">
        <v>5764</v>
      </c>
      <c r="X1359">
        <v>110</v>
      </c>
      <c r="Y1359" t="str">
        <f>_xlfn.CONCAT(Table_TRM_Fixtures[[#This Row],[Combined Lighting/Ballast Types]],":",Table_TRM_Fixtures[[#This Row],[No. of Lamps]], ":", Table_TRM_Fixtures[[#This Row],[Lamp Watts  (TRM Data)]])</f>
        <v>T12, Electronic STD Ballast:2:60</v>
      </c>
      <c r="Z1359"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T12:2:60</v>
      </c>
      <c r="AA1359">
        <f>IF(Table_TRM_Fixtures[[#This Row],[Pre-EISA Baseline]]="Nominal", Table_TRM_Fixtures[[#This Row],[Fixture Watts  (TRM Data)]], Table_TRM_Fixtures[[#This Row],[Modified Baseline Fixture Watts]])</f>
        <v>110</v>
      </c>
    </row>
    <row r="1360" spans="1:27" x14ac:dyDescent="0.2">
      <c r="A1360" t="s">
        <v>2435</v>
      </c>
      <c r="B1360" t="s">
        <v>5845</v>
      </c>
      <c r="C1360" t="s">
        <v>2434</v>
      </c>
      <c r="D1360" t="s">
        <v>5849</v>
      </c>
      <c r="E1360" t="s">
        <v>1722</v>
      </c>
      <c r="F1360">
        <v>3</v>
      </c>
      <c r="G1360">
        <v>60</v>
      </c>
      <c r="H1360">
        <v>198</v>
      </c>
      <c r="I1360">
        <v>8.5</v>
      </c>
      <c r="J1360" s="110">
        <v>1358</v>
      </c>
      <c r="K1360" t="s">
        <v>2196</v>
      </c>
      <c r="L1360">
        <f>IF(Table_TRM_Fixtures[[#This Row],[Technology]]="LED", Table_TRM_Fixtures[[#This Row],[Fixture Watts  (TRM Data)]], Table_TRM_Fixtures[[#This Row],[Lamp Watts  (TRM Data)]])</f>
        <v>60</v>
      </c>
      <c r="M1360">
        <f>Table_TRM_Fixtures[[#This Row],[No. of Lamps  (TRM Data)]]</f>
        <v>3</v>
      </c>
      <c r="N1360">
        <v>96</v>
      </c>
      <c r="O1360" t="s">
        <v>1381</v>
      </c>
      <c r="P1360" t="s">
        <v>2640</v>
      </c>
      <c r="Q1360" t="s">
        <v>5608</v>
      </c>
      <c r="R1360" t="str">
        <f>_xlfn.CONCAT(Table_TRM_Fixtures[[#This Row],[Technology]], ", ", Table_TRM_Fixtures[[#This Row],[Ballast Code]], " Ballast")</f>
        <v>T12, Magnetic STD Ballast</v>
      </c>
      <c r="S1360" t="str">
        <f>Table_TRM_Fixtures[[#This Row],[Description  (TRM Data)]]</f>
        <v>Fluorescent, (3) 96", ES lamps</v>
      </c>
      <c r="T1360" t="str">
        <f>Table_TRM_Fixtures[[#This Row],[Fixture code  (TRM Data)]]</f>
        <v>F83EE</v>
      </c>
      <c r="U1360" t="s">
        <v>2882</v>
      </c>
      <c r="V1360" t="s">
        <v>186</v>
      </c>
      <c r="W1360" t="s">
        <v>5764</v>
      </c>
      <c r="X1360">
        <v>179</v>
      </c>
      <c r="Y1360" t="str">
        <f>_xlfn.CONCAT(Table_TRM_Fixtures[[#This Row],[Combined Lighting/Ballast Types]],":",Table_TRM_Fixtures[[#This Row],[No. of Lamps]], ":", Table_TRM_Fixtures[[#This Row],[Lamp Watts  (TRM Data)]])</f>
        <v>T12, Magnetic STD Ballast:3:60</v>
      </c>
      <c r="Z1360" t="s">
        <v>4815</v>
      </c>
      <c r="AA1360">
        <f>IF(Table_TRM_Fixtures[[#This Row],[Pre-EISA Baseline]]="Nominal", Table_TRM_Fixtures[[#This Row],[Fixture Watts  (TRM Data)]], Table_TRM_Fixtures[[#This Row],[Modified Baseline Fixture Watts]])</f>
        <v>179</v>
      </c>
    </row>
    <row r="1361" spans="1:27" x14ac:dyDescent="0.2">
      <c r="A1361" t="s">
        <v>2436</v>
      </c>
      <c r="B1361" t="s">
        <v>5845</v>
      </c>
      <c r="C1361" t="s">
        <v>2434</v>
      </c>
      <c r="D1361" t="s">
        <v>5849</v>
      </c>
      <c r="E1361" t="s">
        <v>187</v>
      </c>
      <c r="F1361">
        <v>3</v>
      </c>
      <c r="G1361">
        <v>60</v>
      </c>
      <c r="H1361">
        <v>179</v>
      </c>
      <c r="I1361">
        <v>15.5</v>
      </c>
      <c r="J1361" s="110">
        <v>1359</v>
      </c>
      <c r="K1361" t="s">
        <v>2196</v>
      </c>
      <c r="L1361">
        <f>IF(Table_TRM_Fixtures[[#This Row],[Technology]]="LED", Table_TRM_Fixtures[[#This Row],[Fixture Watts  (TRM Data)]], Table_TRM_Fixtures[[#This Row],[Lamp Watts  (TRM Data)]])</f>
        <v>60</v>
      </c>
      <c r="M1361">
        <f>Table_TRM_Fixtures[[#This Row],[No. of Lamps  (TRM Data)]]</f>
        <v>3</v>
      </c>
      <c r="N1361">
        <v>96</v>
      </c>
      <c r="O1361" t="s">
        <v>1381</v>
      </c>
      <c r="P1361" t="s">
        <v>187</v>
      </c>
      <c r="Q1361" t="s">
        <v>5612</v>
      </c>
      <c r="R1361" t="str">
        <f>_xlfn.CONCAT(Table_TRM_Fixtures[[#This Row],[Technology]], ", ", Table_TRM_Fixtures[[#This Row],[Ballast Code]], " Ballast")</f>
        <v>T12, Electronic STD Ballast</v>
      </c>
      <c r="S1361" t="str">
        <f>Table_TRM_Fixtures[[#This Row],[Description  (TRM Data)]]</f>
        <v>Fluorescent, (3) 96", ES lamps</v>
      </c>
      <c r="T1361" t="str">
        <f>Table_TRM_Fixtures[[#This Row],[Fixture code  (TRM Data)]]</f>
        <v>F83EL</v>
      </c>
      <c r="U1361" t="s">
        <v>2882</v>
      </c>
      <c r="V1361" t="s">
        <v>186</v>
      </c>
      <c r="W1361" t="s">
        <v>5764</v>
      </c>
      <c r="X1361">
        <v>179</v>
      </c>
      <c r="Y1361" t="str">
        <f>_xlfn.CONCAT(Table_TRM_Fixtures[[#This Row],[Combined Lighting/Ballast Types]],":",Table_TRM_Fixtures[[#This Row],[No. of Lamps]], ":", Table_TRM_Fixtures[[#This Row],[Lamp Watts  (TRM Data)]])</f>
        <v>T12, Electronic STD Ballast:3:60</v>
      </c>
      <c r="Z1361"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T12:3:60</v>
      </c>
      <c r="AA1361">
        <f>IF(Table_TRM_Fixtures[[#This Row],[Pre-EISA Baseline]]="Nominal", Table_TRM_Fixtures[[#This Row],[Fixture Watts  (TRM Data)]], Table_TRM_Fixtures[[#This Row],[Modified Baseline Fixture Watts]])</f>
        <v>179</v>
      </c>
    </row>
    <row r="1362" spans="1:27" x14ac:dyDescent="0.2">
      <c r="A1362" t="s">
        <v>2438</v>
      </c>
      <c r="B1362" t="s">
        <v>5845</v>
      </c>
      <c r="C1362" t="s">
        <v>2437</v>
      </c>
      <c r="D1362" t="s">
        <v>5846</v>
      </c>
      <c r="E1362" t="s">
        <v>1722</v>
      </c>
      <c r="F1362">
        <v>4</v>
      </c>
      <c r="G1362">
        <v>60</v>
      </c>
      <c r="H1362">
        <v>246</v>
      </c>
      <c r="I1362">
        <v>8.5</v>
      </c>
      <c r="J1362" s="110">
        <v>1360</v>
      </c>
      <c r="K1362" t="s">
        <v>2196</v>
      </c>
      <c r="L1362">
        <f>IF(Table_TRM_Fixtures[[#This Row],[Technology]]="LED", Table_TRM_Fixtures[[#This Row],[Fixture Watts  (TRM Data)]], Table_TRM_Fixtures[[#This Row],[Lamp Watts  (TRM Data)]])</f>
        <v>60</v>
      </c>
      <c r="M1362">
        <f>Table_TRM_Fixtures[[#This Row],[No. of Lamps  (TRM Data)]]</f>
        <v>4</v>
      </c>
      <c r="N1362">
        <v>96</v>
      </c>
      <c r="O1362" t="s">
        <v>1381</v>
      </c>
      <c r="P1362" t="s">
        <v>2640</v>
      </c>
      <c r="Q1362" t="s">
        <v>5608</v>
      </c>
      <c r="R1362" t="str">
        <f>_xlfn.CONCAT(Table_TRM_Fixtures[[#This Row],[Technology]], ", ", Table_TRM_Fixtures[[#This Row],[Ballast Code]], " Ballast")</f>
        <v>T12, Magnetic STD Ballast</v>
      </c>
      <c r="S1362" t="str">
        <f>Table_TRM_Fixtures[[#This Row],[Description  (TRM Data)]]</f>
        <v>Fluorescent, (4) 96", ES lamps</v>
      </c>
      <c r="T1362" t="str">
        <f>Table_TRM_Fixtures[[#This Row],[Fixture code  (TRM Data)]]</f>
        <v>F84EE</v>
      </c>
      <c r="U1362" t="s">
        <v>2882</v>
      </c>
      <c r="V1362" t="s">
        <v>186</v>
      </c>
      <c r="W1362" t="s">
        <v>5764</v>
      </c>
      <c r="X1362">
        <v>219</v>
      </c>
      <c r="Y1362" t="str">
        <f>_xlfn.CONCAT(Table_TRM_Fixtures[[#This Row],[Combined Lighting/Ballast Types]],":",Table_TRM_Fixtures[[#This Row],[No. of Lamps]], ":", Table_TRM_Fixtures[[#This Row],[Lamp Watts  (TRM Data)]])</f>
        <v>T12, Magnetic STD Ballast:4:60</v>
      </c>
      <c r="Z1362" t="s">
        <v>4815</v>
      </c>
      <c r="AA1362">
        <f>IF(Table_TRM_Fixtures[[#This Row],[Pre-EISA Baseline]]="Nominal", Table_TRM_Fixtures[[#This Row],[Fixture Watts  (TRM Data)]], Table_TRM_Fixtures[[#This Row],[Modified Baseline Fixture Watts]])</f>
        <v>219</v>
      </c>
    </row>
    <row r="1363" spans="1:27" x14ac:dyDescent="0.2">
      <c r="A1363" t="s">
        <v>2439</v>
      </c>
      <c r="B1363" t="s">
        <v>5845</v>
      </c>
      <c r="C1363" t="s">
        <v>2437</v>
      </c>
      <c r="D1363" t="s">
        <v>5846</v>
      </c>
      <c r="E1363" t="s">
        <v>187</v>
      </c>
      <c r="F1363">
        <v>4</v>
      </c>
      <c r="G1363">
        <v>60</v>
      </c>
      <c r="H1363">
        <v>220</v>
      </c>
      <c r="I1363">
        <v>15.5</v>
      </c>
      <c r="J1363" s="110">
        <v>1361</v>
      </c>
      <c r="K1363" t="s">
        <v>2196</v>
      </c>
      <c r="L1363">
        <f>IF(Table_TRM_Fixtures[[#This Row],[Technology]]="LED", Table_TRM_Fixtures[[#This Row],[Fixture Watts  (TRM Data)]], Table_TRM_Fixtures[[#This Row],[Lamp Watts  (TRM Data)]])</f>
        <v>60</v>
      </c>
      <c r="M1363">
        <f>Table_TRM_Fixtures[[#This Row],[No. of Lamps  (TRM Data)]]</f>
        <v>4</v>
      </c>
      <c r="N1363">
        <v>96</v>
      </c>
      <c r="O1363" t="s">
        <v>1381</v>
      </c>
      <c r="P1363" t="s">
        <v>187</v>
      </c>
      <c r="Q1363" t="s">
        <v>5612</v>
      </c>
      <c r="R1363" t="str">
        <f>_xlfn.CONCAT(Table_TRM_Fixtures[[#This Row],[Technology]], ", ", Table_TRM_Fixtures[[#This Row],[Ballast Code]], " Ballast")</f>
        <v>T12, Electronic STD Ballast</v>
      </c>
      <c r="S1363" t="str">
        <f>Table_TRM_Fixtures[[#This Row],[Description  (TRM Data)]]</f>
        <v>Fluorescent, (4) 96", ES lamps</v>
      </c>
      <c r="T1363" t="str">
        <f>Table_TRM_Fixtures[[#This Row],[Fixture code  (TRM Data)]]</f>
        <v>F84EL</v>
      </c>
      <c r="U1363" t="s">
        <v>2882</v>
      </c>
      <c r="V1363" t="s">
        <v>186</v>
      </c>
      <c r="W1363" t="s">
        <v>5764</v>
      </c>
      <c r="X1363">
        <v>219</v>
      </c>
      <c r="Y1363" t="str">
        <f>_xlfn.CONCAT(Table_TRM_Fixtures[[#This Row],[Combined Lighting/Ballast Types]],":",Table_TRM_Fixtures[[#This Row],[No. of Lamps]], ":", Table_TRM_Fixtures[[#This Row],[Lamp Watts  (TRM Data)]])</f>
        <v>T12, Electronic STD Ballast:4:60</v>
      </c>
      <c r="Z1363"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T12:4:60</v>
      </c>
      <c r="AA1363">
        <f>IF(Table_TRM_Fixtures[[#This Row],[Pre-EISA Baseline]]="Nominal", Table_TRM_Fixtures[[#This Row],[Fixture Watts  (TRM Data)]], Table_TRM_Fixtures[[#This Row],[Modified Baseline Fixture Watts]])</f>
        <v>219</v>
      </c>
    </row>
    <row r="1364" spans="1:27" x14ac:dyDescent="0.2">
      <c r="A1364" t="s">
        <v>2441</v>
      </c>
      <c r="B1364" t="s">
        <v>5845</v>
      </c>
      <c r="C1364" t="s">
        <v>2440</v>
      </c>
      <c r="D1364" t="s">
        <v>5850</v>
      </c>
      <c r="E1364" t="s">
        <v>1722</v>
      </c>
      <c r="F1364">
        <v>6</v>
      </c>
      <c r="G1364">
        <v>60</v>
      </c>
      <c r="H1364">
        <v>369</v>
      </c>
      <c r="I1364">
        <v>8.5</v>
      </c>
      <c r="J1364" s="110">
        <v>1362</v>
      </c>
      <c r="K1364" t="s">
        <v>2196</v>
      </c>
      <c r="L1364">
        <f>IF(Table_TRM_Fixtures[[#This Row],[Technology]]="LED", Table_TRM_Fixtures[[#This Row],[Fixture Watts  (TRM Data)]], Table_TRM_Fixtures[[#This Row],[Lamp Watts  (TRM Data)]])</f>
        <v>60</v>
      </c>
      <c r="M1364">
        <f>Table_TRM_Fixtures[[#This Row],[No. of Lamps  (TRM Data)]]</f>
        <v>6</v>
      </c>
      <c r="N1364">
        <v>96</v>
      </c>
      <c r="O1364" t="s">
        <v>1381</v>
      </c>
      <c r="P1364" t="s">
        <v>2640</v>
      </c>
      <c r="Q1364" t="s">
        <v>5608</v>
      </c>
      <c r="R1364" t="str">
        <f>_xlfn.CONCAT(Table_TRM_Fixtures[[#This Row],[Technology]], ", ", Table_TRM_Fixtures[[#This Row],[Ballast Code]], " Ballast")</f>
        <v>T12, Magnetic STD Ballast</v>
      </c>
      <c r="S1364" t="str">
        <f>Table_TRM_Fixtures[[#This Row],[Description  (TRM Data)]]</f>
        <v>Fluorescent, (6) 96", ES lamps</v>
      </c>
      <c r="T1364" t="str">
        <f>Table_TRM_Fixtures[[#This Row],[Fixture code  (TRM Data)]]</f>
        <v>F86EE</v>
      </c>
      <c r="U1364" t="s">
        <v>2882</v>
      </c>
      <c r="V1364" t="s">
        <v>186</v>
      </c>
      <c r="W1364" t="s">
        <v>5764</v>
      </c>
      <c r="X1364">
        <v>330</v>
      </c>
      <c r="Y1364" t="str">
        <f>_xlfn.CONCAT(Table_TRM_Fixtures[[#This Row],[Combined Lighting/Ballast Types]],":",Table_TRM_Fixtures[[#This Row],[No. of Lamps]], ":", Table_TRM_Fixtures[[#This Row],[Lamp Watts  (TRM Data)]])</f>
        <v>T12, Magnetic STD Ballast:6:60</v>
      </c>
      <c r="Z1364"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T12:6:60</v>
      </c>
      <c r="AA1364">
        <f>IF(Table_TRM_Fixtures[[#This Row],[Pre-EISA Baseline]]="Nominal", Table_TRM_Fixtures[[#This Row],[Fixture Watts  (TRM Data)]], Table_TRM_Fixtures[[#This Row],[Modified Baseline Fixture Watts]])</f>
        <v>330</v>
      </c>
    </row>
    <row r="1365" spans="1:27" x14ac:dyDescent="0.2">
      <c r="A1365" t="s">
        <v>2443</v>
      </c>
      <c r="B1365" t="s">
        <v>5851</v>
      </c>
      <c r="C1365" t="s">
        <v>2442</v>
      </c>
      <c r="D1365" t="s">
        <v>5852</v>
      </c>
      <c r="E1365" t="s">
        <v>1309</v>
      </c>
      <c r="F1365">
        <v>1</v>
      </c>
      <c r="G1365">
        <v>110</v>
      </c>
      <c r="H1365">
        <v>121</v>
      </c>
      <c r="I1365">
        <v>8.5</v>
      </c>
      <c r="J1365" s="110">
        <v>1363</v>
      </c>
      <c r="K1365" t="s">
        <v>2196</v>
      </c>
      <c r="L1365">
        <f>IF(Table_TRM_Fixtures[[#This Row],[Technology]]="LED", Table_TRM_Fixtures[[#This Row],[Fixture Watts  (TRM Data)]], Table_TRM_Fixtures[[#This Row],[Lamp Watts  (TRM Data)]])</f>
        <v>110</v>
      </c>
      <c r="M1365">
        <f>Table_TRM_Fixtures[[#This Row],[No. of Lamps  (TRM Data)]]</f>
        <v>1</v>
      </c>
      <c r="N1365">
        <v>96</v>
      </c>
      <c r="O1365" t="s">
        <v>2211</v>
      </c>
      <c r="P1365" t="s">
        <v>2640</v>
      </c>
      <c r="Q1365" t="s">
        <v>5781</v>
      </c>
      <c r="R1365" t="str">
        <f>_xlfn.CONCAT(Table_TRM_Fixtures[[#This Row],[Technology]], ", ", Table_TRM_Fixtures[[#This Row],[Ballast Code]], " Ballast")</f>
        <v>T12, Magnetic HLO Ballast</v>
      </c>
      <c r="S1365" t="str">
        <f>Table_TRM_Fixtures[[#This Row],[Description  (TRM Data)]]</f>
        <v>Fluorescent, (1) 96", STD HO lamp</v>
      </c>
      <c r="T1365" t="str">
        <f>Table_TRM_Fixtures[[#This Row],[Fixture code  (TRM Data)]]</f>
        <v>F81SHS</v>
      </c>
      <c r="U1365" t="s">
        <v>2882</v>
      </c>
      <c r="V1365" t="s">
        <v>186</v>
      </c>
      <c r="W1365" t="s">
        <v>5764</v>
      </c>
      <c r="X1365">
        <v>101</v>
      </c>
      <c r="Y1365" t="str">
        <f>_xlfn.CONCAT(Table_TRM_Fixtures[[#This Row],[Combined Lighting/Ballast Types]],":",Table_TRM_Fixtures[[#This Row],[No. of Lamps]], ":", Table_TRM_Fixtures[[#This Row],[Lamp Watts  (TRM Data)]])</f>
        <v>T12, Magnetic HLO Ballast:1:110</v>
      </c>
      <c r="Z1365" t="s">
        <v>4815</v>
      </c>
      <c r="AA1365">
        <f>IF(Table_TRM_Fixtures[[#This Row],[Pre-EISA Baseline]]="Nominal", Table_TRM_Fixtures[[#This Row],[Fixture Watts  (TRM Data)]], Table_TRM_Fixtures[[#This Row],[Modified Baseline Fixture Watts]])</f>
        <v>101</v>
      </c>
    </row>
    <row r="1366" spans="1:27" x14ac:dyDescent="0.2">
      <c r="A1366" t="s">
        <v>2445</v>
      </c>
      <c r="B1366" t="s">
        <v>5851</v>
      </c>
      <c r="C1366" t="s">
        <v>2444</v>
      </c>
      <c r="D1366" t="s">
        <v>5853</v>
      </c>
      <c r="E1366" t="s">
        <v>1722</v>
      </c>
      <c r="F1366">
        <v>2</v>
      </c>
      <c r="G1366">
        <v>110</v>
      </c>
      <c r="H1366">
        <v>207</v>
      </c>
      <c r="I1366">
        <v>8.5</v>
      </c>
      <c r="J1366" s="110">
        <v>1364</v>
      </c>
      <c r="K1366" t="s">
        <v>2196</v>
      </c>
      <c r="L1366">
        <f>IF(Table_TRM_Fixtures[[#This Row],[Technology]]="LED", Table_TRM_Fixtures[[#This Row],[Fixture Watts  (TRM Data)]], Table_TRM_Fixtures[[#This Row],[Lamp Watts  (TRM Data)]])</f>
        <v>110</v>
      </c>
      <c r="M1366">
        <f>Table_TRM_Fixtures[[#This Row],[No. of Lamps  (TRM Data)]]</f>
        <v>2</v>
      </c>
      <c r="N1366">
        <v>96</v>
      </c>
      <c r="O1366" t="s">
        <v>2211</v>
      </c>
      <c r="P1366" t="s">
        <v>2640</v>
      </c>
      <c r="Q1366" t="s">
        <v>5781</v>
      </c>
      <c r="R1366" t="str">
        <f>_xlfn.CONCAT(Table_TRM_Fixtures[[#This Row],[Technology]], ", ", Table_TRM_Fixtures[[#This Row],[Ballast Code]], " Ballast")</f>
        <v>T12, Magnetic HLO Ballast</v>
      </c>
      <c r="S1366" t="str">
        <f>Table_TRM_Fixtures[[#This Row],[Description  (TRM Data)]]</f>
        <v>Fluorescent, (2) 96", STD HO lamps</v>
      </c>
      <c r="T1366" t="str">
        <f>Table_TRM_Fixtures[[#This Row],[Fixture code  (TRM Data)]]</f>
        <v>F82SHE</v>
      </c>
      <c r="U1366" t="s">
        <v>2882</v>
      </c>
      <c r="V1366" t="s">
        <v>186</v>
      </c>
      <c r="W1366" t="s">
        <v>5764</v>
      </c>
      <c r="X1366">
        <v>160</v>
      </c>
      <c r="Y1366" t="s">
        <v>4815</v>
      </c>
      <c r="Z1366" t="s">
        <v>4815</v>
      </c>
      <c r="AA1366">
        <f>IF(Table_TRM_Fixtures[[#This Row],[Pre-EISA Baseline]]="Nominal", Table_TRM_Fixtures[[#This Row],[Fixture Watts  (TRM Data)]], Table_TRM_Fixtures[[#This Row],[Modified Baseline Fixture Watts]])</f>
        <v>160</v>
      </c>
    </row>
    <row r="1367" spans="1:27" x14ac:dyDescent="0.2">
      <c r="A1367" t="s">
        <v>2446</v>
      </c>
      <c r="B1367" t="s">
        <v>5851</v>
      </c>
      <c r="C1367" t="s">
        <v>2444</v>
      </c>
      <c r="D1367" t="s">
        <v>5853</v>
      </c>
      <c r="E1367" t="s">
        <v>187</v>
      </c>
      <c r="F1367">
        <v>2</v>
      </c>
      <c r="G1367">
        <v>110</v>
      </c>
      <c r="H1367">
        <v>173</v>
      </c>
      <c r="I1367">
        <v>15.5</v>
      </c>
      <c r="J1367" s="110">
        <v>1365</v>
      </c>
      <c r="K1367" t="s">
        <v>2196</v>
      </c>
      <c r="L1367">
        <f>IF(Table_TRM_Fixtures[[#This Row],[Technology]]="LED", Table_TRM_Fixtures[[#This Row],[Fixture Watts  (TRM Data)]], Table_TRM_Fixtures[[#This Row],[Lamp Watts  (TRM Data)]])</f>
        <v>110</v>
      </c>
      <c r="M1367">
        <f>Table_TRM_Fixtures[[#This Row],[No. of Lamps  (TRM Data)]]</f>
        <v>2</v>
      </c>
      <c r="N1367">
        <v>96</v>
      </c>
      <c r="O1367" t="s">
        <v>2211</v>
      </c>
      <c r="P1367" t="s">
        <v>187</v>
      </c>
      <c r="Q1367" t="s">
        <v>5566</v>
      </c>
      <c r="R1367" t="str">
        <f>_xlfn.CONCAT(Table_TRM_Fixtures[[#This Row],[Technology]], ", ", Table_TRM_Fixtures[[#This Row],[Ballast Code]], " Ballast")</f>
        <v>T12, Electronic HLO Ballast</v>
      </c>
      <c r="S1367" t="str">
        <f>Table_TRM_Fixtures[[#This Row],[Description  (TRM Data)]]</f>
        <v>Fluorescent, (2) 96", STD HO lamps</v>
      </c>
      <c r="T1367" t="str">
        <f>Table_TRM_Fixtures[[#This Row],[Fixture code  (TRM Data)]]</f>
        <v>F82SHL</v>
      </c>
      <c r="U1367" t="s">
        <v>2882</v>
      </c>
      <c r="V1367" t="s">
        <v>186</v>
      </c>
      <c r="W1367" t="s">
        <v>5764</v>
      </c>
      <c r="X1367">
        <v>160</v>
      </c>
      <c r="Y1367" t="str">
        <f>_xlfn.CONCAT(Table_TRM_Fixtures[[#This Row],[Combined Lighting/Ballast Types]],":",Table_TRM_Fixtures[[#This Row],[No. of Lamps]], ":", Table_TRM_Fixtures[[#This Row],[Lamp Watts  (TRM Data)]])</f>
        <v>T12, Electronic HLO Ballast:2:110</v>
      </c>
      <c r="Z1367"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T12:2:110</v>
      </c>
      <c r="AA1367">
        <f>IF(Table_TRM_Fixtures[[#This Row],[Pre-EISA Baseline]]="Nominal", Table_TRM_Fixtures[[#This Row],[Fixture Watts  (TRM Data)]], Table_TRM_Fixtures[[#This Row],[Modified Baseline Fixture Watts]])</f>
        <v>160</v>
      </c>
    </row>
    <row r="1368" spans="1:27" x14ac:dyDescent="0.2">
      <c r="A1368" t="s">
        <v>2447</v>
      </c>
      <c r="B1368" t="s">
        <v>5851</v>
      </c>
      <c r="C1368" t="s">
        <v>2444</v>
      </c>
      <c r="D1368" t="s">
        <v>5853</v>
      </c>
      <c r="E1368" t="s">
        <v>1309</v>
      </c>
      <c r="F1368">
        <v>2</v>
      </c>
      <c r="G1368">
        <v>110</v>
      </c>
      <c r="H1368">
        <v>207</v>
      </c>
      <c r="I1368">
        <v>8.5</v>
      </c>
      <c r="J1368" s="110">
        <v>1366</v>
      </c>
      <c r="K1368" t="s">
        <v>2196</v>
      </c>
      <c r="L1368">
        <f>IF(Table_TRM_Fixtures[[#This Row],[Technology]]="LED", Table_TRM_Fixtures[[#This Row],[Fixture Watts  (TRM Data)]], Table_TRM_Fixtures[[#This Row],[Lamp Watts  (TRM Data)]])</f>
        <v>110</v>
      </c>
      <c r="M1368">
        <f>Table_TRM_Fixtures[[#This Row],[No. of Lamps  (TRM Data)]]</f>
        <v>2</v>
      </c>
      <c r="N1368">
        <v>96</v>
      </c>
      <c r="O1368" t="s">
        <v>2211</v>
      </c>
      <c r="P1368" t="s">
        <v>2640</v>
      </c>
      <c r="Q1368" t="s">
        <v>5781</v>
      </c>
      <c r="R1368" t="str">
        <f>_xlfn.CONCAT(Table_TRM_Fixtures[[#This Row],[Technology]], ", ", Table_TRM_Fixtures[[#This Row],[Ballast Code]], " Ballast")</f>
        <v>T12, Magnetic HLO Ballast</v>
      </c>
      <c r="S1368" t="str">
        <f>Table_TRM_Fixtures[[#This Row],[Description  (TRM Data)]]</f>
        <v>Fluorescent, (2) 96", STD HO lamps</v>
      </c>
      <c r="T1368" t="str">
        <f>Table_TRM_Fixtures[[#This Row],[Fixture code  (TRM Data)]]</f>
        <v>F82SHS</v>
      </c>
      <c r="U1368" t="s">
        <v>2882</v>
      </c>
      <c r="V1368" t="s">
        <v>186</v>
      </c>
      <c r="W1368" t="s">
        <v>5764</v>
      </c>
      <c r="X1368">
        <v>160</v>
      </c>
      <c r="Y1368" t="s">
        <v>4815</v>
      </c>
      <c r="Z1368" t="s">
        <v>4815</v>
      </c>
      <c r="AA1368">
        <f>IF(Table_TRM_Fixtures[[#This Row],[Pre-EISA Baseline]]="Nominal", Table_TRM_Fixtures[[#This Row],[Fixture Watts  (TRM Data)]], Table_TRM_Fixtures[[#This Row],[Modified Baseline Fixture Watts]])</f>
        <v>160</v>
      </c>
    </row>
    <row r="1369" spans="1:27" x14ac:dyDescent="0.2">
      <c r="A1369" t="s">
        <v>2449</v>
      </c>
      <c r="B1369" t="s">
        <v>5851</v>
      </c>
      <c r="C1369" t="s">
        <v>2448</v>
      </c>
      <c r="D1369" t="s">
        <v>5854</v>
      </c>
      <c r="E1369" t="s">
        <v>1722</v>
      </c>
      <c r="F1369">
        <v>3</v>
      </c>
      <c r="G1369">
        <v>110</v>
      </c>
      <c r="H1369">
        <v>319</v>
      </c>
      <c r="I1369">
        <v>8.5</v>
      </c>
      <c r="J1369" s="110">
        <v>1367</v>
      </c>
      <c r="K1369" t="s">
        <v>2196</v>
      </c>
      <c r="L1369">
        <f>IF(Table_TRM_Fixtures[[#This Row],[Technology]]="LED", Table_TRM_Fixtures[[#This Row],[Fixture Watts  (TRM Data)]], Table_TRM_Fixtures[[#This Row],[Lamp Watts  (TRM Data)]])</f>
        <v>110</v>
      </c>
      <c r="M1369">
        <f>Table_TRM_Fixtures[[#This Row],[No. of Lamps  (TRM Data)]]</f>
        <v>3</v>
      </c>
      <c r="N1369">
        <v>96</v>
      </c>
      <c r="O1369" t="s">
        <v>2211</v>
      </c>
      <c r="P1369" t="s">
        <v>2640</v>
      </c>
      <c r="Q1369" t="s">
        <v>5781</v>
      </c>
      <c r="R1369" t="str">
        <f>_xlfn.CONCAT(Table_TRM_Fixtures[[#This Row],[Technology]], ", ", Table_TRM_Fixtures[[#This Row],[Ballast Code]], " Ballast")</f>
        <v>T12, Magnetic HLO Ballast</v>
      </c>
      <c r="S1369" t="str">
        <f>Table_TRM_Fixtures[[#This Row],[Description  (TRM Data)]]</f>
        <v>Fluorescent, (3) 96", STD HO lamps</v>
      </c>
      <c r="T1369" t="str">
        <f>Table_TRM_Fixtures[[#This Row],[Fixture code  (TRM Data)]]</f>
        <v>F83SHE</v>
      </c>
      <c r="U1369" t="s">
        <v>2882</v>
      </c>
      <c r="V1369" t="s">
        <v>186</v>
      </c>
      <c r="W1369" t="s">
        <v>5764</v>
      </c>
      <c r="X1369">
        <v>261</v>
      </c>
      <c r="Y1369" t="str">
        <f>_xlfn.CONCAT(Table_TRM_Fixtures[[#This Row],[Combined Lighting/Ballast Types]],":",Table_TRM_Fixtures[[#This Row],[No. of Lamps]], ":", Table_TRM_Fixtures[[#This Row],[Lamp Watts  (TRM Data)]])</f>
        <v>T12, Magnetic HLO Ballast:3:110</v>
      </c>
      <c r="Z1369"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T12:3:110</v>
      </c>
      <c r="AA1369">
        <f>IF(Table_TRM_Fixtures[[#This Row],[Pre-EISA Baseline]]="Nominal", Table_TRM_Fixtures[[#This Row],[Fixture Watts  (TRM Data)]], Table_TRM_Fixtures[[#This Row],[Modified Baseline Fixture Watts]])</f>
        <v>261</v>
      </c>
    </row>
    <row r="1370" spans="1:27" x14ac:dyDescent="0.2">
      <c r="A1370" t="s">
        <v>2450</v>
      </c>
      <c r="B1370" t="s">
        <v>5851</v>
      </c>
      <c r="C1370" t="s">
        <v>2448</v>
      </c>
      <c r="D1370" t="s">
        <v>5854</v>
      </c>
      <c r="E1370" t="s">
        <v>1309</v>
      </c>
      <c r="F1370">
        <v>3</v>
      </c>
      <c r="G1370">
        <v>110</v>
      </c>
      <c r="H1370">
        <v>319</v>
      </c>
      <c r="I1370">
        <v>8.5</v>
      </c>
      <c r="J1370" s="110">
        <v>1368</v>
      </c>
      <c r="K1370" t="s">
        <v>2196</v>
      </c>
      <c r="L1370">
        <f>IF(Table_TRM_Fixtures[[#This Row],[Technology]]="LED", Table_TRM_Fixtures[[#This Row],[Fixture Watts  (TRM Data)]], Table_TRM_Fixtures[[#This Row],[Lamp Watts  (TRM Data)]])</f>
        <v>110</v>
      </c>
      <c r="M1370">
        <f>Table_TRM_Fixtures[[#This Row],[No. of Lamps  (TRM Data)]]</f>
        <v>3</v>
      </c>
      <c r="N1370">
        <v>96</v>
      </c>
      <c r="O1370" t="s">
        <v>2211</v>
      </c>
      <c r="P1370" t="s">
        <v>2640</v>
      </c>
      <c r="Q1370" t="s">
        <v>5781</v>
      </c>
      <c r="R1370" t="str">
        <f>_xlfn.CONCAT(Table_TRM_Fixtures[[#This Row],[Technology]], ", ", Table_TRM_Fixtures[[#This Row],[Ballast Code]], " Ballast")</f>
        <v>T12, Magnetic HLO Ballast</v>
      </c>
      <c r="S1370" t="str">
        <f>Table_TRM_Fixtures[[#This Row],[Description  (TRM Data)]]</f>
        <v>Fluorescent, (3) 96", STD HO lamps</v>
      </c>
      <c r="T1370" t="str">
        <f>Table_TRM_Fixtures[[#This Row],[Fixture code  (TRM Data)]]</f>
        <v>F83SHS</v>
      </c>
      <c r="U1370" t="s">
        <v>2882</v>
      </c>
      <c r="V1370" t="s">
        <v>186</v>
      </c>
      <c r="W1370" t="s">
        <v>5764</v>
      </c>
      <c r="X1370">
        <v>261</v>
      </c>
      <c r="Y1370" t="s">
        <v>4815</v>
      </c>
      <c r="Z1370" t="s">
        <v>4815</v>
      </c>
      <c r="AA1370">
        <f>IF(Table_TRM_Fixtures[[#This Row],[Pre-EISA Baseline]]="Nominal", Table_TRM_Fixtures[[#This Row],[Fixture Watts  (TRM Data)]], Table_TRM_Fixtures[[#This Row],[Modified Baseline Fixture Watts]])</f>
        <v>261</v>
      </c>
    </row>
    <row r="1371" spans="1:27" x14ac:dyDescent="0.2">
      <c r="A1371" t="s">
        <v>2452</v>
      </c>
      <c r="B1371" t="s">
        <v>5851</v>
      </c>
      <c r="C1371" t="s">
        <v>2451</v>
      </c>
      <c r="D1371" t="s">
        <v>5855</v>
      </c>
      <c r="E1371" t="s">
        <v>1722</v>
      </c>
      <c r="F1371">
        <v>4</v>
      </c>
      <c r="G1371">
        <v>110</v>
      </c>
      <c r="H1371">
        <v>414</v>
      </c>
      <c r="I1371">
        <v>8.5</v>
      </c>
      <c r="J1371" s="110">
        <v>1369</v>
      </c>
      <c r="K1371" t="s">
        <v>2196</v>
      </c>
      <c r="L1371">
        <f>IF(Table_TRM_Fixtures[[#This Row],[Technology]]="LED", Table_TRM_Fixtures[[#This Row],[Fixture Watts  (TRM Data)]], Table_TRM_Fixtures[[#This Row],[Lamp Watts  (TRM Data)]])</f>
        <v>110</v>
      </c>
      <c r="M1371">
        <f>Table_TRM_Fixtures[[#This Row],[No. of Lamps  (TRM Data)]]</f>
        <v>4</v>
      </c>
      <c r="N1371">
        <v>96</v>
      </c>
      <c r="O1371" t="s">
        <v>2211</v>
      </c>
      <c r="P1371" t="s">
        <v>2640</v>
      </c>
      <c r="Q1371" t="s">
        <v>5781</v>
      </c>
      <c r="R1371" t="str">
        <f>_xlfn.CONCAT(Table_TRM_Fixtures[[#This Row],[Technology]], ", ", Table_TRM_Fixtures[[#This Row],[Ballast Code]], " Ballast")</f>
        <v>T12, Magnetic HLO Ballast</v>
      </c>
      <c r="S1371" t="str">
        <f>Table_TRM_Fixtures[[#This Row],[Description  (TRM Data)]]</f>
        <v>Fluorescent, (4) 96", STD HO lamps</v>
      </c>
      <c r="T1371" t="str">
        <f>Table_TRM_Fixtures[[#This Row],[Fixture code  (TRM Data)]]</f>
        <v>F84SHE</v>
      </c>
      <c r="U1371" t="s">
        <v>2882</v>
      </c>
      <c r="V1371" t="s">
        <v>186</v>
      </c>
      <c r="W1371" t="s">
        <v>5764</v>
      </c>
      <c r="X1371">
        <v>319</v>
      </c>
      <c r="Y1371" t="s">
        <v>4815</v>
      </c>
      <c r="Z1371" t="s">
        <v>4815</v>
      </c>
      <c r="AA1371">
        <f>IF(Table_TRM_Fixtures[[#This Row],[Pre-EISA Baseline]]="Nominal", Table_TRM_Fixtures[[#This Row],[Fixture Watts  (TRM Data)]], Table_TRM_Fixtures[[#This Row],[Modified Baseline Fixture Watts]])</f>
        <v>319</v>
      </c>
    </row>
    <row r="1372" spans="1:27" x14ac:dyDescent="0.2">
      <c r="A1372" t="s">
        <v>2453</v>
      </c>
      <c r="B1372" t="s">
        <v>5851</v>
      </c>
      <c r="C1372" t="s">
        <v>2451</v>
      </c>
      <c r="D1372" t="s">
        <v>5855</v>
      </c>
      <c r="E1372" t="s">
        <v>187</v>
      </c>
      <c r="F1372">
        <v>4</v>
      </c>
      <c r="G1372">
        <v>110</v>
      </c>
      <c r="H1372">
        <v>346</v>
      </c>
      <c r="I1372">
        <v>15.5</v>
      </c>
      <c r="J1372" s="110">
        <v>1370</v>
      </c>
      <c r="K1372" t="s">
        <v>2196</v>
      </c>
      <c r="L1372">
        <f>IF(Table_TRM_Fixtures[[#This Row],[Technology]]="LED", Table_TRM_Fixtures[[#This Row],[Fixture Watts  (TRM Data)]], Table_TRM_Fixtures[[#This Row],[Lamp Watts  (TRM Data)]])</f>
        <v>110</v>
      </c>
      <c r="M1372">
        <f>Table_TRM_Fixtures[[#This Row],[No. of Lamps  (TRM Data)]]</f>
        <v>4</v>
      </c>
      <c r="N1372">
        <v>96</v>
      </c>
      <c r="O1372" t="s">
        <v>2211</v>
      </c>
      <c r="P1372" t="s">
        <v>187</v>
      </c>
      <c r="Q1372" t="s">
        <v>5566</v>
      </c>
      <c r="R1372" t="str">
        <f>_xlfn.CONCAT(Table_TRM_Fixtures[[#This Row],[Technology]], ", ", Table_TRM_Fixtures[[#This Row],[Ballast Code]], " Ballast")</f>
        <v>T12, Electronic HLO Ballast</v>
      </c>
      <c r="S1372" t="str">
        <f>Table_TRM_Fixtures[[#This Row],[Description  (TRM Data)]]</f>
        <v>Fluorescent, (4) 96", STD HO lamps</v>
      </c>
      <c r="T1372" t="str">
        <f>Table_TRM_Fixtures[[#This Row],[Fixture code  (TRM Data)]]</f>
        <v>F84SHL</v>
      </c>
      <c r="U1372" t="s">
        <v>2882</v>
      </c>
      <c r="V1372" t="s">
        <v>186</v>
      </c>
      <c r="W1372" t="s">
        <v>5764</v>
      </c>
      <c r="X1372">
        <v>319</v>
      </c>
      <c r="Y1372" t="str">
        <f>_xlfn.CONCAT(Table_TRM_Fixtures[[#This Row],[Combined Lighting/Ballast Types]],":",Table_TRM_Fixtures[[#This Row],[No. of Lamps]], ":", Table_TRM_Fixtures[[#This Row],[Lamp Watts  (TRM Data)]])</f>
        <v>T12, Electronic HLO Ballast:4:110</v>
      </c>
      <c r="Z1372"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T12:4:110</v>
      </c>
      <c r="AA1372">
        <f>IF(Table_TRM_Fixtures[[#This Row],[Pre-EISA Baseline]]="Nominal", Table_TRM_Fixtures[[#This Row],[Fixture Watts  (TRM Data)]], Table_TRM_Fixtures[[#This Row],[Modified Baseline Fixture Watts]])</f>
        <v>319</v>
      </c>
    </row>
    <row r="1373" spans="1:27" x14ac:dyDescent="0.2">
      <c r="A1373" t="s">
        <v>2454</v>
      </c>
      <c r="B1373" t="s">
        <v>5851</v>
      </c>
      <c r="C1373" t="s">
        <v>2451</v>
      </c>
      <c r="D1373" t="s">
        <v>5855</v>
      </c>
      <c r="E1373" t="s">
        <v>1309</v>
      </c>
      <c r="F1373">
        <v>4</v>
      </c>
      <c r="G1373">
        <v>110</v>
      </c>
      <c r="H1373">
        <v>414</v>
      </c>
      <c r="I1373">
        <v>8.5</v>
      </c>
      <c r="J1373" s="110">
        <v>1371</v>
      </c>
      <c r="K1373" t="s">
        <v>2196</v>
      </c>
      <c r="L1373">
        <f>IF(Table_TRM_Fixtures[[#This Row],[Technology]]="LED", Table_TRM_Fixtures[[#This Row],[Fixture Watts  (TRM Data)]], Table_TRM_Fixtures[[#This Row],[Lamp Watts  (TRM Data)]])</f>
        <v>110</v>
      </c>
      <c r="M1373">
        <f>Table_TRM_Fixtures[[#This Row],[No. of Lamps  (TRM Data)]]</f>
        <v>4</v>
      </c>
      <c r="N1373">
        <v>96</v>
      </c>
      <c r="O1373" t="s">
        <v>2211</v>
      </c>
      <c r="P1373" t="s">
        <v>2640</v>
      </c>
      <c r="Q1373" t="s">
        <v>5781</v>
      </c>
      <c r="R1373" t="str">
        <f>_xlfn.CONCAT(Table_TRM_Fixtures[[#This Row],[Technology]], ", ", Table_TRM_Fixtures[[#This Row],[Ballast Code]], " Ballast")</f>
        <v>T12, Magnetic HLO Ballast</v>
      </c>
      <c r="S1373" t="str">
        <f>Table_TRM_Fixtures[[#This Row],[Description  (TRM Data)]]</f>
        <v>Fluorescent, (4) 96", STD HO lamps</v>
      </c>
      <c r="T1373" t="str">
        <f>Table_TRM_Fixtures[[#This Row],[Fixture code  (TRM Data)]]</f>
        <v>F84SHS</v>
      </c>
      <c r="U1373" t="s">
        <v>2882</v>
      </c>
      <c r="V1373" t="s">
        <v>186</v>
      </c>
      <c r="W1373" t="s">
        <v>5764</v>
      </c>
      <c r="X1373">
        <v>319</v>
      </c>
      <c r="Y1373" t="s">
        <v>4815</v>
      </c>
      <c r="Z1373" t="s">
        <v>4815</v>
      </c>
      <c r="AA1373">
        <f>IF(Table_TRM_Fixtures[[#This Row],[Pre-EISA Baseline]]="Nominal", Table_TRM_Fixtures[[#This Row],[Fixture Watts  (TRM Data)]], Table_TRM_Fixtures[[#This Row],[Modified Baseline Fixture Watts]])</f>
        <v>319</v>
      </c>
    </row>
    <row r="1374" spans="1:27" x14ac:dyDescent="0.2">
      <c r="A1374" t="s">
        <v>2456</v>
      </c>
      <c r="B1374" t="s">
        <v>5851</v>
      </c>
      <c r="C1374" t="s">
        <v>2455</v>
      </c>
      <c r="D1374" t="s">
        <v>5856</v>
      </c>
      <c r="E1374" t="s">
        <v>1309</v>
      </c>
      <c r="F1374">
        <v>8</v>
      </c>
      <c r="G1374">
        <v>110</v>
      </c>
      <c r="H1374">
        <v>828</v>
      </c>
      <c r="I1374">
        <v>8.5</v>
      </c>
      <c r="J1374" s="110">
        <v>1372</v>
      </c>
      <c r="K1374" t="s">
        <v>2196</v>
      </c>
      <c r="L1374">
        <f>IF(Table_TRM_Fixtures[[#This Row],[Technology]]="LED", Table_TRM_Fixtures[[#This Row],[Fixture Watts  (TRM Data)]], Table_TRM_Fixtures[[#This Row],[Lamp Watts  (TRM Data)]])</f>
        <v>110</v>
      </c>
      <c r="M1374">
        <f>Table_TRM_Fixtures[[#This Row],[No. of Lamps  (TRM Data)]]</f>
        <v>8</v>
      </c>
      <c r="N1374">
        <v>96</v>
      </c>
      <c r="O1374" t="s">
        <v>2211</v>
      </c>
      <c r="P1374" t="s">
        <v>2640</v>
      </c>
      <c r="Q1374" t="s">
        <v>5781</v>
      </c>
      <c r="R1374" t="str">
        <f>_xlfn.CONCAT(Table_TRM_Fixtures[[#This Row],[Technology]], ", ", Table_TRM_Fixtures[[#This Row],[Ballast Code]], " Ballast")</f>
        <v>T12, Magnetic HLO Ballast</v>
      </c>
      <c r="S1374" t="str">
        <f>Table_TRM_Fixtures[[#This Row],[Description  (TRM Data)]]</f>
        <v>Fluorescent, (8) 96", STD HO lamps</v>
      </c>
      <c r="T1374" t="str">
        <f>Table_TRM_Fixtures[[#This Row],[Fixture code  (TRM Data)]]</f>
        <v>F88SHS</v>
      </c>
      <c r="U1374" t="s">
        <v>2882</v>
      </c>
      <c r="V1374" t="s">
        <v>186</v>
      </c>
      <c r="W1374" t="s">
        <v>5764</v>
      </c>
      <c r="X1374">
        <v>638</v>
      </c>
      <c r="Y1374" t="str">
        <f>_xlfn.CONCAT(Table_TRM_Fixtures[[#This Row],[Combined Lighting/Ballast Types]],":",Table_TRM_Fixtures[[#This Row],[No. of Lamps]], ":", Table_TRM_Fixtures[[#This Row],[Lamp Watts  (TRM Data)]])</f>
        <v>T12, Magnetic HLO Ballast:8:110</v>
      </c>
      <c r="Z1374"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T12:8:110</v>
      </c>
      <c r="AA1374">
        <f>IF(Table_TRM_Fixtures[[#This Row],[Pre-EISA Baseline]]="Nominal", Table_TRM_Fixtures[[#This Row],[Fixture Watts  (TRM Data)]], Table_TRM_Fixtures[[#This Row],[Modified Baseline Fixture Watts]])</f>
        <v>638</v>
      </c>
    </row>
    <row r="1375" spans="1:27" x14ac:dyDescent="0.2">
      <c r="A1375" t="s">
        <v>2458</v>
      </c>
      <c r="B1375" t="s">
        <v>5857</v>
      </c>
      <c r="C1375" t="s">
        <v>2457</v>
      </c>
      <c r="D1375" t="s">
        <v>5858</v>
      </c>
      <c r="E1375" t="s">
        <v>187</v>
      </c>
      <c r="F1375">
        <v>1</v>
      </c>
      <c r="G1375">
        <v>95</v>
      </c>
      <c r="H1375">
        <v>80</v>
      </c>
      <c r="I1375">
        <v>15.5</v>
      </c>
      <c r="J1375" s="110">
        <v>1373</v>
      </c>
      <c r="K1375" t="s">
        <v>2196</v>
      </c>
      <c r="L1375">
        <f>IF(Table_TRM_Fixtures[[#This Row],[Technology]]="LED", Table_TRM_Fixtures[[#This Row],[Fixture Watts  (TRM Data)]], Table_TRM_Fixtures[[#This Row],[Lamp Watts  (TRM Data)]])</f>
        <v>95</v>
      </c>
      <c r="M1375">
        <f>Table_TRM_Fixtures[[#This Row],[No. of Lamps  (TRM Data)]]</f>
        <v>1</v>
      </c>
      <c r="N1375">
        <v>96</v>
      </c>
      <c r="O1375" t="s">
        <v>2211</v>
      </c>
      <c r="P1375" t="s">
        <v>187</v>
      </c>
      <c r="Q1375" t="s">
        <v>5566</v>
      </c>
      <c r="R1375" t="str">
        <f>_xlfn.CONCAT(Table_TRM_Fixtures[[#This Row],[Technology]], ", ", Table_TRM_Fixtures[[#This Row],[Ballast Code]], " Ballast")</f>
        <v>T12, Electronic HLO Ballast</v>
      </c>
      <c r="S1375" t="str">
        <f>Table_TRM_Fixtures[[#This Row],[Description  (TRM Data)]]</f>
        <v>Fluorescent, (1) 96", ES HO lamp</v>
      </c>
      <c r="T1375" t="str">
        <f>Table_TRM_Fixtures[[#This Row],[Fixture code  (TRM Data)]]</f>
        <v>F81EHL</v>
      </c>
      <c r="U1375" t="s">
        <v>2882</v>
      </c>
      <c r="V1375" t="s">
        <v>186</v>
      </c>
      <c r="W1375" t="s">
        <v>5764</v>
      </c>
      <c r="X1375">
        <v>101</v>
      </c>
      <c r="Y1375" t="str">
        <f>_xlfn.CONCAT(Table_TRM_Fixtures[[#This Row],[Combined Lighting/Ballast Types]],":",Table_TRM_Fixtures[[#This Row],[No. of Lamps]], ":", Table_TRM_Fixtures[[#This Row],[Lamp Watts  (TRM Data)]])</f>
        <v>T12, Electronic HLO Ballast:1:95</v>
      </c>
      <c r="Z1375"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T12:1:95</v>
      </c>
      <c r="AA1375">
        <f>IF(Table_TRM_Fixtures[[#This Row],[Pre-EISA Baseline]]="Nominal", Table_TRM_Fixtures[[#This Row],[Fixture Watts  (TRM Data)]], Table_TRM_Fixtures[[#This Row],[Modified Baseline Fixture Watts]])</f>
        <v>101</v>
      </c>
    </row>
    <row r="1376" spans="1:27" x14ac:dyDescent="0.2">
      <c r="A1376" t="s">
        <v>2459</v>
      </c>
      <c r="B1376" t="s">
        <v>5857</v>
      </c>
      <c r="C1376" t="s">
        <v>2457</v>
      </c>
      <c r="D1376" t="s">
        <v>5858</v>
      </c>
      <c r="E1376" t="s">
        <v>1309</v>
      </c>
      <c r="F1376">
        <v>1</v>
      </c>
      <c r="G1376">
        <v>95</v>
      </c>
      <c r="H1376">
        <v>113</v>
      </c>
      <c r="I1376">
        <v>8.5</v>
      </c>
      <c r="J1376" s="110">
        <v>1374</v>
      </c>
      <c r="K1376" t="s">
        <v>2196</v>
      </c>
      <c r="L1376">
        <f>IF(Table_TRM_Fixtures[[#This Row],[Technology]]="LED", Table_TRM_Fixtures[[#This Row],[Fixture Watts  (TRM Data)]], Table_TRM_Fixtures[[#This Row],[Lamp Watts  (TRM Data)]])</f>
        <v>95</v>
      </c>
      <c r="M1376">
        <f>Table_TRM_Fixtures[[#This Row],[No. of Lamps  (TRM Data)]]</f>
        <v>1</v>
      </c>
      <c r="N1376">
        <v>96</v>
      </c>
      <c r="O1376" t="s">
        <v>2211</v>
      </c>
      <c r="P1376" t="s">
        <v>2640</v>
      </c>
      <c r="Q1376" t="s">
        <v>5781</v>
      </c>
      <c r="R1376" t="str">
        <f>_xlfn.CONCAT(Table_TRM_Fixtures[[#This Row],[Technology]], ", ", Table_TRM_Fixtures[[#This Row],[Ballast Code]], " Ballast")</f>
        <v>T12, Magnetic HLO Ballast</v>
      </c>
      <c r="S1376" t="str">
        <f>Table_TRM_Fixtures[[#This Row],[Description  (TRM Data)]]</f>
        <v>Fluorescent, (1) 96", ES HO lamp</v>
      </c>
      <c r="T1376" t="str">
        <f>Table_TRM_Fixtures[[#This Row],[Fixture code  (TRM Data)]]</f>
        <v>F81EHS</v>
      </c>
      <c r="U1376" t="s">
        <v>2882</v>
      </c>
      <c r="V1376" t="s">
        <v>186</v>
      </c>
      <c r="W1376" t="s">
        <v>5764</v>
      </c>
      <c r="X1376">
        <v>101</v>
      </c>
      <c r="Y1376" t="str">
        <f>_xlfn.CONCAT(Table_TRM_Fixtures[[#This Row],[Combined Lighting/Ballast Types]],":",Table_TRM_Fixtures[[#This Row],[No. of Lamps]], ":", Table_TRM_Fixtures[[#This Row],[Lamp Watts  (TRM Data)]])</f>
        <v>T12, Magnetic HLO Ballast:1:95</v>
      </c>
      <c r="Z1376" t="s">
        <v>4815</v>
      </c>
      <c r="AA1376">
        <f>IF(Table_TRM_Fixtures[[#This Row],[Pre-EISA Baseline]]="Nominal", Table_TRM_Fixtures[[#This Row],[Fixture Watts  (TRM Data)]], Table_TRM_Fixtures[[#This Row],[Modified Baseline Fixture Watts]])</f>
        <v>101</v>
      </c>
    </row>
    <row r="1377" spans="1:27" x14ac:dyDescent="0.2">
      <c r="A1377" t="s">
        <v>2461</v>
      </c>
      <c r="B1377" t="s">
        <v>5857</v>
      </c>
      <c r="C1377" t="s">
        <v>2460</v>
      </c>
      <c r="D1377" t="s">
        <v>5859</v>
      </c>
      <c r="E1377" t="s">
        <v>1722</v>
      </c>
      <c r="F1377">
        <v>2</v>
      </c>
      <c r="G1377">
        <v>95</v>
      </c>
      <c r="H1377">
        <v>207</v>
      </c>
      <c r="I1377">
        <v>8.5</v>
      </c>
      <c r="J1377" s="110">
        <v>1375</v>
      </c>
      <c r="K1377" t="s">
        <v>2196</v>
      </c>
      <c r="L1377">
        <f>IF(Table_TRM_Fixtures[[#This Row],[Technology]]="LED", Table_TRM_Fixtures[[#This Row],[Fixture Watts  (TRM Data)]], Table_TRM_Fixtures[[#This Row],[Lamp Watts  (TRM Data)]])</f>
        <v>95</v>
      </c>
      <c r="M1377">
        <f>Table_TRM_Fixtures[[#This Row],[No. of Lamps  (TRM Data)]]</f>
        <v>2</v>
      </c>
      <c r="N1377">
        <v>96</v>
      </c>
      <c r="O1377" t="s">
        <v>2211</v>
      </c>
      <c r="P1377" t="s">
        <v>2640</v>
      </c>
      <c r="Q1377" t="s">
        <v>5781</v>
      </c>
      <c r="R1377" t="str">
        <f>_xlfn.CONCAT(Table_TRM_Fixtures[[#This Row],[Technology]], ", ", Table_TRM_Fixtures[[#This Row],[Ballast Code]], " Ballast")</f>
        <v>T12, Magnetic HLO Ballast</v>
      </c>
      <c r="S1377" t="str">
        <f>Table_TRM_Fixtures[[#This Row],[Description  (TRM Data)]]</f>
        <v>Fluorescent, (2) 96", ES HO lamps</v>
      </c>
      <c r="T1377" t="str">
        <f>Table_TRM_Fixtures[[#This Row],[Fixture code  (TRM Data)]]</f>
        <v>F82EHE</v>
      </c>
      <c r="U1377" t="s">
        <v>2882</v>
      </c>
      <c r="V1377" t="s">
        <v>186</v>
      </c>
      <c r="W1377" t="s">
        <v>5764</v>
      </c>
      <c r="X1377">
        <v>160</v>
      </c>
      <c r="Y1377" t="s">
        <v>4815</v>
      </c>
      <c r="Z1377" t="s">
        <v>4815</v>
      </c>
      <c r="AA1377">
        <f>IF(Table_TRM_Fixtures[[#This Row],[Pre-EISA Baseline]]="Nominal", Table_TRM_Fixtures[[#This Row],[Fixture Watts  (TRM Data)]], Table_TRM_Fixtures[[#This Row],[Modified Baseline Fixture Watts]])</f>
        <v>160</v>
      </c>
    </row>
    <row r="1378" spans="1:27" x14ac:dyDescent="0.2">
      <c r="A1378" t="s">
        <v>2462</v>
      </c>
      <c r="B1378" t="s">
        <v>5857</v>
      </c>
      <c r="C1378" t="s">
        <v>2460</v>
      </c>
      <c r="D1378" t="s">
        <v>5859</v>
      </c>
      <c r="E1378" t="s">
        <v>187</v>
      </c>
      <c r="F1378">
        <v>2</v>
      </c>
      <c r="G1378">
        <v>95</v>
      </c>
      <c r="H1378">
        <v>173</v>
      </c>
      <c r="I1378">
        <v>15.5</v>
      </c>
      <c r="J1378" s="110">
        <v>1376</v>
      </c>
      <c r="K1378" t="s">
        <v>2196</v>
      </c>
      <c r="L1378">
        <f>IF(Table_TRM_Fixtures[[#This Row],[Technology]]="LED", Table_TRM_Fixtures[[#This Row],[Fixture Watts  (TRM Data)]], Table_TRM_Fixtures[[#This Row],[Lamp Watts  (TRM Data)]])</f>
        <v>95</v>
      </c>
      <c r="M1378">
        <f>Table_TRM_Fixtures[[#This Row],[No. of Lamps  (TRM Data)]]</f>
        <v>2</v>
      </c>
      <c r="N1378">
        <v>96</v>
      </c>
      <c r="O1378" t="s">
        <v>2211</v>
      </c>
      <c r="P1378" t="s">
        <v>187</v>
      </c>
      <c r="Q1378" t="s">
        <v>5566</v>
      </c>
      <c r="R1378" t="str">
        <f>_xlfn.CONCAT(Table_TRM_Fixtures[[#This Row],[Technology]], ", ", Table_TRM_Fixtures[[#This Row],[Ballast Code]], " Ballast")</f>
        <v>T12, Electronic HLO Ballast</v>
      </c>
      <c r="S1378" t="str">
        <f>Table_TRM_Fixtures[[#This Row],[Description  (TRM Data)]]</f>
        <v>Fluorescent, (2) 96", ES HO lamps</v>
      </c>
      <c r="T1378" t="str">
        <f>Table_TRM_Fixtures[[#This Row],[Fixture code  (TRM Data)]]</f>
        <v>F82EHL</v>
      </c>
      <c r="U1378" t="s">
        <v>2882</v>
      </c>
      <c r="V1378" t="s">
        <v>186</v>
      </c>
      <c r="W1378" t="s">
        <v>5764</v>
      </c>
      <c r="X1378">
        <v>160</v>
      </c>
      <c r="Y1378" t="str">
        <f>_xlfn.CONCAT(Table_TRM_Fixtures[[#This Row],[Combined Lighting/Ballast Types]],":",Table_TRM_Fixtures[[#This Row],[No. of Lamps]], ":", Table_TRM_Fixtures[[#This Row],[Lamp Watts  (TRM Data)]])</f>
        <v>T12, Electronic HLO Ballast:2:95</v>
      </c>
      <c r="Z1378"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T12:2:95</v>
      </c>
      <c r="AA1378">
        <f>IF(Table_TRM_Fixtures[[#This Row],[Pre-EISA Baseline]]="Nominal", Table_TRM_Fixtures[[#This Row],[Fixture Watts  (TRM Data)]], Table_TRM_Fixtures[[#This Row],[Modified Baseline Fixture Watts]])</f>
        <v>160</v>
      </c>
    </row>
    <row r="1379" spans="1:27" x14ac:dyDescent="0.2">
      <c r="A1379" t="s">
        <v>2463</v>
      </c>
      <c r="B1379" t="s">
        <v>5857</v>
      </c>
      <c r="C1379" t="s">
        <v>2460</v>
      </c>
      <c r="D1379" t="s">
        <v>5859</v>
      </c>
      <c r="E1379" t="s">
        <v>1309</v>
      </c>
      <c r="F1379">
        <v>2</v>
      </c>
      <c r="G1379">
        <v>95</v>
      </c>
      <c r="H1379">
        <v>207</v>
      </c>
      <c r="I1379">
        <v>8.5</v>
      </c>
      <c r="J1379" s="110">
        <v>1377</v>
      </c>
      <c r="K1379" t="s">
        <v>2196</v>
      </c>
      <c r="L1379">
        <f>IF(Table_TRM_Fixtures[[#This Row],[Technology]]="LED", Table_TRM_Fixtures[[#This Row],[Fixture Watts  (TRM Data)]], Table_TRM_Fixtures[[#This Row],[Lamp Watts  (TRM Data)]])</f>
        <v>95</v>
      </c>
      <c r="M1379">
        <f>Table_TRM_Fixtures[[#This Row],[No. of Lamps  (TRM Data)]]</f>
        <v>2</v>
      </c>
      <c r="N1379">
        <v>96</v>
      </c>
      <c r="O1379" t="s">
        <v>2211</v>
      </c>
      <c r="P1379" t="s">
        <v>2640</v>
      </c>
      <c r="Q1379" t="s">
        <v>5781</v>
      </c>
      <c r="R1379" t="str">
        <f>_xlfn.CONCAT(Table_TRM_Fixtures[[#This Row],[Technology]], ", ", Table_TRM_Fixtures[[#This Row],[Ballast Code]], " Ballast")</f>
        <v>T12, Magnetic HLO Ballast</v>
      </c>
      <c r="S1379" t="str">
        <f>Table_TRM_Fixtures[[#This Row],[Description  (TRM Data)]]</f>
        <v>Fluorescent, (2) 96", ES HO lamps</v>
      </c>
      <c r="T1379" t="str">
        <f>Table_TRM_Fixtures[[#This Row],[Fixture code  (TRM Data)]]</f>
        <v>F82EHS</v>
      </c>
      <c r="U1379" t="s">
        <v>2882</v>
      </c>
      <c r="V1379" t="s">
        <v>186</v>
      </c>
      <c r="W1379" t="s">
        <v>5764</v>
      </c>
      <c r="X1379">
        <v>160</v>
      </c>
      <c r="Y1379" t="s">
        <v>4815</v>
      </c>
      <c r="Z1379" t="s">
        <v>4815</v>
      </c>
      <c r="AA1379">
        <f>IF(Table_TRM_Fixtures[[#This Row],[Pre-EISA Baseline]]="Nominal", Table_TRM_Fixtures[[#This Row],[Fixture Watts  (TRM Data)]], Table_TRM_Fixtures[[#This Row],[Modified Baseline Fixture Watts]])</f>
        <v>160</v>
      </c>
    </row>
    <row r="1380" spans="1:27" x14ac:dyDescent="0.2">
      <c r="A1380" t="s">
        <v>2466</v>
      </c>
      <c r="B1380" t="s">
        <v>5857</v>
      </c>
      <c r="C1380" t="s">
        <v>2465</v>
      </c>
      <c r="D1380" t="s">
        <v>5860</v>
      </c>
      <c r="E1380" t="s">
        <v>2464</v>
      </c>
      <c r="F1380">
        <v>3</v>
      </c>
      <c r="G1380">
        <v>95</v>
      </c>
      <c r="H1380">
        <v>319</v>
      </c>
      <c r="I1380">
        <v>8.5</v>
      </c>
      <c r="J1380" s="110">
        <v>1378</v>
      </c>
      <c r="K1380" t="s">
        <v>2196</v>
      </c>
      <c r="L1380">
        <f>IF(Table_TRM_Fixtures[[#This Row],[Technology]]="LED", Table_TRM_Fixtures[[#This Row],[Fixture Watts  (TRM Data)]], Table_TRM_Fixtures[[#This Row],[Lamp Watts  (TRM Data)]])</f>
        <v>95</v>
      </c>
      <c r="M1380">
        <f>Table_TRM_Fixtures[[#This Row],[No. of Lamps  (TRM Data)]]</f>
        <v>3</v>
      </c>
      <c r="N1380">
        <v>96</v>
      </c>
      <c r="O1380" t="s">
        <v>2211</v>
      </c>
      <c r="P1380" t="s">
        <v>2640</v>
      </c>
      <c r="Q1380" t="s">
        <v>5781</v>
      </c>
      <c r="R1380" t="str">
        <f>_xlfn.CONCAT(Table_TRM_Fixtures[[#This Row],[Technology]], ", ", Table_TRM_Fixtures[[#This Row],[Ballast Code]], " Ballast")</f>
        <v>T12, Magnetic HLO Ballast</v>
      </c>
      <c r="S1380" t="str">
        <f>Table_TRM_Fixtures[[#This Row],[Description  (TRM Data)]]</f>
        <v>Fluorescent, (3) 96", ES HO lamps, (1) 2-lamp ES Ballast and (1) 1-lamp STD Ballast</v>
      </c>
      <c r="T1380" t="str">
        <f>Table_TRM_Fixtures[[#This Row],[Fixture code  (TRM Data)]]</f>
        <v>F83EHE</v>
      </c>
      <c r="U1380" t="s">
        <v>2882</v>
      </c>
      <c r="V1380" t="s">
        <v>186</v>
      </c>
      <c r="W1380" t="s">
        <v>5764</v>
      </c>
      <c r="X1380">
        <v>261</v>
      </c>
      <c r="Y1380" t="s">
        <v>4815</v>
      </c>
      <c r="Z1380" t="s">
        <v>4815</v>
      </c>
      <c r="AA1380">
        <f>IF(Table_TRM_Fixtures[[#This Row],[Pre-EISA Baseline]]="Nominal", Table_TRM_Fixtures[[#This Row],[Fixture Watts  (TRM Data)]], Table_TRM_Fixtures[[#This Row],[Modified Baseline Fixture Watts]])</f>
        <v>261</v>
      </c>
    </row>
    <row r="1381" spans="1:27" x14ac:dyDescent="0.2">
      <c r="A1381" t="s">
        <v>2468</v>
      </c>
      <c r="B1381" t="s">
        <v>5857</v>
      </c>
      <c r="C1381" t="s">
        <v>2467</v>
      </c>
      <c r="D1381" t="s">
        <v>5860</v>
      </c>
      <c r="E1381" t="s">
        <v>1309</v>
      </c>
      <c r="F1381">
        <v>3</v>
      </c>
      <c r="G1381">
        <v>95</v>
      </c>
      <c r="H1381">
        <v>319</v>
      </c>
      <c r="I1381">
        <v>8.5</v>
      </c>
      <c r="J1381" s="110">
        <v>1379</v>
      </c>
      <c r="K1381" t="s">
        <v>2196</v>
      </c>
      <c r="L1381">
        <f>IF(Table_TRM_Fixtures[[#This Row],[Technology]]="LED", Table_TRM_Fixtures[[#This Row],[Fixture Watts  (TRM Data)]], Table_TRM_Fixtures[[#This Row],[Lamp Watts  (TRM Data)]])</f>
        <v>95</v>
      </c>
      <c r="M1381">
        <f>Table_TRM_Fixtures[[#This Row],[No. of Lamps  (TRM Data)]]</f>
        <v>3</v>
      </c>
      <c r="N1381">
        <v>96</v>
      </c>
      <c r="O1381" t="s">
        <v>2211</v>
      </c>
      <c r="P1381" t="s">
        <v>2640</v>
      </c>
      <c r="Q1381" t="s">
        <v>5781</v>
      </c>
      <c r="R1381" t="str">
        <f>_xlfn.CONCAT(Table_TRM_Fixtures[[#This Row],[Technology]], ", ", Table_TRM_Fixtures[[#This Row],[Ballast Code]], " Ballast")</f>
        <v>T12, Magnetic HLO Ballast</v>
      </c>
      <c r="S1381" t="str">
        <f>Table_TRM_Fixtures[[#This Row],[Description  (TRM Data)]]</f>
        <v>Fluorescent, (3) 96", ES HO lamps</v>
      </c>
      <c r="T1381" t="str">
        <f>Table_TRM_Fixtures[[#This Row],[Fixture code  (TRM Data)]]</f>
        <v>F83EHS</v>
      </c>
      <c r="U1381" t="s">
        <v>2882</v>
      </c>
      <c r="V1381" t="s">
        <v>186</v>
      </c>
      <c r="W1381" t="s">
        <v>5764</v>
      </c>
      <c r="X1381">
        <v>261</v>
      </c>
      <c r="Y1381" t="str">
        <f>_xlfn.CONCAT(Table_TRM_Fixtures[[#This Row],[Combined Lighting/Ballast Types]],":",Table_TRM_Fixtures[[#This Row],[No. of Lamps]], ":", Table_TRM_Fixtures[[#This Row],[Lamp Watts  (TRM Data)]])</f>
        <v>T12, Magnetic HLO Ballast:3:95</v>
      </c>
      <c r="Z1381"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T12:3:95</v>
      </c>
      <c r="AA1381">
        <f>IF(Table_TRM_Fixtures[[#This Row],[Pre-EISA Baseline]]="Nominal", Table_TRM_Fixtures[[#This Row],[Fixture Watts  (TRM Data)]], Table_TRM_Fixtures[[#This Row],[Modified Baseline Fixture Watts]])</f>
        <v>261</v>
      </c>
    </row>
    <row r="1382" spans="1:27" x14ac:dyDescent="0.2">
      <c r="A1382" t="s">
        <v>2470</v>
      </c>
      <c r="B1382" t="s">
        <v>5857</v>
      </c>
      <c r="C1382" t="s">
        <v>2469</v>
      </c>
      <c r="D1382" t="s">
        <v>5861</v>
      </c>
      <c r="E1382" t="s">
        <v>1722</v>
      </c>
      <c r="F1382">
        <v>4</v>
      </c>
      <c r="G1382">
        <v>95</v>
      </c>
      <c r="H1382">
        <v>414</v>
      </c>
      <c r="I1382">
        <v>8.5</v>
      </c>
      <c r="J1382" s="110">
        <v>1380</v>
      </c>
      <c r="K1382" t="s">
        <v>2196</v>
      </c>
      <c r="L1382">
        <f>IF(Table_TRM_Fixtures[[#This Row],[Technology]]="LED", Table_TRM_Fixtures[[#This Row],[Fixture Watts  (TRM Data)]], Table_TRM_Fixtures[[#This Row],[Lamp Watts  (TRM Data)]])</f>
        <v>95</v>
      </c>
      <c r="M1382">
        <f>Table_TRM_Fixtures[[#This Row],[No. of Lamps  (TRM Data)]]</f>
        <v>4</v>
      </c>
      <c r="N1382">
        <v>96</v>
      </c>
      <c r="O1382" t="s">
        <v>2211</v>
      </c>
      <c r="P1382" t="s">
        <v>2640</v>
      </c>
      <c r="Q1382" t="s">
        <v>5781</v>
      </c>
      <c r="R1382" t="str">
        <f>_xlfn.CONCAT(Table_TRM_Fixtures[[#This Row],[Technology]], ", ", Table_TRM_Fixtures[[#This Row],[Ballast Code]], " Ballast")</f>
        <v>T12, Magnetic HLO Ballast</v>
      </c>
      <c r="S1382" t="str">
        <f>Table_TRM_Fixtures[[#This Row],[Description  (TRM Data)]]</f>
        <v>Fluorescent, (4) 96", ES HO lamps</v>
      </c>
      <c r="T1382" t="str">
        <f>Table_TRM_Fixtures[[#This Row],[Fixture code  (TRM Data)]]</f>
        <v>F84EHE</v>
      </c>
      <c r="U1382" t="s">
        <v>2882</v>
      </c>
      <c r="V1382" t="s">
        <v>186</v>
      </c>
      <c r="W1382" t="s">
        <v>5764</v>
      </c>
      <c r="X1382">
        <v>319</v>
      </c>
      <c r="Y1382" t="s">
        <v>4815</v>
      </c>
      <c r="Z1382" t="s">
        <v>4815</v>
      </c>
      <c r="AA1382">
        <f>IF(Table_TRM_Fixtures[[#This Row],[Pre-EISA Baseline]]="Nominal", Table_TRM_Fixtures[[#This Row],[Fixture Watts  (TRM Data)]], Table_TRM_Fixtures[[#This Row],[Modified Baseline Fixture Watts]])</f>
        <v>319</v>
      </c>
    </row>
    <row r="1383" spans="1:27" x14ac:dyDescent="0.2">
      <c r="A1383" t="s">
        <v>2471</v>
      </c>
      <c r="B1383" t="s">
        <v>5857</v>
      </c>
      <c r="C1383" t="s">
        <v>2469</v>
      </c>
      <c r="D1383" t="s">
        <v>5861</v>
      </c>
      <c r="E1383" t="s">
        <v>187</v>
      </c>
      <c r="F1383">
        <v>4</v>
      </c>
      <c r="G1383">
        <v>95</v>
      </c>
      <c r="H1383">
        <v>346</v>
      </c>
      <c r="I1383">
        <v>15.5</v>
      </c>
      <c r="J1383" s="110">
        <v>1381</v>
      </c>
      <c r="K1383" t="s">
        <v>2196</v>
      </c>
      <c r="L1383">
        <f>IF(Table_TRM_Fixtures[[#This Row],[Technology]]="LED", Table_TRM_Fixtures[[#This Row],[Fixture Watts  (TRM Data)]], Table_TRM_Fixtures[[#This Row],[Lamp Watts  (TRM Data)]])</f>
        <v>95</v>
      </c>
      <c r="M1383">
        <f>Table_TRM_Fixtures[[#This Row],[No. of Lamps  (TRM Data)]]</f>
        <v>4</v>
      </c>
      <c r="N1383">
        <v>96</v>
      </c>
      <c r="O1383" t="s">
        <v>2211</v>
      </c>
      <c r="P1383" t="s">
        <v>187</v>
      </c>
      <c r="Q1383" t="s">
        <v>5566</v>
      </c>
      <c r="R1383" t="str">
        <f>_xlfn.CONCAT(Table_TRM_Fixtures[[#This Row],[Technology]], ", ", Table_TRM_Fixtures[[#This Row],[Ballast Code]], " Ballast")</f>
        <v>T12, Electronic HLO Ballast</v>
      </c>
      <c r="S1383" t="str">
        <f>Table_TRM_Fixtures[[#This Row],[Description  (TRM Data)]]</f>
        <v>Fluorescent, (4) 96", ES HO lamps</v>
      </c>
      <c r="T1383" t="str">
        <f>Table_TRM_Fixtures[[#This Row],[Fixture code  (TRM Data)]]</f>
        <v>F84EHL</v>
      </c>
      <c r="U1383" t="s">
        <v>2882</v>
      </c>
      <c r="V1383" t="s">
        <v>186</v>
      </c>
      <c r="W1383" t="s">
        <v>5764</v>
      </c>
      <c r="X1383">
        <v>319</v>
      </c>
      <c r="Y1383" t="str">
        <f>_xlfn.CONCAT(Table_TRM_Fixtures[[#This Row],[Combined Lighting/Ballast Types]],":",Table_TRM_Fixtures[[#This Row],[No. of Lamps]], ":", Table_TRM_Fixtures[[#This Row],[Lamp Watts  (TRM Data)]])</f>
        <v>T12, Electronic HLO Ballast:4:95</v>
      </c>
      <c r="Z1383"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T12:4:95</v>
      </c>
      <c r="AA1383">
        <f>IF(Table_TRM_Fixtures[[#This Row],[Pre-EISA Baseline]]="Nominal", Table_TRM_Fixtures[[#This Row],[Fixture Watts  (TRM Data)]], Table_TRM_Fixtures[[#This Row],[Modified Baseline Fixture Watts]])</f>
        <v>319</v>
      </c>
    </row>
    <row r="1384" spans="1:27" x14ac:dyDescent="0.2">
      <c r="A1384" t="s">
        <v>2472</v>
      </c>
      <c r="B1384" t="s">
        <v>5857</v>
      </c>
      <c r="C1384" t="s">
        <v>2469</v>
      </c>
      <c r="D1384" t="s">
        <v>5861</v>
      </c>
      <c r="E1384" t="s">
        <v>1309</v>
      </c>
      <c r="F1384">
        <v>4</v>
      </c>
      <c r="G1384">
        <v>95</v>
      </c>
      <c r="H1384">
        <v>414</v>
      </c>
      <c r="I1384">
        <v>8.5</v>
      </c>
      <c r="J1384" s="110">
        <v>1382</v>
      </c>
      <c r="K1384" t="s">
        <v>2196</v>
      </c>
      <c r="L1384">
        <f>IF(Table_TRM_Fixtures[[#This Row],[Technology]]="LED", Table_TRM_Fixtures[[#This Row],[Fixture Watts  (TRM Data)]], Table_TRM_Fixtures[[#This Row],[Lamp Watts  (TRM Data)]])</f>
        <v>95</v>
      </c>
      <c r="M1384">
        <f>Table_TRM_Fixtures[[#This Row],[No. of Lamps  (TRM Data)]]</f>
        <v>4</v>
      </c>
      <c r="N1384">
        <v>96</v>
      </c>
      <c r="O1384" t="s">
        <v>2211</v>
      </c>
      <c r="P1384" t="s">
        <v>2640</v>
      </c>
      <c r="Q1384" t="s">
        <v>5781</v>
      </c>
      <c r="R1384" t="str">
        <f>_xlfn.CONCAT(Table_TRM_Fixtures[[#This Row],[Technology]], ", ", Table_TRM_Fixtures[[#This Row],[Ballast Code]], " Ballast")</f>
        <v>T12, Magnetic HLO Ballast</v>
      </c>
      <c r="S1384" t="str">
        <f>Table_TRM_Fixtures[[#This Row],[Description  (TRM Data)]]</f>
        <v>Fluorescent, (4) 96", ES HO lamps</v>
      </c>
      <c r="T1384" t="str">
        <f>Table_TRM_Fixtures[[#This Row],[Fixture code  (TRM Data)]]</f>
        <v>F84EHS</v>
      </c>
      <c r="U1384" t="s">
        <v>2882</v>
      </c>
      <c r="V1384" t="s">
        <v>186</v>
      </c>
      <c r="W1384" t="s">
        <v>5764</v>
      </c>
      <c r="X1384">
        <v>319</v>
      </c>
      <c r="Y1384" t="s">
        <v>4815</v>
      </c>
      <c r="Z1384" t="s">
        <v>4815</v>
      </c>
      <c r="AA1384">
        <f>IF(Table_TRM_Fixtures[[#This Row],[Pre-EISA Baseline]]="Nominal", Table_TRM_Fixtures[[#This Row],[Fixture Watts  (TRM Data)]], Table_TRM_Fixtures[[#This Row],[Modified Baseline Fixture Watts]])</f>
        <v>319</v>
      </c>
    </row>
    <row r="1385" spans="1:27" x14ac:dyDescent="0.2">
      <c r="A1385" t="s">
        <v>2474</v>
      </c>
      <c r="B1385" t="s">
        <v>5857</v>
      </c>
      <c r="C1385" t="s">
        <v>2473</v>
      </c>
      <c r="D1385" t="s">
        <v>5862</v>
      </c>
      <c r="E1385" t="s">
        <v>1309</v>
      </c>
      <c r="F1385">
        <v>6</v>
      </c>
      <c r="G1385">
        <v>95</v>
      </c>
      <c r="H1385">
        <v>519</v>
      </c>
      <c r="I1385">
        <v>8.5</v>
      </c>
      <c r="J1385" s="110">
        <v>1383</v>
      </c>
      <c r="K1385" t="s">
        <v>2196</v>
      </c>
      <c r="L1385">
        <f>IF(Table_TRM_Fixtures[[#This Row],[Technology]]="LED", Table_TRM_Fixtures[[#This Row],[Fixture Watts  (TRM Data)]], Table_TRM_Fixtures[[#This Row],[Lamp Watts  (TRM Data)]])</f>
        <v>95</v>
      </c>
      <c r="M1385">
        <f>Table_TRM_Fixtures[[#This Row],[No. of Lamps  (TRM Data)]]</f>
        <v>6</v>
      </c>
      <c r="N1385">
        <v>96</v>
      </c>
      <c r="O1385" t="s">
        <v>2211</v>
      </c>
      <c r="P1385" t="s">
        <v>2640</v>
      </c>
      <c r="Q1385" t="s">
        <v>5781</v>
      </c>
      <c r="R1385" t="str">
        <f>_xlfn.CONCAT(Table_TRM_Fixtures[[#This Row],[Technology]], ", ", Table_TRM_Fixtures[[#This Row],[Ballast Code]], " Ballast")</f>
        <v>T12, Magnetic HLO Ballast</v>
      </c>
      <c r="S1385" t="str">
        <f>Table_TRM_Fixtures[[#This Row],[Description  (TRM Data)]]</f>
        <v>Fluorescent, (6) 96", ES HO lamps</v>
      </c>
      <c r="T1385" t="str">
        <f>Table_TRM_Fixtures[[#This Row],[Fixture code  (TRM Data)]]</f>
        <v>F86EHS</v>
      </c>
      <c r="U1385" t="s">
        <v>2882</v>
      </c>
      <c r="V1385" t="s">
        <v>186</v>
      </c>
      <c r="W1385" t="s">
        <v>5764</v>
      </c>
      <c r="X1385">
        <v>481</v>
      </c>
      <c r="Y1385" t="str">
        <f>_xlfn.CONCAT(Table_TRM_Fixtures[[#This Row],[Combined Lighting/Ballast Types]],":",Table_TRM_Fixtures[[#This Row],[No. of Lamps]], ":", Table_TRM_Fixtures[[#This Row],[Lamp Watts  (TRM Data)]])</f>
        <v>T12, Magnetic HLO Ballast:6:95</v>
      </c>
      <c r="Z1385"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T12:6:95</v>
      </c>
      <c r="AA1385">
        <f>IF(Table_TRM_Fixtures[[#This Row],[Pre-EISA Baseline]]="Nominal", Table_TRM_Fixtures[[#This Row],[Fixture Watts  (TRM Data)]], Table_TRM_Fixtures[[#This Row],[Modified Baseline Fixture Watts]])</f>
        <v>481</v>
      </c>
    </row>
    <row r="1386" spans="1:27" x14ac:dyDescent="0.2">
      <c r="A1386" t="s">
        <v>2476</v>
      </c>
      <c r="B1386" t="s">
        <v>5857</v>
      </c>
      <c r="C1386" t="s">
        <v>2475</v>
      </c>
      <c r="D1386" t="s">
        <v>5863</v>
      </c>
      <c r="E1386" t="s">
        <v>1722</v>
      </c>
      <c r="F1386">
        <v>8</v>
      </c>
      <c r="G1386">
        <v>95</v>
      </c>
      <c r="H1386">
        <v>828</v>
      </c>
      <c r="I1386">
        <v>8.5</v>
      </c>
      <c r="J1386" s="110">
        <v>1384</v>
      </c>
      <c r="K1386" t="s">
        <v>2196</v>
      </c>
      <c r="L1386">
        <f>IF(Table_TRM_Fixtures[[#This Row],[Technology]]="LED", Table_TRM_Fixtures[[#This Row],[Fixture Watts  (TRM Data)]], Table_TRM_Fixtures[[#This Row],[Lamp Watts  (TRM Data)]])</f>
        <v>95</v>
      </c>
      <c r="M1386">
        <f>Table_TRM_Fixtures[[#This Row],[No. of Lamps  (TRM Data)]]</f>
        <v>8</v>
      </c>
      <c r="N1386">
        <v>96</v>
      </c>
      <c r="O1386" t="s">
        <v>2211</v>
      </c>
      <c r="P1386" t="s">
        <v>2640</v>
      </c>
      <c r="Q1386" t="s">
        <v>5781</v>
      </c>
      <c r="R1386" t="str">
        <f>_xlfn.CONCAT(Table_TRM_Fixtures[[#This Row],[Technology]], ", ", Table_TRM_Fixtures[[#This Row],[Ballast Code]], " Ballast")</f>
        <v>T12, Magnetic HLO Ballast</v>
      </c>
      <c r="S1386" t="str">
        <f>Table_TRM_Fixtures[[#This Row],[Description  (TRM Data)]]</f>
        <v>Fluorescent, (8) 96", ES HO lamps</v>
      </c>
      <c r="T1386" t="str">
        <f>Table_TRM_Fixtures[[#This Row],[Fixture code  (TRM Data)]]</f>
        <v>F88EHE</v>
      </c>
      <c r="U1386" t="s">
        <v>2882</v>
      </c>
      <c r="V1386" t="s">
        <v>186</v>
      </c>
      <c r="W1386" t="s">
        <v>5764</v>
      </c>
      <c r="X1386">
        <v>638</v>
      </c>
      <c r="Y1386" t="str">
        <f>_xlfn.CONCAT(Table_TRM_Fixtures[[#This Row],[Combined Lighting/Ballast Types]],":",Table_TRM_Fixtures[[#This Row],[No. of Lamps]], ":", Table_TRM_Fixtures[[#This Row],[Lamp Watts  (TRM Data)]])</f>
        <v>T12, Magnetic HLO Ballast:8:95</v>
      </c>
      <c r="Z1386"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T12:8:95</v>
      </c>
      <c r="AA1386">
        <f>IF(Table_TRM_Fixtures[[#This Row],[Pre-EISA Baseline]]="Nominal", Table_TRM_Fixtures[[#This Row],[Fixture Watts  (TRM Data)]], Table_TRM_Fixtures[[#This Row],[Modified Baseline Fixture Watts]])</f>
        <v>638</v>
      </c>
    </row>
    <row r="1387" spans="1:27" x14ac:dyDescent="0.2">
      <c r="A1387" t="s">
        <v>2478</v>
      </c>
      <c r="B1387" t="s">
        <v>5864</v>
      </c>
      <c r="C1387" t="s">
        <v>2477</v>
      </c>
      <c r="D1387" t="s">
        <v>5865</v>
      </c>
      <c r="E1387" t="s">
        <v>1309</v>
      </c>
      <c r="F1387">
        <v>1</v>
      </c>
      <c r="G1387">
        <v>215</v>
      </c>
      <c r="H1387">
        <v>205</v>
      </c>
      <c r="I1387">
        <v>8.5</v>
      </c>
      <c r="J1387" s="110">
        <v>1385</v>
      </c>
      <c r="K1387" t="s">
        <v>2196</v>
      </c>
      <c r="L1387">
        <f>IF(Table_TRM_Fixtures[[#This Row],[Technology]]="LED", Table_TRM_Fixtures[[#This Row],[Fixture Watts  (TRM Data)]], Table_TRM_Fixtures[[#This Row],[Lamp Watts  (TRM Data)]])</f>
        <v>215</v>
      </c>
      <c r="M1387">
        <f>Table_TRM_Fixtures[[#This Row],[No. of Lamps  (TRM Data)]]</f>
        <v>1</v>
      </c>
      <c r="N1387">
        <v>96</v>
      </c>
      <c r="O1387" t="s">
        <v>2350</v>
      </c>
      <c r="P1387" t="s">
        <v>2640</v>
      </c>
      <c r="Q1387" t="s">
        <v>5781</v>
      </c>
      <c r="R1387" t="str">
        <f>_xlfn.CONCAT(Table_TRM_Fixtures[[#This Row],[Technology]], ", ", Table_TRM_Fixtures[[#This Row],[Ballast Code]], " Ballast")</f>
        <v>T12, Magnetic HLO Ballast</v>
      </c>
      <c r="S1387" t="str">
        <f>Table_TRM_Fixtures[[#This Row],[Description  (TRM Data)]]</f>
        <v>Fluorescent, (1) 96", STD VHO lamp</v>
      </c>
      <c r="T1387" t="str">
        <f>Table_TRM_Fixtures[[#This Row],[Fixture code  (TRM Data)]]</f>
        <v>F81SVS</v>
      </c>
      <c r="U1387" t="s">
        <v>2882</v>
      </c>
      <c r="V1387" t="s">
        <v>186</v>
      </c>
      <c r="W1387" t="s">
        <v>3120</v>
      </c>
      <c r="X1387" t="s">
        <v>186</v>
      </c>
      <c r="Y1387" t="str">
        <f>_xlfn.CONCAT(Table_TRM_Fixtures[[#This Row],[Combined Lighting/Ballast Types]],":",Table_TRM_Fixtures[[#This Row],[No. of Lamps]], ":", Table_TRM_Fixtures[[#This Row],[Lamp Watts  (TRM Data)]])</f>
        <v>T12, Magnetic HLO Ballast:1:215</v>
      </c>
      <c r="Z1387" t="s">
        <v>4815</v>
      </c>
      <c r="AA1387">
        <f>IF(Table_TRM_Fixtures[[#This Row],[Pre-EISA Baseline]]="Nominal", Table_TRM_Fixtures[[#This Row],[Fixture Watts  (TRM Data)]], Table_TRM_Fixtures[[#This Row],[Modified Baseline Fixture Watts]])</f>
        <v>205</v>
      </c>
    </row>
    <row r="1388" spans="1:27" x14ac:dyDescent="0.2">
      <c r="A1388" t="s">
        <v>2480</v>
      </c>
      <c r="B1388" t="s">
        <v>5864</v>
      </c>
      <c r="C1388" t="s">
        <v>2479</v>
      </c>
      <c r="D1388" t="s">
        <v>5866</v>
      </c>
      <c r="E1388" t="s">
        <v>1309</v>
      </c>
      <c r="F1388">
        <v>2</v>
      </c>
      <c r="G1388">
        <v>215</v>
      </c>
      <c r="H1388">
        <v>380</v>
      </c>
      <c r="I1388">
        <v>8.5</v>
      </c>
      <c r="J1388" s="110">
        <v>1386</v>
      </c>
      <c r="K1388" t="s">
        <v>2196</v>
      </c>
      <c r="L1388">
        <f>IF(Table_TRM_Fixtures[[#This Row],[Technology]]="LED", Table_TRM_Fixtures[[#This Row],[Fixture Watts  (TRM Data)]], Table_TRM_Fixtures[[#This Row],[Lamp Watts  (TRM Data)]])</f>
        <v>215</v>
      </c>
      <c r="M1388">
        <f>Table_TRM_Fixtures[[#This Row],[No. of Lamps  (TRM Data)]]</f>
        <v>2</v>
      </c>
      <c r="N1388">
        <v>96</v>
      </c>
      <c r="O1388" t="s">
        <v>2350</v>
      </c>
      <c r="P1388" t="s">
        <v>2640</v>
      </c>
      <c r="Q1388" t="s">
        <v>5781</v>
      </c>
      <c r="R1388" t="str">
        <f>_xlfn.CONCAT(Table_TRM_Fixtures[[#This Row],[Technology]], ", ", Table_TRM_Fixtures[[#This Row],[Ballast Code]], " Ballast")</f>
        <v>T12, Magnetic HLO Ballast</v>
      </c>
      <c r="S1388" t="str">
        <f>Table_TRM_Fixtures[[#This Row],[Description  (TRM Data)]]</f>
        <v>Fluorescent, (2) 96", STD VHO lamps</v>
      </c>
      <c r="T1388" t="str">
        <f>Table_TRM_Fixtures[[#This Row],[Fixture code  (TRM Data)]]</f>
        <v>F82SVS</v>
      </c>
      <c r="U1388" t="s">
        <v>2882</v>
      </c>
      <c r="V1388" t="s">
        <v>186</v>
      </c>
      <c r="W1388" t="s">
        <v>3120</v>
      </c>
      <c r="X1388" t="s">
        <v>186</v>
      </c>
      <c r="Y1388" t="str">
        <f>_xlfn.CONCAT(Table_TRM_Fixtures[[#This Row],[Combined Lighting/Ballast Types]],":",Table_TRM_Fixtures[[#This Row],[No. of Lamps]], ":", Table_TRM_Fixtures[[#This Row],[Lamp Watts  (TRM Data)]])</f>
        <v>T12, Magnetic HLO Ballast:2:215</v>
      </c>
      <c r="Z1388"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T12:2:215</v>
      </c>
      <c r="AA1388">
        <f>IF(Table_TRM_Fixtures[[#This Row],[Pre-EISA Baseline]]="Nominal", Table_TRM_Fixtures[[#This Row],[Fixture Watts  (TRM Data)]], Table_TRM_Fixtures[[#This Row],[Modified Baseline Fixture Watts]])</f>
        <v>380</v>
      </c>
    </row>
    <row r="1389" spans="1:27" x14ac:dyDescent="0.2">
      <c r="A1389" t="s">
        <v>2482</v>
      </c>
      <c r="B1389" t="s">
        <v>5864</v>
      </c>
      <c r="C1389" t="s">
        <v>2481</v>
      </c>
      <c r="D1389" t="s">
        <v>5867</v>
      </c>
      <c r="E1389" t="s">
        <v>1309</v>
      </c>
      <c r="F1389">
        <v>3</v>
      </c>
      <c r="G1389">
        <v>215</v>
      </c>
      <c r="H1389">
        <v>585</v>
      </c>
      <c r="I1389">
        <v>8.5</v>
      </c>
      <c r="J1389" s="110">
        <v>1387</v>
      </c>
      <c r="K1389" t="s">
        <v>2196</v>
      </c>
      <c r="L1389">
        <f>IF(Table_TRM_Fixtures[[#This Row],[Technology]]="LED", Table_TRM_Fixtures[[#This Row],[Fixture Watts  (TRM Data)]], Table_TRM_Fixtures[[#This Row],[Lamp Watts  (TRM Data)]])</f>
        <v>215</v>
      </c>
      <c r="M1389">
        <f>Table_TRM_Fixtures[[#This Row],[No. of Lamps  (TRM Data)]]</f>
        <v>3</v>
      </c>
      <c r="N1389">
        <v>96</v>
      </c>
      <c r="O1389" t="s">
        <v>2350</v>
      </c>
      <c r="P1389" t="s">
        <v>2640</v>
      </c>
      <c r="Q1389" t="s">
        <v>5781</v>
      </c>
      <c r="R1389" t="str">
        <f>_xlfn.CONCAT(Table_TRM_Fixtures[[#This Row],[Technology]], ", ", Table_TRM_Fixtures[[#This Row],[Ballast Code]], " Ballast")</f>
        <v>T12, Magnetic HLO Ballast</v>
      </c>
      <c r="S1389" t="str">
        <f>Table_TRM_Fixtures[[#This Row],[Description  (TRM Data)]]</f>
        <v>Fluorescent, (3) 96", STD VHO lamps</v>
      </c>
      <c r="T1389" t="str">
        <f>Table_TRM_Fixtures[[#This Row],[Fixture code  (TRM Data)]]</f>
        <v>F83SVS</v>
      </c>
      <c r="U1389" t="s">
        <v>2882</v>
      </c>
      <c r="V1389" t="s">
        <v>186</v>
      </c>
      <c r="W1389" t="s">
        <v>3120</v>
      </c>
      <c r="X1389" t="s">
        <v>186</v>
      </c>
      <c r="Y1389" t="str">
        <f>_xlfn.CONCAT(Table_TRM_Fixtures[[#This Row],[Combined Lighting/Ballast Types]],":",Table_TRM_Fixtures[[#This Row],[No. of Lamps]], ":", Table_TRM_Fixtures[[#This Row],[Lamp Watts  (TRM Data)]])</f>
        <v>T12, Magnetic HLO Ballast:3:215</v>
      </c>
      <c r="Z1389"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T12:3:215</v>
      </c>
      <c r="AA1389">
        <f>IF(Table_TRM_Fixtures[[#This Row],[Pre-EISA Baseline]]="Nominal", Table_TRM_Fixtures[[#This Row],[Fixture Watts  (TRM Data)]], Table_TRM_Fixtures[[#This Row],[Modified Baseline Fixture Watts]])</f>
        <v>585</v>
      </c>
    </row>
    <row r="1390" spans="1:27" x14ac:dyDescent="0.2">
      <c r="A1390" t="s">
        <v>2484</v>
      </c>
      <c r="B1390" t="s">
        <v>5864</v>
      </c>
      <c r="C1390" t="s">
        <v>2483</v>
      </c>
      <c r="D1390" t="s">
        <v>5868</v>
      </c>
      <c r="E1390" t="s">
        <v>1309</v>
      </c>
      <c r="F1390">
        <v>4</v>
      </c>
      <c r="G1390">
        <v>215</v>
      </c>
      <c r="H1390">
        <v>760</v>
      </c>
      <c r="I1390">
        <v>8.5</v>
      </c>
      <c r="J1390" s="110">
        <v>1388</v>
      </c>
      <c r="K1390" t="s">
        <v>2196</v>
      </c>
      <c r="L1390">
        <f>IF(Table_TRM_Fixtures[[#This Row],[Technology]]="LED", Table_TRM_Fixtures[[#This Row],[Fixture Watts  (TRM Data)]], Table_TRM_Fixtures[[#This Row],[Lamp Watts  (TRM Data)]])</f>
        <v>215</v>
      </c>
      <c r="M1390">
        <f>Table_TRM_Fixtures[[#This Row],[No. of Lamps  (TRM Data)]]</f>
        <v>4</v>
      </c>
      <c r="N1390">
        <v>96</v>
      </c>
      <c r="O1390" t="s">
        <v>2350</v>
      </c>
      <c r="P1390" t="s">
        <v>2640</v>
      </c>
      <c r="Q1390" t="s">
        <v>5781</v>
      </c>
      <c r="R1390" t="str">
        <f>_xlfn.CONCAT(Table_TRM_Fixtures[[#This Row],[Technology]], ", ", Table_TRM_Fixtures[[#This Row],[Ballast Code]], " Ballast")</f>
        <v>T12, Magnetic HLO Ballast</v>
      </c>
      <c r="S1390" t="str">
        <f>Table_TRM_Fixtures[[#This Row],[Description  (TRM Data)]]</f>
        <v>Fluorescent, (4) 96", STD VHO lamps</v>
      </c>
      <c r="T1390" t="str">
        <f>Table_TRM_Fixtures[[#This Row],[Fixture code  (TRM Data)]]</f>
        <v>F84SVS</v>
      </c>
      <c r="U1390" t="s">
        <v>2882</v>
      </c>
      <c r="V1390" t="s">
        <v>186</v>
      </c>
      <c r="W1390" t="s">
        <v>3120</v>
      </c>
      <c r="X1390" t="s">
        <v>186</v>
      </c>
      <c r="Y1390" t="str">
        <f>_xlfn.CONCAT(Table_TRM_Fixtures[[#This Row],[Combined Lighting/Ballast Types]],":",Table_TRM_Fixtures[[#This Row],[No. of Lamps]], ":", Table_TRM_Fixtures[[#This Row],[Lamp Watts  (TRM Data)]])</f>
        <v>T12, Magnetic HLO Ballast:4:215</v>
      </c>
      <c r="Z1390"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T12:4:215</v>
      </c>
      <c r="AA1390">
        <f>IF(Table_TRM_Fixtures[[#This Row],[Pre-EISA Baseline]]="Nominal", Table_TRM_Fixtures[[#This Row],[Fixture Watts  (TRM Data)]], Table_TRM_Fixtures[[#This Row],[Modified Baseline Fixture Watts]])</f>
        <v>760</v>
      </c>
    </row>
    <row r="1391" spans="1:27" x14ac:dyDescent="0.2">
      <c r="A1391" t="s">
        <v>2486</v>
      </c>
      <c r="B1391" t="s">
        <v>5869</v>
      </c>
      <c r="C1391" t="s">
        <v>2485</v>
      </c>
      <c r="D1391" t="s">
        <v>5870</v>
      </c>
      <c r="E1391" t="s">
        <v>1309</v>
      </c>
      <c r="F1391">
        <v>1</v>
      </c>
      <c r="G1391">
        <v>185</v>
      </c>
      <c r="H1391">
        <v>205</v>
      </c>
      <c r="I1391">
        <v>8.5</v>
      </c>
      <c r="J1391" s="110">
        <v>1389</v>
      </c>
      <c r="K1391" t="s">
        <v>2196</v>
      </c>
      <c r="L1391">
        <f>IF(Table_TRM_Fixtures[[#This Row],[Technology]]="LED", Table_TRM_Fixtures[[#This Row],[Fixture Watts  (TRM Data)]], Table_TRM_Fixtures[[#This Row],[Lamp Watts  (TRM Data)]])</f>
        <v>185</v>
      </c>
      <c r="M1391">
        <f>Table_TRM_Fixtures[[#This Row],[No. of Lamps  (TRM Data)]]</f>
        <v>1</v>
      </c>
      <c r="N1391">
        <v>96</v>
      </c>
      <c r="O1391" t="s">
        <v>2350</v>
      </c>
      <c r="P1391" t="s">
        <v>2640</v>
      </c>
      <c r="Q1391" t="s">
        <v>5781</v>
      </c>
      <c r="R1391" t="str">
        <f>_xlfn.CONCAT(Table_TRM_Fixtures[[#This Row],[Technology]], ", ", Table_TRM_Fixtures[[#This Row],[Ballast Code]], " Ballast")</f>
        <v>T12, Magnetic HLO Ballast</v>
      </c>
      <c r="S1391" t="str">
        <f>Table_TRM_Fixtures[[#This Row],[Description  (TRM Data)]]</f>
        <v>Fluorescent, (1) 96", ES VHO lamp</v>
      </c>
      <c r="T1391" t="str">
        <f>Table_TRM_Fixtures[[#This Row],[Fixture code  (TRM Data)]]</f>
        <v>F81EVS</v>
      </c>
      <c r="U1391" t="s">
        <v>2882</v>
      </c>
      <c r="V1391" t="s">
        <v>186</v>
      </c>
      <c r="W1391" t="s">
        <v>3120</v>
      </c>
      <c r="X1391" t="s">
        <v>186</v>
      </c>
      <c r="Y1391" t="str">
        <f>_xlfn.CONCAT(Table_TRM_Fixtures[[#This Row],[Combined Lighting/Ballast Types]],":",Table_TRM_Fixtures[[#This Row],[No. of Lamps]], ":", Table_TRM_Fixtures[[#This Row],[Lamp Watts  (TRM Data)]])</f>
        <v>T12, Magnetic HLO Ballast:1:185</v>
      </c>
      <c r="Z1391"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T12:1:185</v>
      </c>
      <c r="AA1391">
        <f>IF(Table_TRM_Fixtures[[#This Row],[Pre-EISA Baseline]]="Nominal", Table_TRM_Fixtures[[#This Row],[Fixture Watts  (TRM Data)]], Table_TRM_Fixtures[[#This Row],[Modified Baseline Fixture Watts]])</f>
        <v>205</v>
      </c>
    </row>
    <row r="1392" spans="1:27" x14ac:dyDescent="0.2">
      <c r="A1392" t="s">
        <v>2488</v>
      </c>
      <c r="B1392" t="s">
        <v>5869</v>
      </c>
      <c r="C1392" t="s">
        <v>2487</v>
      </c>
      <c r="D1392" t="s">
        <v>5871</v>
      </c>
      <c r="E1392" t="s">
        <v>1309</v>
      </c>
      <c r="F1392">
        <v>2</v>
      </c>
      <c r="G1392">
        <v>195</v>
      </c>
      <c r="H1392">
        <v>380</v>
      </c>
      <c r="I1392">
        <v>8.5</v>
      </c>
      <c r="J1392" s="110">
        <v>1390</v>
      </c>
      <c r="K1392" t="s">
        <v>2196</v>
      </c>
      <c r="L1392">
        <f>IF(Table_TRM_Fixtures[[#This Row],[Technology]]="LED", Table_TRM_Fixtures[[#This Row],[Fixture Watts  (TRM Data)]], Table_TRM_Fixtures[[#This Row],[Lamp Watts  (TRM Data)]])</f>
        <v>195</v>
      </c>
      <c r="M1392">
        <f>Table_TRM_Fixtures[[#This Row],[No. of Lamps  (TRM Data)]]</f>
        <v>2</v>
      </c>
      <c r="N1392">
        <v>96</v>
      </c>
      <c r="O1392" t="s">
        <v>2350</v>
      </c>
      <c r="P1392" t="s">
        <v>2640</v>
      </c>
      <c r="Q1392" t="s">
        <v>5781</v>
      </c>
      <c r="R1392" t="str">
        <f>_xlfn.CONCAT(Table_TRM_Fixtures[[#This Row],[Technology]], ", ", Table_TRM_Fixtures[[#This Row],[Ballast Code]], " Ballast")</f>
        <v>T12, Magnetic HLO Ballast</v>
      </c>
      <c r="S1392" t="str">
        <f>Table_TRM_Fixtures[[#This Row],[Description  (TRM Data)]]</f>
        <v>Fluorescent, (2) 96", ES VHO lamps</v>
      </c>
      <c r="T1392" t="str">
        <f>Table_TRM_Fixtures[[#This Row],[Fixture code  (TRM Data)]]</f>
        <v>F82EVS</v>
      </c>
      <c r="U1392" t="s">
        <v>2882</v>
      </c>
      <c r="V1392" t="s">
        <v>186</v>
      </c>
      <c r="W1392" t="s">
        <v>3120</v>
      </c>
      <c r="X1392" t="s">
        <v>186</v>
      </c>
      <c r="Y1392" t="str">
        <f>_xlfn.CONCAT(Table_TRM_Fixtures[[#This Row],[Combined Lighting/Ballast Types]],":",Table_TRM_Fixtures[[#This Row],[No. of Lamps]], ":", Table_TRM_Fixtures[[#This Row],[Lamp Watts  (TRM Data)]])</f>
        <v>T12, Magnetic HLO Ballast:2:195</v>
      </c>
      <c r="Z1392"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T12:2:195</v>
      </c>
      <c r="AA1392">
        <f>IF(Table_TRM_Fixtures[[#This Row],[Pre-EISA Baseline]]="Nominal", Table_TRM_Fixtures[[#This Row],[Fixture Watts  (TRM Data)]], Table_TRM_Fixtures[[#This Row],[Modified Baseline Fixture Watts]])</f>
        <v>380</v>
      </c>
    </row>
    <row r="1393" spans="1:27" x14ac:dyDescent="0.2">
      <c r="A1393" t="s">
        <v>2490</v>
      </c>
      <c r="B1393" t="s">
        <v>5869</v>
      </c>
      <c r="C1393" t="s">
        <v>2489</v>
      </c>
      <c r="D1393" t="s">
        <v>5872</v>
      </c>
      <c r="E1393" t="s">
        <v>1309</v>
      </c>
      <c r="F1393">
        <v>3</v>
      </c>
      <c r="G1393">
        <v>185</v>
      </c>
      <c r="H1393">
        <v>585</v>
      </c>
      <c r="I1393">
        <v>8.5</v>
      </c>
      <c r="J1393" s="110">
        <v>1391</v>
      </c>
      <c r="K1393" t="s">
        <v>2196</v>
      </c>
      <c r="L1393">
        <f>IF(Table_TRM_Fixtures[[#This Row],[Technology]]="LED", Table_TRM_Fixtures[[#This Row],[Fixture Watts  (TRM Data)]], Table_TRM_Fixtures[[#This Row],[Lamp Watts  (TRM Data)]])</f>
        <v>185</v>
      </c>
      <c r="M1393">
        <f>Table_TRM_Fixtures[[#This Row],[No. of Lamps  (TRM Data)]]</f>
        <v>3</v>
      </c>
      <c r="N1393">
        <v>96</v>
      </c>
      <c r="O1393" t="s">
        <v>2350</v>
      </c>
      <c r="P1393" t="s">
        <v>2640</v>
      </c>
      <c r="Q1393" t="s">
        <v>5781</v>
      </c>
      <c r="R1393" t="str">
        <f>_xlfn.CONCAT(Table_TRM_Fixtures[[#This Row],[Technology]], ", ", Table_TRM_Fixtures[[#This Row],[Ballast Code]], " Ballast")</f>
        <v>T12, Magnetic HLO Ballast</v>
      </c>
      <c r="S1393" t="str">
        <f>Table_TRM_Fixtures[[#This Row],[Description  (TRM Data)]]</f>
        <v>Fluorescent, (3) 96", ES VHO lamps</v>
      </c>
      <c r="T1393" t="str">
        <f>Table_TRM_Fixtures[[#This Row],[Fixture code  (TRM Data)]]</f>
        <v>F83EVS</v>
      </c>
      <c r="U1393" t="s">
        <v>2882</v>
      </c>
      <c r="V1393" t="s">
        <v>186</v>
      </c>
      <c r="W1393" t="s">
        <v>3120</v>
      </c>
      <c r="X1393" t="s">
        <v>186</v>
      </c>
      <c r="Y1393" t="str">
        <f>_xlfn.CONCAT(Table_TRM_Fixtures[[#This Row],[Combined Lighting/Ballast Types]],":",Table_TRM_Fixtures[[#This Row],[No. of Lamps]], ":", Table_TRM_Fixtures[[#This Row],[Lamp Watts  (TRM Data)]])</f>
        <v>T12, Magnetic HLO Ballast:3:185</v>
      </c>
      <c r="Z1393"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T12:3:185</v>
      </c>
      <c r="AA1393">
        <f>IF(Table_TRM_Fixtures[[#This Row],[Pre-EISA Baseline]]="Nominal", Table_TRM_Fixtures[[#This Row],[Fixture Watts  (TRM Data)]], Table_TRM_Fixtures[[#This Row],[Modified Baseline Fixture Watts]])</f>
        <v>585</v>
      </c>
    </row>
    <row r="1394" spans="1:27" x14ac:dyDescent="0.2">
      <c r="A1394" t="s">
        <v>2492</v>
      </c>
      <c r="B1394" t="s">
        <v>5869</v>
      </c>
      <c r="C1394" t="s">
        <v>2491</v>
      </c>
      <c r="D1394" t="s">
        <v>5873</v>
      </c>
      <c r="E1394" t="s">
        <v>1309</v>
      </c>
      <c r="F1394">
        <v>4</v>
      </c>
      <c r="G1394">
        <v>185</v>
      </c>
      <c r="H1394">
        <v>760</v>
      </c>
      <c r="I1394">
        <v>8.5</v>
      </c>
      <c r="J1394" s="110">
        <v>1392</v>
      </c>
      <c r="K1394" t="s">
        <v>2196</v>
      </c>
      <c r="L1394">
        <f>IF(Table_TRM_Fixtures[[#This Row],[Technology]]="LED", Table_TRM_Fixtures[[#This Row],[Fixture Watts  (TRM Data)]], Table_TRM_Fixtures[[#This Row],[Lamp Watts  (TRM Data)]])</f>
        <v>185</v>
      </c>
      <c r="M1394">
        <f>Table_TRM_Fixtures[[#This Row],[No. of Lamps  (TRM Data)]]</f>
        <v>4</v>
      </c>
      <c r="N1394">
        <v>96</v>
      </c>
      <c r="O1394" t="s">
        <v>2350</v>
      </c>
      <c r="P1394" t="s">
        <v>2640</v>
      </c>
      <c r="Q1394" t="s">
        <v>5781</v>
      </c>
      <c r="R1394" t="str">
        <f>_xlfn.CONCAT(Table_TRM_Fixtures[[#This Row],[Technology]], ", ", Table_TRM_Fixtures[[#This Row],[Ballast Code]], " Ballast")</f>
        <v>T12, Magnetic HLO Ballast</v>
      </c>
      <c r="S1394" t="str">
        <f>Table_TRM_Fixtures[[#This Row],[Description  (TRM Data)]]</f>
        <v>Fluorescent, (4) 96", ES VHO lamps</v>
      </c>
      <c r="T1394" t="str">
        <f>Table_TRM_Fixtures[[#This Row],[Fixture code  (TRM Data)]]</f>
        <v>F84EVS</v>
      </c>
      <c r="U1394" t="s">
        <v>2882</v>
      </c>
      <c r="V1394" t="s">
        <v>186</v>
      </c>
      <c r="W1394" t="s">
        <v>3120</v>
      </c>
      <c r="X1394" t="s">
        <v>186</v>
      </c>
      <c r="Y1394" t="str">
        <f>_xlfn.CONCAT(Table_TRM_Fixtures[[#This Row],[Combined Lighting/Ballast Types]],":",Table_TRM_Fixtures[[#This Row],[No. of Lamps]], ":", Table_TRM_Fixtures[[#This Row],[Lamp Watts  (TRM Data)]])</f>
        <v>T12, Magnetic HLO Ballast:4:185</v>
      </c>
      <c r="Z1394"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T12:4:185</v>
      </c>
      <c r="AA1394">
        <f>IF(Table_TRM_Fixtures[[#This Row],[Pre-EISA Baseline]]="Nominal", Table_TRM_Fixtures[[#This Row],[Fixture Watts  (TRM Data)]], Table_TRM_Fixtures[[#This Row],[Modified Baseline Fixture Watts]])</f>
        <v>760</v>
      </c>
    </row>
    <row r="1395" spans="1:27" x14ac:dyDescent="0.2">
      <c r="A1395" t="s">
        <v>2494</v>
      </c>
      <c r="B1395" t="s">
        <v>5874</v>
      </c>
      <c r="C1395" t="s">
        <v>2493</v>
      </c>
      <c r="D1395" t="s">
        <v>5841</v>
      </c>
      <c r="E1395" t="s">
        <v>1309</v>
      </c>
      <c r="F1395">
        <v>1</v>
      </c>
      <c r="G1395">
        <v>215</v>
      </c>
      <c r="H1395">
        <v>235</v>
      </c>
      <c r="I1395">
        <v>8.5</v>
      </c>
      <c r="J1395" s="110">
        <v>1393</v>
      </c>
      <c r="K1395" t="s">
        <v>2196</v>
      </c>
      <c r="L1395">
        <f>IF(Table_TRM_Fixtures[[#This Row],[Technology]]="LED", Table_TRM_Fixtures[[#This Row],[Fixture Watts  (TRM Data)]], Table_TRM_Fixtures[[#This Row],[Lamp Watts  (TRM Data)]])</f>
        <v>215</v>
      </c>
      <c r="M1395">
        <f>Table_TRM_Fixtures[[#This Row],[No. of Lamps  (TRM Data)]]</f>
        <v>1</v>
      </c>
      <c r="N1395">
        <v>96</v>
      </c>
      <c r="O1395" t="s">
        <v>1381</v>
      </c>
      <c r="P1395" t="s">
        <v>2640</v>
      </c>
      <c r="Q1395" t="s">
        <v>5608</v>
      </c>
      <c r="R1395" t="str">
        <f>_xlfn.CONCAT(Table_TRM_Fixtures[[#This Row],[Technology]], ", ", Table_TRM_Fixtures[[#This Row],[Ballast Code]], " Ballast")</f>
        <v>T12, Magnetic STD Ballast</v>
      </c>
      <c r="S1395" t="str">
        <f>Table_TRM_Fixtures[[#This Row],[Description  (TRM Data)]]</f>
        <v>Fluorescent, (1) 96", T17 Grooved lamp</v>
      </c>
      <c r="T1395" t="str">
        <f>Table_TRM_Fixtures[[#This Row],[Fixture code  (TRM Data)]]</f>
        <v>F81SGS</v>
      </c>
      <c r="U1395" t="s">
        <v>2882</v>
      </c>
      <c r="V1395" t="s">
        <v>186</v>
      </c>
      <c r="W1395" t="s">
        <v>3120</v>
      </c>
      <c r="X1395" t="s">
        <v>186</v>
      </c>
      <c r="Y1395" t="str">
        <f>_xlfn.CONCAT(Table_TRM_Fixtures[[#This Row],[Combined Lighting/Ballast Types]],":",Table_TRM_Fixtures[[#This Row],[No. of Lamps]], ":", Table_TRM_Fixtures[[#This Row],[Lamp Watts  (TRM Data)]])</f>
        <v>T12, Magnetic STD Ballast:1:215</v>
      </c>
      <c r="Z1395"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T12:1:215</v>
      </c>
      <c r="AA1395">
        <f>IF(Table_TRM_Fixtures[[#This Row],[Pre-EISA Baseline]]="Nominal", Table_TRM_Fixtures[[#This Row],[Fixture Watts  (TRM Data)]], Table_TRM_Fixtures[[#This Row],[Modified Baseline Fixture Watts]])</f>
        <v>235</v>
      </c>
    </row>
    <row r="1396" spans="1:27" x14ac:dyDescent="0.2">
      <c r="A1396" t="s">
        <v>2496</v>
      </c>
      <c r="B1396" t="s">
        <v>5875</v>
      </c>
      <c r="C1396" t="s">
        <v>2495</v>
      </c>
      <c r="E1396" t="s">
        <v>1722</v>
      </c>
      <c r="F1396">
        <v>1</v>
      </c>
      <c r="G1396">
        <v>0</v>
      </c>
      <c r="H1396">
        <v>4</v>
      </c>
      <c r="I1396">
        <v>8.5</v>
      </c>
      <c r="J1396" s="110">
        <v>1394</v>
      </c>
      <c r="K1396" t="s">
        <v>1380</v>
      </c>
      <c r="L1396">
        <f>IF(Table_TRM_Fixtures[[#This Row],[Technology]]="LED", Table_TRM_Fixtures[[#This Row],[Fixture Watts  (TRM Data)]], Table_TRM_Fixtures[[#This Row],[Lamp Watts  (TRM Data)]])</f>
        <v>0</v>
      </c>
      <c r="M1396">
        <f>Table_TRM_Fixtures[[#This Row],[No. of Lamps  (TRM Data)]]</f>
        <v>1</v>
      </c>
      <c r="N1396">
        <v>48</v>
      </c>
      <c r="O1396" t="s">
        <v>186</v>
      </c>
      <c r="P1396" t="s">
        <v>2640</v>
      </c>
      <c r="Q1396" t="s">
        <v>5781</v>
      </c>
      <c r="R1396" t="str">
        <f>_xlfn.CONCAT(Table_TRM_Fixtures[[#This Row],[Technology]], " ", Table_TRM_Fixtures[[#This Row],[Ballast Code]], " Ballast")</f>
        <v>T5 Magnetic HLO Ballast</v>
      </c>
      <c r="S1396" t="str">
        <f>Table_TRM_Fixtures[[#This Row],[Description  (TRM Data)]]</f>
        <v>Fluorescent, (0) 48" lamps, Completely delamped fixture with (1) hot ballast</v>
      </c>
      <c r="T1396" t="str">
        <f>Table_TRM_Fixtures[[#This Row],[Fixture code  (TRM Data)]]</f>
        <v>F40SE/D1</v>
      </c>
      <c r="U1396" t="s">
        <v>2883</v>
      </c>
      <c r="V1396" t="s">
        <v>5876</v>
      </c>
      <c r="W1396" t="s">
        <v>3120</v>
      </c>
      <c r="X1396" t="s">
        <v>186</v>
      </c>
      <c r="AA1396">
        <f>IF(Table_TRM_Fixtures[[#This Row],[Pre-EISA Baseline]]="Nominal", Table_TRM_Fixtures[[#This Row],[Fixture Watts  (TRM Data)]], Table_TRM_Fixtures[[#This Row],[Modified Baseline Fixture Watts]])</f>
        <v>4</v>
      </c>
    </row>
    <row r="1397" spans="1:27" x14ac:dyDescent="0.2">
      <c r="A1397" t="s">
        <v>2498</v>
      </c>
      <c r="B1397" t="s">
        <v>5875</v>
      </c>
      <c r="C1397" t="s">
        <v>2497</v>
      </c>
      <c r="E1397" t="s">
        <v>1722</v>
      </c>
      <c r="F1397">
        <v>1</v>
      </c>
      <c r="G1397">
        <v>0</v>
      </c>
      <c r="H1397">
        <v>8</v>
      </c>
      <c r="I1397">
        <v>8.5</v>
      </c>
      <c r="J1397" s="110">
        <v>1395</v>
      </c>
      <c r="K1397" t="s">
        <v>1380</v>
      </c>
      <c r="L1397">
        <f>IF(Table_TRM_Fixtures[[#This Row],[Technology]]="LED", Table_TRM_Fixtures[[#This Row],[Fixture Watts  (TRM Data)]], Table_TRM_Fixtures[[#This Row],[Lamp Watts  (TRM Data)]])</f>
        <v>0</v>
      </c>
      <c r="M1397">
        <f>Table_TRM_Fixtures[[#This Row],[No. of Lamps  (TRM Data)]]</f>
        <v>1</v>
      </c>
      <c r="N1397">
        <v>48</v>
      </c>
      <c r="O1397" t="s">
        <v>186</v>
      </c>
      <c r="P1397" t="s">
        <v>2640</v>
      </c>
      <c r="Q1397" t="s">
        <v>5781</v>
      </c>
      <c r="R1397" t="str">
        <f>_xlfn.CONCAT(Table_TRM_Fixtures[[#This Row],[Technology]], " ", Table_TRM_Fixtures[[#This Row],[Ballast Code]], " Ballast")</f>
        <v>T5 Magnetic HLO Ballast</v>
      </c>
      <c r="S1397" t="str">
        <f>Table_TRM_Fixtures[[#This Row],[Description  (TRM Data)]]</f>
        <v>Fluorescent, (0) 48" lamps, Completely delamped fixture with (2) hot ballast</v>
      </c>
      <c r="T1397" t="str">
        <f>Table_TRM_Fixtures[[#This Row],[Fixture code  (TRM Data)]]</f>
        <v>F40SE/D2</v>
      </c>
      <c r="U1397" t="s">
        <v>2883</v>
      </c>
      <c r="V1397" t="s">
        <v>5876</v>
      </c>
      <c r="W1397" t="s">
        <v>3120</v>
      </c>
      <c r="X1397" t="s">
        <v>186</v>
      </c>
      <c r="AA1397">
        <f>IF(Table_TRM_Fixtures[[#This Row],[Pre-EISA Baseline]]="Nominal", Table_TRM_Fixtures[[#This Row],[Fixture Watts  (TRM Data)]], Table_TRM_Fixtures[[#This Row],[Modified Baseline Fixture Watts]])</f>
        <v>8</v>
      </c>
    </row>
    <row r="1398" spans="1:27" x14ac:dyDescent="0.2">
      <c r="A1398" t="s">
        <v>2501</v>
      </c>
      <c r="B1398" t="s">
        <v>5877</v>
      </c>
      <c r="C1398" t="s">
        <v>2500</v>
      </c>
      <c r="D1398" t="s">
        <v>5878</v>
      </c>
      <c r="E1398" t="s">
        <v>1309</v>
      </c>
      <c r="F1398">
        <v>1</v>
      </c>
      <c r="G1398">
        <v>20</v>
      </c>
      <c r="H1398">
        <v>25</v>
      </c>
      <c r="I1398">
        <v>15.5</v>
      </c>
      <c r="J1398" s="110">
        <v>1396</v>
      </c>
      <c r="K1398" t="s">
        <v>2499</v>
      </c>
      <c r="L1398">
        <f>IF(Table_TRM_Fixtures[[#This Row],[Technology]]="LED", Table_TRM_Fixtures[[#This Row],[Fixture Watts  (TRM Data)]], Table_TRM_Fixtures[[#This Row],[Lamp Watts  (TRM Data)]])</f>
        <v>20</v>
      </c>
      <c r="M1398">
        <f>Table_TRM_Fixtures[[#This Row],[No. of Lamps  (TRM Data)]]</f>
        <v>1</v>
      </c>
      <c r="N1398">
        <v>6</v>
      </c>
      <c r="O1398" t="s">
        <v>186</v>
      </c>
      <c r="P1398" t="s">
        <v>2640</v>
      </c>
      <c r="S1398" t="str">
        <f>Table_TRM_Fixtures[[#This Row],[Description  (TRM Data)]]</f>
        <v>Fluorescent, (1) 6" circular lamp, RS ballast</v>
      </c>
      <c r="T1398" t="str">
        <f>Table_TRM_Fixtures[[#This Row],[Fixture code  (TRM Data)]]</f>
        <v>FC6/1</v>
      </c>
      <c r="U1398" t="s">
        <v>2883</v>
      </c>
      <c r="V1398" t="s">
        <v>5879</v>
      </c>
      <c r="W1398" t="s">
        <v>3120</v>
      </c>
      <c r="X1398" t="s">
        <v>186</v>
      </c>
      <c r="AA1398">
        <f>IF(Table_TRM_Fixtures[[#This Row],[Pre-EISA Baseline]]="Nominal", Table_TRM_Fixtures[[#This Row],[Fixture Watts  (TRM Data)]], Table_TRM_Fixtures[[#This Row],[Modified Baseline Fixture Watts]])</f>
        <v>25</v>
      </c>
    </row>
    <row r="1399" spans="1:27" x14ac:dyDescent="0.2">
      <c r="A1399" t="s">
        <v>2503</v>
      </c>
      <c r="B1399" t="s">
        <v>5880</v>
      </c>
      <c r="C1399" t="s">
        <v>2502</v>
      </c>
      <c r="D1399" t="s">
        <v>5881</v>
      </c>
      <c r="E1399" t="s">
        <v>1309</v>
      </c>
      <c r="F1399">
        <v>1</v>
      </c>
      <c r="G1399">
        <v>22</v>
      </c>
      <c r="H1399">
        <v>26</v>
      </c>
      <c r="I1399">
        <v>15.5</v>
      </c>
      <c r="J1399" s="110">
        <v>1397</v>
      </c>
      <c r="K1399" t="s">
        <v>2499</v>
      </c>
      <c r="L1399">
        <f>IF(Table_TRM_Fixtures[[#This Row],[Technology]]="LED", Table_TRM_Fixtures[[#This Row],[Fixture Watts  (TRM Data)]], Table_TRM_Fixtures[[#This Row],[Lamp Watts  (TRM Data)]])</f>
        <v>22</v>
      </c>
      <c r="M1399">
        <f>Table_TRM_Fixtures[[#This Row],[No. of Lamps  (TRM Data)]]</f>
        <v>1</v>
      </c>
      <c r="N1399">
        <v>8</v>
      </c>
      <c r="O1399" t="s">
        <v>186</v>
      </c>
      <c r="P1399" t="s">
        <v>2640</v>
      </c>
      <c r="S1399" t="str">
        <f>Table_TRM_Fixtures[[#This Row],[Description  (TRM Data)]]</f>
        <v>Fluorescent, (1) 8" circular lamp, RS ballast</v>
      </c>
      <c r="T1399" t="str">
        <f>Table_TRM_Fixtures[[#This Row],[Fixture code  (TRM Data)]]</f>
        <v>FC8/1</v>
      </c>
      <c r="U1399" t="s">
        <v>2883</v>
      </c>
      <c r="V1399" t="s">
        <v>5879</v>
      </c>
      <c r="W1399" t="s">
        <v>3120</v>
      </c>
      <c r="X1399" t="s">
        <v>186</v>
      </c>
      <c r="AA1399">
        <f>IF(Table_TRM_Fixtures[[#This Row],[Pre-EISA Baseline]]="Nominal", Table_TRM_Fixtures[[#This Row],[Fixture Watts  (TRM Data)]], Table_TRM_Fixtures[[#This Row],[Modified Baseline Fixture Watts]])</f>
        <v>26</v>
      </c>
    </row>
    <row r="1400" spans="1:27" x14ac:dyDescent="0.2">
      <c r="A1400" t="s">
        <v>2505</v>
      </c>
      <c r="B1400" t="s">
        <v>5880</v>
      </c>
      <c r="C1400" t="s">
        <v>2504</v>
      </c>
      <c r="D1400" t="s">
        <v>5882</v>
      </c>
      <c r="E1400" t="s">
        <v>1309</v>
      </c>
      <c r="F1400">
        <v>2</v>
      </c>
      <c r="G1400">
        <v>22</v>
      </c>
      <c r="H1400">
        <v>52</v>
      </c>
      <c r="I1400">
        <v>15.5</v>
      </c>
      <c r="J1400" s="110">
        <v>1398</v>
      </c>
      <c r="K1400" t="s">
        <v>2499</v>
      </c>
      <c r="L1400">
        <f>IF(Table_TRM_Fixtures[[#This Row],[Technology]]="LED", Table_TRM_Fixtures[[#This Row],[Fixture Watts  (TRM Data)]], Table_TRM_Fixtures[[#This Row],[Lamp Watts  (TRM Data)]])</f>
        <v>22</v>
      </c>
      <c r="M1400">
        <f>Table_TRM_Fixtures[[#This Row],[No. of Lamps  (TRM Data)]]</f>
        <v>2</v>
      </c>
      <c r="N1400">
        <v>8</v>
      </c>
      <c r="O1400" t="s">
        <v>186</v>
      </c>
      <c r="P1400" t="s">
        <v>2640</v>
      </c>
      <c r="S1400" t="str">
        <f>Table_TRM_Fixtures[[#This Row],[Description  (TRM Data)]]</f>
        <v>Fluorescent, (2) 8" circular lamps, RS ballast</v>
      </c>
      <c r="T1400" t="str">
        <f>Table_TRM_Fixtures[[#This Row],[Fixture code  (TRM Data)]]</f>
        <v>FC8/2</v>
      </c>
      <c r="U1400" t="s">
        <v>2883</v>
      </c>
      <c r="V1400" t="s">
        <v>5879</v>
      </c>
      <c r="W1400" t="s">
        <v>3120</v>
      </c>
      <c r="X1400" t="s">
        <v>186</v>
      </c>
      <c r="AA1400">
        <f>IF(Table_TRM_Fixtures[[#This Row],[Pre-EISA Baseline]]="Nominal", Table_TRM_Fixtures[[#This Row],[Fixture Watts  (TRM Data)]], Table_TRM_Fixtures[[#This Row],[Modified Baseline Fixture Watts]])</f>
        <v>52</v>
      </c>
    </row>
    <row r="1401" spans="1:27" x14ac:dyDescent="0.2">
      <c r="A1401" t="s">
        <v>2507</v>
      </c>
      <c r="B1401" t="s">
        <v>5877</v>
      </c>
      <c r="C1401" t="s">
        <v>2506</v>
      </c>
      <c r="D1401" t="s">
        <v>5883</v>
      </c>
      <c r="E1401" t="s">
        <v>1309</v>
      </c>
      <c r="F1401">
        <v>1</v>
      </c>
      <c r="G1401">
        <v>20</v>
      </c>
      <c r="H1401">
        <v>20</v>
      </c>
      <c r="I1401">
        <v>15.5</v>
      </c>
      <c r="J1401" s="110">
        <v>1399</v>
      </c>
      <c r="K1401" t="s">
        <v>2499</v>
      </c>
      <c r="L1401">
        <f>IF(Table_TRM_Fixtures[[#This Row],[Technology]]="LED", Table_TRM_Fixtures[[#This Row],[Fixture Watts  (TRM Data)]], Table_TRM_Fixtures[[#This Row],[Lamp Watts  (TRM Data)]])</f>
        <v>20</v>
      </c>
      <c r="M1401">
        <f>Table_TRM_Fixtures[[#This Row],[No. of Lamps  (TRM Data)]]</f>
        <v>1</v>
      </c>
      <c r="N1401" t="s">
        <v>186</v>
      </c>
      <c r="O1401" t="s">
        <v>186</v>
      </c>
      <c r="P1401" t="s">
        <v>2640</v>
      </c>
      <c r="S1401" t="str">
        <f>Table_TRM_Fixtures[[#This Row],[Description  (TRM Data)]]</f>
        <v>Fluorescent, Circline, (1) 20W lamp, preheat ballast</v>
      </c>
      <c r="T1401" t="str">
        <f>Table_TRM_Fixtures[[#This Row],[Fixture code  (TRM Data)]]</f>
        <v>FC20</v>
      </c>
      <c r="U1401" t="s">
        <v>2883</v>
      </c>
      <c r="V1401" t="s">
        <v>5879</v>
      </c>
      <c r="W1401" t="s">
        <v>3120</v>
      </c>
      <c r="X1401" t="s">
        <v>186</v>
      </c>
      <c r="AA1401">
        <f>IF(Table_TRM_Fixtures[[#This Row],[Pre-EISA Baseline]]="Nominal", Table_TRM_Fixtures[[#This Row],[Fixture Watts  (TRM Data)]], Table_TRM_Fixtures[[#This Row],[Modified Baseline Fixture Watts]])</f>
        <v>20</v>
      </c>
    </row>
    <row r="1402" spans="1:27" x14ac:dyDescent="0.2">
      <c r="A1402" t="s">
        <v>2509</v>
      </c>
      <c r="B1402" t="s">
        <v>5880</v>
      </c>
      <c r="C1402" t="s">
        <v>2508</v>
      </c>
      <c r="D1402" t="s">
        <v>5884</v>
      </c>
      <c r="E1402" t="s">
        <v>1309</v>
      </c>
      <c r="F1402">
        <v>1</v>
      </c>
      <c r="G1402">
        <v>22</v>
      </c>
      <c r="H1402">
        <v>20</v>
      </c>
      <c r="I1402">
        <v>15.5</v>
      </c>
      <c r="J1402" s="110">
        <v>1400</v>
      </c>
      <c r="K1402" t="s">
        <v>2499</v>
      </c>
      <c r="L1402">
        <f>IF(Table_TRM_Fixtures[[#This Row],[Technology]]="LED", Table_TRM_Fixtures[[#This Row],[Fixture Watts  (TRM Data)]], Table_TRM_Fixtures[[#This Row],[Lamp Watts  (TRM Data)]])</f>
        <v>22</v>
      </c>
      <c r="M1402">
        <f>Table_TRM_Fixtures[[#This Row],[No. of Lamps  (TRM Data)]]</f>
        <v>1</v>
      </c>
      <c r="N1402" t="s">
        <v>186</v>
      </c>
      <c r="O1402" t="s">
        <v>186</v>
      </c>
      <c r="P1402" t="s">
        <v>2640</v>
      </c>
      <c r="S1402" t="str">
        <f>Table_TRM_Fixtures[[#This Row],[Description  (TRM Data)]]</f>
        <v>Fluorescent, Circline, (1) 22W lamp, preheat ballast</v>
      </c>
      <c r="T1402" t="str">
        <f>Table_TRM_Fixtures[[#This Row],[Fixture code  (TRM Data)]]</f>
        <v>FC22</v>
      </c>
      <c r="U1402" t="s">
        <v>2883</v>
      </c>
      <c r="V1402" t="s">
        <v>5879</v>
      </c>
      <c r="W1402" t="s">
        <v>3120</v>
      </c>
      <c r="X1402" t="s">
        <v>186</v>
      </c>
      <c r="AA1402">
        <f>IF(Table_TRM_Fixtures[[#This Row],[Pre-EISA Baseline]]="Nominal", Table_TRM_Fixtures[[#This Row],[Fixture Watts  (TRM Data)]], Table_TRM_Fixtures[[#This Row],[Modified Baseline Fixture Watts]])</f>
        <v>20</v>
      </c>
    </row>
    <row r="1403" spans="1:27" x14ac:dyDescent="0.2">
      <c r="A1403" t="s">
        <v>2511</v>
      </c>
      <c r="B1403" t="s">
        <v>5885</v>
      </c>
      <c r="C1403" t="s">
        <v>2510</v>
      </c>
      <c r="D1403" t="s">
        <v>5886</v>
      </c>
      <c r="E1403" t="s">
        <v>1309</v>
      </c>
      <c r="F1403">
        <v>1</v>
      </c>
      <c r="G1403">
        <v>32</v>
      </c>
      <c r="H1403">
        <v>31</v>
      </c>
      <c r="I1403">
        <v>15.5</v>
      </c>
      <c r="J1403" s="110">
        <v>1401</v>
      </c>
      <c r="K1403" t="s">
        <v>2499</v>
      </c>
      <c r="L1403">
        <f>IF(Table_TRM_Fixtures[[#This Row],[Technology]]="LED", Table_TRM_Fixtures[[#This Row],[Fixture Watts  (TRM Data)]], Table_TRM_Fixtures[[#This Row],[Lamp Watts  (TRM Data)]])</f>
        <v>32</v>
      </c>
      <c r="M1403">
        <f>Table_TRM_Fixtures[[#This Row],[No. of Lamps  (TRM Data)]]</f>
        <v>1</v>
      </c>
      <c r="N1403">
        <v>12</v>
      </c>
      <c r="O1403" t="s">
        <v>186</v>
      </c>
      <c r="P1403" t="s">
        <v>2640</v>
      </c>
      <c r="S1403" t="str">
        <f>Table_TRM_Fixtures[[#This Row],[Description  (TRM Data)]]</f>
        <v>Fluorescent, (1) 12" circular lamp, RS ballast</v>
      </c>
      <c r="T1403" t="str">
        <f>Table_TRM_Fixtures[[#This Row],[Fixture code  (TRM Data)]]</f>
        <v>FC12/1</v>
      </c>
      <c r="U1403" t="s">
        <v>2883</v>
      </c>
      <c r="V1403" t="s">
        <v>5879</v>
      </c>
      <c r="W1403" t="s">
        <v>3120</v>
      </c>
      <c r="X1403" t="s">
        <v>186</v>
      </c>
      <c r="AA1403">
        <f>IF(Table_TRM_Fixtures[[#This Row],[Pre-EISA Baseline]]="Nominal", Table_TRM_Fixtures[[#This Row],[Fixture Watts  (TRM Data)]], Table_TRM_Fixtures[[#This Row],[Modified Baseline Fixture Watts]])</f>
        <v>31</v>
      </c>
    </row>
    <row r="1404" spans="1:27" x14ac:dyDescent="0.2">
      <c r="A1404" t="s">
        <v>2513</v>
      </c>
      <c r="B1404" t="s">
        <v>5885</v>
      </c>
      <c r="C1404" t="s">
        <v>2512</v>
      </c>
      <c r="D1404" t="s">
        <v>5887</v>
      </c>
      <c r="E1404" t="s">
        <v>1309</v>
      </c>
      <c r="F1404">
        <v>2</v>
      </c>
      <c r="G1404">
        <v>32</v>
      </c>
      <c r="H1404">
        <v>62</v>
      </c>
      <c r="I1404">
        <v>15.5</v>
      </c>
      <c r="J1404" s="110">
        <v>1402</v>
      </c>
      <c r="K1404" t="s">
        <v>2499</v>
      </c>
      <c r="L1404">
        <f>IF(Table_TRM_Fixtures[[#This Row],[Technology]]="LED", Table_TRM_Fixtures[[#This Row],[Fixture Watts  (TRM Data)]], Table_TRM_Fixtures[[#This Row],[Lamp Watts  (TRM Data)]])</f>
        <v>32</v>
      </c>
      <c r="M1404">
        <f>Table_TRM_Fixtures[[#This Row],[No. of Lamps  (TRM Data)]]</f>
        <v>2</v>
      </c>
      <c r="N1404" t="s">
        <v>186</v>
      </c>
      <c r="O1404" t="s">
        <v>186</v>
      </c>
      <c r="P1404" t="s">
        <v>2640</v>
      </c>
      <c r="S1404" t="str">
        <f>Table_TRM_Fixtures[[#This Row],[Description  (TRM Data)]]</f>
        <v>Fluorescent, (2) 12" circular lamps, RS ballast</v>
      </c>
      <c r="T1404" t="str">
        <f>Table_TRM_Fixtures[[#This Row],[Fixture code  (TRM Data)]]</f>
        <v>FC12/2</v>
      </c>
      <c r="U1404" t="s">
        <v>2883</v>
      </c>
      <c r="V1404" t="s">
        <v>5879</v>
      </c>
      <c r="W1404" t="s">
        <v>3120</v>
      </c>
      <c r="X1404" t="s">
        <v>186</v>
      </c>
      <c r="AA1404">
        <f>IF(Table_TRM_Fixtures[[#This Row],[Pre-EISA Baseline]]="Nominal", Table_TRM_Fixtures[[#This Row],[Fixture Watts  (TRM Data)]], Table_TRM_Fixtures[[#This Row],[Modified Baseline Fixture Watts]])</f>
        <v>62</v>
      </c>
    </row>
    <row r="1405" spans="1:27" x14ac:dyDescent="0.2">
      <c r="A1405" t="s">
        <v>2515</v>
      </c>
      <c r="B1405" t="s">
        <v>5885</v>
      </c>
      <c r="C1405" t="s">
        <v>2514</v>
      </c>
      <c r="D1405" t="s">
        <v>5888</v>
      </c>
      <c r="E1405" t="s">
        <v>1309</v>
      </c>
      <c r="F1405">
        <v>1</v>
      </c>
      <c r="G1405">
        <v>32</v>
      </c>
      <c r="H1405">
        <v>40</v>
      </c>
      <c r="I1405">
        <v>15.5</v>
      </c>
      <c r="J1405" s="110">
        <v>1403</v>
      </c>
      <c r="K1405" t="s">
        <v>2499</v>
      </c>
      <c r="L1405">
        <f>IF(Table_TRM_Fixtures[[#This Row],[Technology]]="LED", Table_TRM_Fixtures[[#This Row],[Fixture Watts  (TRM Data)]], Table_TRM_Fixtures[[#This Row],[Lamp Watts  (TRM Data)]])</f>
        <v>32</v>
      </c>
      <c r="M1405">
        <f>Table_TRM_Fixtures[[#This Row],[No. of Lamps  (TRM Data)]]</f>
        <v>1</v>
      </c>
      <c r="N1405" t="s">
        <v>186</v>
      </c>
      <c r="O1405" t="s">
        <v>186</v>
      </c>
      <c r="P1405" t="s">
        <v>2640</v>
      </c>
      <c r="S1405" t="str">
        <f>Table_TRM_Fixtures[[#This Row],[Description  (TRM Data)]]</f>
        <v>Fluorescent, Circline, (1) 32W lamp, preheat ballast</v>
      </c>
      <c r="T1405" t="str">
        <f>Table_TRM_Fixtures[[#This Row],[Fixture code  (TRM Data)]]</f>
        <v>FC32</v>
      </c>
      <c r="U1405" t="s">
        <v>2883</v>
      </c>
      <c r="V1405" t="s">
        <v>5879</v>
      </c>
      <c r="W1405" t="s">
        <v>3120</v>
      </c>
      <c r="X1405" t="s">
        <v>186</v>
      </c>
      <c r="AA1405">
        <f>IF(Table_TRM_Fixtures[[#This Row],[Pre-EISA Baseline]]="Nominal", Table_TRM_Fixtures[[#This Row],[Fixture Watts  (TRM Data)]], Table_TRM_Fixtures[[#This Row],[Modified Baseline Fixture Watts]])</f>
        <v>40</v>
      </c>
    </row>
    <row r="1406" spans="1:27" x14ac:dyDescent="0.2">
      <c r="A1406" t="s">
        <v>2517</v>
      </c>
      <c r="B1406" t="s">
        <v>5889</v>
      </c>
      <c r="C1406" t="s">
        <v>2516</v>
      </c>
      <c r="D1406" t="s">
        <v>5890</v>
      </c>
      <c r="E1406" t="s">
        <v>1309</v>
      </c>
      <c r="F1406">
        <v>1</v>
      </c>
      <c r="G1406">
        <v>40</v>
      </c>
      <c r="H1406">
        <v>35</v>
      </c>
      <c r="I1406">
        <v>15.5</v>
      </c>
      <c r="J1406" s="110">
        <v>1404</v>
      </c>
      <c r="K1406" t="s">
        <v>2499</v>
      </c>
      <c r="L1406">
        <f>IF(Table_TRM_Fixtures[[#This Row],[Technology]]="LED", Table_TRM_Fixtures[[#This Row],[Fixture Watts  (TRM Data)]], Table_TRM_Fixtures[[#This Row],[Lamp Watts  (TRM Data)]])</f>
        <v>40</v>
      </c>
      <c r="M1406">
        <f>Table_TRM_Fixtures[[#This Row],[No. of Lamps  (TRM Data)]]</f>
        <v>1</v>
      </c>
      <c r="N1406">
        <v>16</v>
      </c>
      <c r="O1406" t="s">
        <v>186</v>
      </c>
      <c r="P1406" t="s">
        <v>2640</v>
      </c>
      <c r="S1406" t="str">
        <f>Table_TRM_Fixtures[[#This Row],[Description  (TRM Data)]]</f>
        <v>Fluorescent, (1) 16" circular lamp</v>
      </c>
      <c r="T1406" t="str">
        <f>Table_TRM_Fixtures[[#This Row],[Fixture code  (TRM Data)]]</f>
        <v>FC16/1</v>
      </c>
      <c r="U1406" t="s">
        <v>2883</v>
      </c>
      <c r="V1406" t="s">
        <v>5879</v>
      </c>
      <c r="W1406" t="s">
        <v>3120</v>
      </c>
      <c r="X1406" t="s">
        <v>186</v>
      </c>
      <c r="AA1406">
        <f>IF(Table_TRM_Fixtures[[#This Row],[Pre-EISA Baseline]]="Nominal", Table_TRM_Fixtures[[#This Row],[Fixture Watts  (TRM Data)]], Table_TRM_Fixtures[[#This Row],[Modified Baseline Fixture Watts]])</f>
        <v>35</v>
      </c>
    </row>
    <row r="1407" spans="1:27" x14ac:dyDescent="0.2">
      <c r="A1407" t="s">
        <v>2518</v>
      </c>
      <c r="B1407" t="s">
        <v>5889</v>
      </c>
      <c r="C1407" t="s">
        <v>2514</v>
      </c>
      <c r="D1407" t="s">
        <v>5891</v>
      </c>
      <c r="E1407" t="s">
        <v>1309</v>
      </c>
      <c r="F1407">
        <v>1</v>
      </c>
      <c r="G1407">
        <v>32</v>
      </c>
      <c r="H1407">
        <v>42</v>
      </c>
      <c r="I1407">
        <v>15.5</v>
      </c>
      <c r="J1407" s="110">
        <v>1405</v>
      </c>
      <c r="K1407" t="s">
        <v>2499</v>
      </c>
      <c r="L1407">
        <f>IF(Table_TRM_Fixtures[[#This Row],[Technology]]="LED", Table_TRM_Fixtures[[#This Row],[Fixture Watts  (TRM Data)]], Table_TRM_Fixtures[[#This Row],[Lamp Watts  (TRM Data)]])</f>
        <v>32</v>
      </c>
      <c r="M1407">
        <f>Table_TRM_Fixtures[[#This Row],[No. of Lamps  (TRM Data)]]</f>
        <v>1</v>
      </c>
      <c r="N1407" t="s">
        <v>186</v>
      </c>
      <c r="O1407" t="s">
        <v>186</v>
      </c>
      <c r="P1407" t="s">
        <v>2640</v>
      </c>
      <c r="S1407" t="str">
        <f>Table_TRM_Fixtures[[#This Row],[Description  (TRM Data)]]</f>
        <v>Fluorescent, Circline, (1) 32W lamp, preheat ballast</v>
      </c>
      <c r="T1407" t="str">
        <f>Table_TRM_Fixtures[[#This Row],[Fixture code  (TRM Data)]]</f>
        <v>FC40</v>
      </c>
      <c r="U1407" t="s">
        <v>2883</v>
      </c>
      <c r="V1407" t="s">
        <v>5879</v>
      </c>
      <c r="W1407" t="s">
        <v>3120</v>
      </c>
      <c r="X1407" t="s">
        <v>186</v>
      </c>
      <c r="AA1407">
        <f>IF(Table_TRM_Fixtures[[#This Row],[Pre-EISA Baseline]]="Nominal", Table_TRM_Fixtures[[#This Row],[Fixture Watts  (TRM Data)]], Table_TRM_Fixtures[[#This Row],[Modified Baseline Fixture Watts]])</f>
        <v>42</v>
      </c>
    </row>
    <row r="1408" spans="1:27" x14ac:dyDescent="0.2">
      <c r="A1408" t="s">
        <v>2521</v>
      </c>
      <c r="B1408" t="s">
        <v>5470</v>
      </c>
      <c r="C1408" t="s">
        <v>2520</v>
      </c>
      <c r="D1408" t="s">
        <v>5892</v>
      </c>
      <c r="E1408" t="s">
        <v>187</v>
      </c>
      <c r="F1408">
        <v>1</v>
      </c>
      <c r="G1408">
        <v>40</v>
      </c>
      <c r="H1408">
        <v>44</v>
      </c>
      <c r="I1408">
        <v>15.5</v>
      </c>
      <c r="J1408" s="110">
        <v>1406</v>
      </c>
      <c r="K1408" t="s">
        <v>2519</v>
      </c>
      <c r="L1408">
        <f>IF(Table_TRM_Fixtures[[#This Row],[Technology]]="LED", Table_TRM_Fixtures[[#This Row],[Fixture Watts  (TRM Data)]], Table_TRM_Fixtures[[#This Row],[Lamp Watts  (TRM Data)]])</f>
        <v>40</v>
      </c>
      <c r="M1408">
        <f>Table_TRM_Fixtures[[#This Row],[No. of Lamps  (TRM Data)]]</f>
        <v>1</v>
      </c>
      <c r="N1408" t="s">
        <v>186</v>
      </c>
      <c r="O1408" t="s">
        <v>186</v>
      </c>
      <c r="P1408" t="s">
        <v>187</v>
      </c>
      <c r="S1408" t="str">
        <f>Table_TRM_Fixtures[[#This Row],[Description  (TRM Data)]]</f>
        <v>Electrodeless Fluorescent System, (1) 40W lamp</v>
      </c>
      <c r="T1408" t="str">
        <f>Table_TRM_Fixtures[[#This Row],[Fixture code  (TRM Data)]]</f>
        <v>FEI40/1</v>
      </c>
      <c r="U1408" t="s">
        <v>2883</v>
      </c>
      <c r="V1408" t="s">
        <v>5893</v>
      </c>
      <c r="W1408" t="s">
        <v>3120</v>
      </c>
      <c r="X1408" t="s">
        <v>186</v>
      </c>
      <c r="AA1408">
        <f>IF(Table_TRM_Fixtures[[#This Row],[Pre-EISA Baseline]]="Nominal", Table_TRM_Fixtures[[#This Row],[Fixture Watts  (TRM Data)]], Table_TRM_Fixtures[[#This Row],[Modified Baseline Fixture Watts]])</f>
        <v>44</v>
      </c>
    </row>
    <row r="1409" spans="1:27" x14ac:dyDescent="0.2">
      <c r="A1409" t="s">
        <v>2523</v>
      </c>
      <c r="B1409" t="s">
        <v>5493</v>
      </c>
      <c r="C1409" t="s">
        <v>2522</v>
      </c>
      <c r="D1409" t="s">
        <v>5894</v>
      </c>
      <c r="E1409" t="s">
        <v>187</v>
      </c>
      <c r="F1409">
        <v>1</v>
      </c>
      <c r="G1409">
        <v>55</v>
      </c>
      <c r="H1409">
        <v>59</v>
      </c>
      <c r="I1409">
        <v>15.5</v>
      </c>
      <c r="J1409" s="110">
        <v>1407</v>
      </c>
      <c r="K1409" t="s">
        <v>2519</v>
      </c>
      <c r="L1409">
        <f>IF(Table_TRM_Fixtures[[#This Row],[Technology]]="LED", Table_TRM_Fixtures[[#This Row],[Fixture Watts  (TRM Data)]], Table_TRM_Fixtures[[#This Row],[Lamp Watts  (TRM Data)]])</f>
        <v>55</v>
      </c>
      <c r="M1409">
        <f>Table_TRM_Fixtures[[#This Row],[No. of Lamps  (TRM Data)]]</f>
        <v>1</v>
      </c>
      <c r="N1409" t="s">
        <v>186</v>
      </c>
      <c r="O1409" t="s">
        <v>186</v>
      </c>
      <c r="P1409" t="s">
        <v>187</v>
      </c>
      <c r="S1409" t="str">
        <f>Table_TRM_Fixtures[[#This Row],[Description  (TRM Data)]]</f>
        <v>Electrodeless Fluorescent System, (1) 55W lamp</v>
      </c>
      <c r="T1409" t="str">
        <f>Table_TRM_Fixtures[[#This Row],[Fixture code  (TRM Data)]]</f>
        <v>FEI55/1</v>
      </c>
      <c r="U1409" t="s">
        <v>2883</v>
      </c>
      <c r="V1409" t="s">
        <v>5893</v>
      </c>
      <c r="W1409" t="s">
        <v>3120</v>
      </c>
      <c r="X1409" t="s">
        <v>186</v>
      </c>
      <c r="AA1409">
        <f>IF(Table_TRM_Fixtures[[#This Row],[Pre-EISA Baseline]]="Nominal", Table_TRM_Fixtures[[#This Row],[Fixture Watts  (TRM Data)]], Table_TRM_Fixtures[[#This Row],[Modified Baseline Fixture Watts]])</f>
        <v>59</v>
      </c>
    </row>
    <row r="1410" spans="1:27" x14ac:dyDescent="0.2">
      <c r="A1410" t="s">
        <v>2525</v>
      </c>
      <c r="B1410" t="s">
        <v>5895</v>
      </c>
      <c r="C1410" t="s">
        <v>2524</v>
      </c>
      <c r="D1410" t="s">
        <v>5896</v>
      </c>
      <c r="E1410" t="s">
        <v>187</v>
      </c>
      <c r="F1410">
        <v>1</v>
      </c>
      <c r="G1410">
        <v>60</v>
      </c>
      <c r="H1410">
        <v>64</v>
      </c>
      <c r="I1410">
        <v>15.5</v>
      </c>
      <c r="J1410" s="110">
        <v>1408</v>
      </c>
      <c r="K1410" t="s">
        <v>2519</v>
      </c>
      <c r="L1410">
        <f>IF(Table_TRM_Fixtures[[#This Row],[Technology]]="LED", Table_TRM_Fixtures[[#This Row],[Fixture Watts  (TRM Data)]], Table_TRM_Fixtures[[#This Row],[Lamp Watts  (TRM Data)]])</f>
        <v>60</v>
      </c>
      <c r="M1410">
        <f>Table_TRM_Fixtures[[#This Row],[No. of Lamps  (TRM Data)]]</f>
        <v>1</v>
      </c>
      <c r="N1410" t="s">
        <v>186</v>
      </c>
      <c r="O1410" t="s">
        <v>186</v>
      </c>
      <c r="P1410" t="s">
        <v>187</v>
      </c>
      <c r="S1410" t="str">
        <f>Table_TRM_Fixtures[[#This Row],[Description  (TRM Data)]]</f>
        <v>Electrodeless Fluorescent System, (1) 60W lamp</v>
      </c>
      <c r="T1410" t="str">
        <f>Table_TRM_Fixtures[[#This Row],[Fixture code  (TRM Data)]]</f>
        <v>FEI60/1</v>
      </c>
      <c r="U1410" t="s">
        <v>2883</v>
      </c>
      <c r="V1410" t="s">
        <v>5893</v>
      </c>
      <c r="W1410" t="s">
        <v>3120</v>
      </c>
      <c r="X1410" t="s">
        <v>186</v>
      </c>
      <c r="AA1410">
        <f>IF(Table_TRM_Fixtures[[#This Row],[Pre-EISA Baseline]]="Nominal", Table_TRM_Fixtures[[#This Row],[Fixture Watts  (TRM Data)]], Table_TRM_Fixtures[[#This Row],[Modified Baseline Fixture Watts]])</f>
        <v>64</v>
      </c>
    </row>
    <row r="1411" spans="1:27" x14ac:dyDescent="0.2">
      <c r="A1411" t="s">
        <v>2527</v>
      </c>
      <c r="B1411" t="s">
        <v>5897</v>
      </c>
      <c r="C1411" t="s">
        <v>2526</v>
      </c>
      <c r="D1411" t="s">
        <v>5898</v>
      </c>
      <c r="E1411" t="s">
        <v>187</v>
      </c>
      <c r="F1411">
        <v>1</v>
      </c>
      <c r="G1411">
        <v>70</v>
      </c>
      <c r="H1411">
        <v>74</v>
      </c>
      <c r="I1411">
        <v>15.5</v>
      </c>
      <c r="J1411" s="110">
        <v>1409</v>
      </c>
      <c r="K1411" t="s">
        <v>2519</v>
      </c>
      <c r="L1411">
        <f>IF(Table_TRM_Fixtures[[#This Row],[Technology]]="LED", Table_TRM_Fixtures[[#This Row],[Fixture Watts  (TRM Data)]], Table_TRM_Fixtures[[#This Row],[Lamp Watts  (TRM Data)]])</f>
        <v>70</v>
      </c>
      <c r="M1411">
        <f>Table_TRM_Fixtures[[#This Row],[No. of Lamps  (TRM Data)]]</f>
        <v>1</v>
      </c>
      <c r="N1411" t="s">
        <v>186</v>
      </c>
      <c r="O1411" t="s">
        <v>186</v>
      </c>
      <c r="P1411" t="s">
        <v>187</v>
      </c>
      <c r="S1411" t="str">
        <f>Table_TRM_Fixtures[[#This Row],[Description  (TRM Data)]]</f>
        <v>Electrodeless Fluorescent System, (1) 70W lamp</v>
      </c>
      <c r="T1411" t="str">
        <f>Table_TRM_Fixtures[[#This Row],[Fixture code  (TRM Data)]]</f>
        <v>FEI70/1</v>
      </c>
      <c r="U1411" t="s">
        <v>2883</v>
      </c>
      <c r="V1411" t="s">
        <v>5893</v>
      </c>
      <c r="W1411" t="s">
        <v>3120</v>
      </c>
      <c r="X1411" t="s">
        <v>186</v>
      </c>
      <c r="AA1411">
        <f>IF(Table_TRM_Fixtures[[#This Row],[Pre-EISA Baseline]]="Nominal", Table_TRM_Fixtures[[#This Row],[Fixture Watts  (TRM Data)]], Table_TRM_Fixtures[[#This Row],[Modified Baseline Fixture Watts]])</f>
        <v>74</v>
      </c>
    </row>
    <row r="1412" spans="1:27" x14ac:dyDescent="0.2">
      <c r="A1412" t="s">
        <v>2529</v>
      </c>
      <c r="B1412" t="s">
        <v>5506</v>
      </c>
      <c r="C1412" t="s">
        <v>2528</v>
      </c>
      <c r="D1412" t="s">
        <v>5899</v>
      </c>
      <c r="E1412" t="s">
        <v>187</v>
      </c>
      <c r="F1412">
        <v>1</v>
      </c>
      <c r="G1412">
        <v>80</v>
      </c>
      <c r="H1412">
        <v>84</v>
      </c>
      <c r="I1412">
        <v>15.5</v>
      </c>
      <c r="J1412" s="110">
        <v>1410</v>
      </c>
      <c r="K1412" t="s">
        <v>2519</v>
      </c>
      <c r="L1412">
        <f>IF(Table_TRM_Fixtures[[#This Row],[Technology]]="LED", Table_TRM_Fixtures[[#This Row],[Fixture Watts  (TRM Data)]], Table_TRM_Fixtures[[#This Row],[Lamp Watts  (TRM Data)]])</f>
        <v>80</v>
      </c>
      <c r="M1412">
        <f>Table_TRM_Fixtures[[#This Row],[No. of Lamps  (TRM Data)]]</f>
        <v>1</v>
      </c>
      <c r="N1412" t="s">
        <v>186</v>
      </c>
      <c r="O1412" t="s">
        <v>186</v>
      </c>
      <c r="P1412" t="s">
        <v>187</v>
      </c>
      <c r="S1412" t="str">
        <f>Table_TRM_Fixtures[[#This Row],[Description  (TRM Data)]]</f>
        <v>Electrodeless Fluorescent System, (1) 80W lamp</v>
      </c>
      <c r="T1412" t="str">
        <f>Table_TRM_Fixtures[[#This Row],[Fixture code  (TRM Data)]]</f>
        <v>FEI80/1</v>
      </c>
      <c r="U1412" t="s">
        <v>2883</v>
      </c>
      <c r="V1412" t="s">
        <v>5893</v>
      </c>
      <c r="W1412" t="s">
        <v>3120</v>
      </c>
      <c r="X1412" t="s">
        <v>186</v>
      </c>
      <c r="AA1412">
        <f>IF(Table_TRM_Fixtures[[#This Row],[Pre-EISA Baseline]]="Nominal", Table_TRM_Fixtures[[#This Row],[Fixture Watts  (TRM Data)]], Table_TRM_Fixtures[[#This Row],[Modified Baseline Fixture Watts]])</f>
        <v>84</v>
      </c>
    </row>
    <row r="1413" spans="1:27" x14ac:dyDescent="0.2">
      <c r="A1413" t="s">
        <v>2531</v>
      </c>
      <c r="B1413" t="s">
        <v>5900</v>
      </c>
      <c r="C1413" t="s">
        <v>2530</v>
      </c>
      <c r="D1413" t="s">
        <v>5901</v>
      </c>
      <c r="E1413" t="s">
        <v>187</v>
      </c>
      <c r="F1413">
        <v>1</v>
      </c>
      <c r="G1413">
        <v>85</v>
      </c>
      <c r="H1413">
        <v>89</v>
      </c>
      <c r="I1413">
        <v>15.5</v>
      </c>
      <c r="J1413" s="110">
        <v>1411</v>
      </c>
      <c r="K1413" t="s">
        <v>2519</v>
      </c>
      <c r="L1413">
        <f>IF(Table_TRM_Fixtures[[#This Row],[Technology]]="LED", Table_TRM_Fixtures[[#This Row],[Fixture Watts  (TRM Data)]], Table_TRM_Fixtures[[#This Row],[Lamp Watts  (TRM Data)]])</f>
        <v>85</v>
      </c>
      <c r="M1413">
        <f>Table_TRM_Fixtures[[#This Row],[No. of Lamps  (TRM Data)]]</f>
        <v>1</v>
      </c>
      <c r="N1413" t="s">
        <v>186</v>
      </c>
      <c r="O1413" t="s">
        <v>186</v>
      </c>
      <c r="P1413" t="s">
        <v>187</v>
      </c>
      <c r="S1413" t="str">
        <f>Table_TRM_Fixtures[[#This Row],[Description  (TRM Data)]]</f>
        <v>Electrodeless Fluorescent System, (1) 85W lamp</v>
      </c>
      <c r="T1413" t="str">
        <f>Table_TRM_Fixtures[[#This Row],[Fixture code  (TRM Data)]]</f>
        <v>FEI85/1</v>
      </c>
      <c r="U1413" t="s">
        <v>2883</v>
      </c>
      <c r="V1413" t="s">
        <v>5893</v>
      </c>
      <c r="W1413" t="s">
        <v>3120</v>
      </c>
      <c r="X1413" t="s">
        <v>186</v>
      </c>
      <c r="AA1413">
        <f>IF(Table_TRM_Fixtures[[#This Row],[Pre-EISA Baseline]]="Nominal", Table_TRM_Fixtures[[#This Row],[Fixture Watts  (TRM Data)]], Table_TRM_Fixtures[[#This Row],[Modified Baseline Fixture Watts]])</f>
        <v>89</v>
      </c>
    </row>
    <row r="1414" spans="1:27" x14ac:dyDescent="0.2">
      <c r="A1414" t="s">
        <v>2533</v>
      </c>
      <c r="B1414" t="s">
        <v>5902</v>
      </c>
      <c r="C1414" t="s">
        <v>2532</v>
      </c>
      <c r="D1414" t="s">
        <v>5903</v>
      </c>
      <c r="E1414" t="s">
        <v>187</v>
      </c>
      <c r="F1414">
        <v>1</v>
      </c>
      <c r="G1414">
        <v>100</v>
      </c>
      <c r="H1414">
        <v>105</v>
      </c>
      <c r="I1414">
        <v>15.5</v>
      </c>
      <c r="J1414" s="110">
        <v>1412</v>
      </c>
      <c r="K1414" t="s">
        <v>2519</v>
      </c>
      <c r="L1414">
        <f>IF(Table_TRM_Fixtures[[#This Row],[Technology]]="LED", Table_TRM_Fixtures[[#This Row],[Fixture Watts  (TRM Data)]], Table_TRM_Fixtures[[#This Row],[Lamp Watts  (TRM Data)]])</f>
        <v>100</v>
      </c>
      <c r="M1414">
        <f>Table_TRM_Fixtures[[#This Row],[No. of Lamps  (TRM Data)]]</f>
        <v>1</v>
      </c>
      <c r="N1414" t="s">
        <v>186</v>
      </c>
      <c r="O1414" t="s">
        <v>186</v>
      </c>
      <c r="P1414" t="s">
        <v>187</v>
      </c>
      <c r="S1414" t="str">
        <f>Table_TRM_Fixtures[[#This Row],[Description  (TRM Data)]]</f>
        <v>Electrodeless Fluorescent System, (1) 100W lamp</v>
      </c>
      <c r="T1414" t="str">
        <f>Table_TRM_Fixtures[[#This Row],[Fixture code  (TRM Data)]]</f>
        <v>FEI100/1</v>
      </c>
      <c r="U1414" t="s">
        <v>2883</v>
      </c>
      <c r="V1414" t="s">
        <v>5893</v>
      </c>
      <c r="W1414" t="s">
        <v>3120</v>
      </c>
      <c r="X1414" t="s">
        <v>186</v>
      </c>
      <c r="AA1414">
        <f>IF(Table_TRM_Fixtures[[#This Row],[Pre-EISA Baseline]]="Nominal", Table_TRM_Fixtures[[#This Row],[Fixture Watts  (TRM Data)]], Table_TRM_Fixtures[[#This Row],[Modified Baseline Fixture Watts]])</f>
        <v>105</v>
      </c>
    </row>
    <row r="1415" spans="1:27" x14ac:dyDescent="0.2">
      <c r="A1415" t="s">
        <v>2535</v>
      </c>
      <c r="B1415" t="s">
        <v>5904</v>
      </c>
      <c r="C1415" t="s">
        <v>2534</v>
      </c>
      <c r="D1415" t="s">
        <v>5905</v>
      </c>
      <c r="E1415" t="s">
        <v>187</v>
      </c>
      <c r="F1415">
        <v>1</v>
      </c>
      <c r="G1415">
        <v>125</v>
      </c>
      <c r="H1415">
        <v>131</v>
      </c>
      <c r="I1415">
        <v>15.5</v>
      </c>
      <c r="J1415" s="110">
        <v>1413</v>
      </c>
      <c r="K1415" t="s">
        <v>2519</v>
      </c>
      <c r="L1415">
        <f>IF(Table_TRM_Fixtures[[#This Row],[Technology]]="LED", Table_TRM_Fixtures[[#This Row],[Fixture Watts  (TRM Data)]], Table_TRM_Fixtures[[#This Row],[Lamp Watts  (TRM Data)]])</f>
        <v>125</v>
      </c>
      <c r="M1415">
        <f>Table_TRM_Fixtures[[#This Row],[No. of Lamps  (TRM Data)]]</f>
        <v>1</v>
      </c>
      <c r="N1415" t="s">
        <v>186</v>
      </c>
      <c r="O1415" t="s">
        <v>186</v>
      </c>
      <c r="P1415" t="s">
        <v>187</v>
      </c>
      <c r="S1415" t="str">
        <f>Table_TRM_Fixtures[[#This Row],[Description  (TRM Data)]]</f>
        <v>Electrodeless Fluorescent System, (1) 125W lamp</v>
      </c>
      <c r="T1415" t="str">
        <f>Table_TRM_Fixtures[[#This Row],[Fixture code  (TRM Data)]]</f>
        <v>FEI125/1</v>
      </c>
      <c r="U1415" t="s">
        <v>2883</v>
      </c>
      <c r="V1415" t="s">
        <v>5893</v>
      </c>
      <c r="W1415" t="s">
        <v>3120</v>
      </c>
      <c r="X1415" t="s">
        <v>186</v>
      </c>
      <c r="AA1415">
        <f>IF(Table_TRM_Fixtures[[#This Row],[Pre-EISA Baseline]]="Nominal", Table_TRM_Fixtures[[#This Row],[Fixture Watts  (TRM Data)]], Table_TRM_Fixtures[[#This Row],[Modified Baseline Fixture Watts]])</f>
        <v>131</v>
      </c>
    </row>
    <row r="1416" spans="1:27" x14ac:dyDescent="0.2">
      <c r="A1416" t="s">
        <v>2537</v>
      </c>
      <c r="B1416" t="s">
        <v>5906</v>
      </c>
      <c r="C1416" t="s">
        <v>2536</v>
      </c>
      <c r="D1416" t="s">
        <v>5907</v>
      </c>
      <c r="E1416" t="s">
        <v>187</v>
      </c>
      <c r="F1416">
        <v>1</v>
      </c>
      <c r="G1416">
        <v>150</v>
      </c>
      <c r="H1416">
        <v>157</v>
      </c>
      <c r="I1416">
        <v>15.5</v>
      </c>
      <c r="J1416" s="110">
        <v>1414</v>
      </c>
      <c r="K1416" t="s">
        <v>2519</v>
      </c>
      <c r="L1416">
        <f>IF(Table_TRM_Fixtures[[#This Row],[Technology]]="LED", Table_TRM_Fixtures[[#This Row],[Fixture Watts  (TRM Data)]], Table_TRM_Fixtures[[#This Row],[Lamp Watts  (TRM Data)]])</f>
        <v>150</v>
      </c>
      <c r="M1416">
        <f>Table_TRM_Fixtures[[#This Row],[No. of Lamps  (TRM Data)]]</f>
        <v>1</v>
      </c>
      <c r="N1416" t="s">
        <v>186</v>
      </c>
      <c r="O1416" t="s">
        <v>186</v>
      </c>
      <c r="P1416" t="s">
        <v>187</v>
      </c>
      <c r="S1416" t="str">
        <f>Table_TRM_Fixtures[[#This Row],[Description  (TRM Data)]]</f>
        <v>Electrodeless Fluorescent System, (1) 150W lamp</v>
      </c>
      <c r="T1416" t="str">
        <f>Table_TRM_Fixtures[[#This Row],[Fixture code  (TRM Data)]]</f>
        <v>FEI150/1</v>
      </c>
      <c r="U1416" t="s">
        <v>2883</v>
      </c>
      <c r="V1416" t="s">
        <v>5893</v>
      </c>
      <c r="W1416" t="s">
        <v>3120</v>
      </c>
      <c r="X1416" t="s">
        <v>186</v>
      </c>
      <c r="AA1416">
        <f>IF(Table_TRM_Fixtures[[#This Row],[Pre-EISA Baseline]]="Nominal", Table_TRM_Fixtures[[#This Row],[Fixture Watts  (TRM Data)]], Table_TRM_Fixtures[[#This Row],[Modified Baseline Fixture Watts]])</f>
        <v>157</v>
      </c>
    </row>
    <row r="1417" spans="1:27" x14ac:dyDescent="0.2">
      <c r="A1417" t="s">
        <v>2539</v>
      </c>
      <c r="B1417" t="s">
        <v>5908</v>
      </c>
      <c r="C1417" t="s">
        <v>2538</v>
      </c>
      <c r="D1417" t="s">
        <v>5909</v>
      </c>
      <c r="E1417" t="s">
        <v>187</v>
      </c>
      <c r="F1417">
        <v>1</v>
      </c>
      <c r="G1417">
        <v>165</v>
      </c>
      <c r="H1417">
        <v>173</v>
      </c>
      <c r="I1417">
        <v>15.5</v>
      </c>
      <c r="J1417" s="110">
        <v>1415</v>
      </c>
      <c r="K1417" t="s">
        <v>2519</v>
      </c>
      <c r="L1417">
        <f>IF(Table_TRM_Fixtures[[#This Row],[Technology]]="LED", Table_TRM_Fixtures[[#This Row],[Fixture Watts  (TRM Data)]], Table_TRM_Fixtures[[#This Row],[Lamp Watts  (TRM Data)]])</f>
        <v>165</v>
      </c>
      <c r="M1417">
        <f>Table_TRM_Fixtures[[#This Row],[No. of Lamps  (TRM Data)]]</f>
        <v>1</v>
      </c>
      <c r="N1417" t="s">
        <v>186</v>
      </c>
      <c r="O1417" t="s">
        <v>186</v>
      </c>
      <c r="P1417" t="s">
        <v>187</v>
      </c>
      <c r="S1417" t="str">
        <f>Table_TRM_Fixtures[[#This Row],[Description  (TRM Data)]]</f>
        <v>Electrodeless Fluorescent System, (1) 165W lamp</v>
      </c>
      <c r="T1417" t="str">
        <f>Table_TRM_Fixtures[[#This Row],[Fixture code  (TRM Data)]]</f>
        <v>FEI165/1</v>
      </c>
      <c r="U1417" t="s">
        <v>2883</v>
      </c>
      <c r="V1417" t="s">
        <v>5893</v>
      </c>
      <c r="W1417" t="s">
        <v>3120</v>
      </c>
      <c r="X1417" t="s">
        <v>186</v>
      </c>
      <c r="AA1417">
        <f>IF(Table_TRM_Fixtures[[#This Row],[Pre-EISA Baseline]]="Nominal", Table_TRM_Fixtures[[#This Row],[Fixture Watts  (TRM Data)]], Table_TRM_Fixtures[[#This Row],[Modified Baseline Fixture Watts]])</f>
        <v>173</v>
      </c>
    </row>
    <row r="1418" spans="1:27" x14ac:dyDescent="0.2">
      <c r="A1418" t="s">
        <v>2541</v>
      </c>
      <c r="B1418" t="s">
        <v>5910</v>
      </c>
      <c r="C1418" t="s">
        <v>2540</v>
      </c>
      <c r="D1418" t="s">
        <v>5911</v>
      </c>
      <c r="E1418" t="s">
        <v>187</v>
      </c>
      <c r="F1418">
        <v>1</v>
      </c>
      <c r="G1418">
        <v>200</v>
      </c>
      <c r="H1418">
        <v>210</v>
      </c>
      <c r="I1418">
        <v>15.5</v>
      </c>
      <c r="J1418" s="110">
        <v>1416</v>
      </c>
      <c r="K1418" t="s">
        <v>2519</v>
      </c>
      <c r="L1418">
        <f>IF(Table_TRM_Fixtures[[#This Row],[Technology]]="LED", Table_TRM_Fixtures[[#This Row],[Fixture Watts  (TRM Data)]], Table_TRM_Fixtures[[#This Row],[Lamp Watts  (TRM Data)]])</f>
        <v>200</v>
      </c>
      <c r="M1418">
        <f>Table_TRM_Fixtures[[#This Row],[No. of Lamps  (TRM Data)]]</f>
        <v>1</v>
      </c>
      <c r="N1418" t="s">
        <v>186</v>
      </c>
      <c r="O1418" t="s">
        <v>186</v>
      </c>
      <c r="P1418" t="s">
        <v>187</v>
      </c>
      <c r="S1418" t="str">
        <f>Table_TRM_Fixtures[[#This Row],[Description  (TRM Data)]]</f>
        <v>Electrodeless Fluorescent System, (1) 200W lamp</v>
      </c>
      <c r="T1418" t="str">
        <f>Table_TRM_Fixtures[[#This Row],[Fixture code  (TRM Data)]]</f>
        <v>FEI200/1</v>
      </c>
      <c r="U1418" t="s">
        <v>2883</v>
      </c>
      <c r="V1418" t="s">
        <v>5893</v>
      </c>
      <c r="W1418" t="s">
        <v>3120</v>
      </c>
      <c r="X1418" t="s">
        <v>186</v>
      </c>
      <c r="AA1418">
        <f>IF(Table_TRM_Fixtures[[#This Row],[Pre-EISA Baseline]]="Nominal", Table_TRM_Fixtures[[#This Row],[Fixture Watts  (TRM Data)]], Table_TRM_Fixtures[[#This Row],[Modified Baseline Fixture Watts]])</f>
        <v>210</v>
      </c>
    </row>
    <row r="1419" spans="1:27" x14ac:dyDescent="0.2">
      <c r="A1419" t="s">
        <v>2543</v>
      </c>
      <c r="B1419" t="s">
        <v>5912</v>
      </c>
      <c r="C1419" t="s">
        <v>2542</v>
      </c>
      <c r="D1419" t="s">
        <v>5913</v>
      </c>
      <c r="E1419" t="s">
        <v>187</v>
      </c>
      <c r="F1419">
        <v>1</v>
      </c>
      <c r="G1419">
        <v>250</v>
      </c>
      <c r="H1419">
        <v>263</v>
      </c>
      <c r="I1419">
        <v>15.5</v>
      </c>
      <c r="J1419" s="110">
        <v>1417</v>
      </c>
      <c r="K1419" t="s">
        <v>2519</v>
      </c>
      <c r="L1419">
        <f>IF(Table_TRM_Fixtures[[#This Row],[Technology]]="LED", Table_TRM_Fixtures[[#This Row],[Fixture Watts  (TRM Data)]], Table_TRM_Fixtures[[#This Row],[Lamp Watts  (TRM Data)]])</f>
        <v>250</v>
      </c>
      <c r="M1419">
        <f>Table_TRM_Fixtures[[#This Row],[No. of Lamps  (TRM Data)]]</f>
        <v>1</v>
      </c>
      <c r="N1419" t="s">
        <v>186</v>
      </c>
      <c r="O1419" t="s">
        <v>186</v>
      </c>
      <c r="P1419" t="s">
        <v>187</v>
      </c>
      <c r="S1419" t="str">
        <f>Table_TRM_Fixtures[[#This Row],[Description  (TRM Data)]]</f>
        <v>Electrodeless Fluorescent System, (1) 250W lamp</v>
      </c>
      <c r="T1419" t="str">
        <f>Table_TRM_Fixtures[[#This Row],[Fixture code  (TRM Data)]]</f>
        <v>FEI250/1</v>
      </c>
      <c r="U1419" t="s">
        <v>2883</v>
      </c>
      <c r="V1419" t="s">
        <v>5893</v>
      </c>
      <c r="W1419" t="s">
        <v>3120</v>
      </c>
      <c r="X1419" t="s">
        <v>186</v>
      </c>
      <c r="AA1419">
        <f>IF(Table_TRM_Fixtures[[#This Row],[Pre-EISA Baseline]]="Nominal", Table_TRM_Fixtures[[#This Row],[Fixture Watts  (TRM Data)]], Table_TRM_Fixtures[[#This Row],[Modified Baseline Fixture Watts]])</f>
        <v>263</v>
      </c>
    </row>
    <row r="1420" spans="1:27" x14ac:dyDescent="0.2">
      <c r="A1420" t="s">
        <v>2545</v>
      </c>
      <c r="B1420" t="s">
        <v>5914</v>
      </c>
      <c r="C1420" t="s">
        <v>2544</v>
      </c>
      <c r="D1420" t="s">
        <v>5915</v>
      </c>
      <c r="E1420" t="s">
        <v>187</v>
      </c>
      <c r="F1420">
        <v>1</v>
      </c>
      <c r="G1420">
        <v>300</v>
      </c>
      <c r="H1420">
        <v>315</v>
      </c>
      <c r="I1420">
        <v>15.5</v>
      </c>
      <c r="J1420" s="110">
        <v>1418</v>
      </c>
      <c r="K1420" t="s">
        <v>2519</v>
      </c>
      <c r="L1420">
        <f>IF(Table_TRM_Fixtures[[#This Row],[Technology]]="LED", Table_TRM_Fixtures[[#This Row],[Fixture Watts  (TRM Data)]], Table_TRM_Fixtures[[#This Row],[Lamp Watts  (TRM Data)]])</f>
        <v>300</v>
      </c>
      <c r="M1420">
        <f>Table_TRM_Fixtures[[#This Row],[No. of Lamps  (TRM Data)]]</f>
        <v>1</v>
      </c>
      <c r="N1420" t="s">
        <v>186</v>
      </c>
      <c r="O1420" t="s">
        <v>186</v>
      </c>
      <c r="P1420" t="s">
        <v>187</v>
      </c>
      <c r="S1420" t="str">
        <f>Table_TRM_Fixtures[[#This Row],[Description  (TRM Data)]]</f>
        <v>Electrodeless Fluorescent System, (1) 300W lamp</v>
      </c>
      <c r="T1420" t="str">
        <f>Table_TRM_Fixtures[[#This Row],[Fixture code  (TRM Data)]]</f>
        <v>FEI300/1</v>
      </c>
      <c r="U1420" t="s">
        <v>2883</v>
      </c>
      <c r="V1420" t="s">
        <v>5893</v>
      </c>
      <c r="W1420" t="s">
        <v>3120</v>
      </c>
      <c r="X1420" t="s">
        <v>186</v>
      </c>
      <c r="AA1420">
        <f>IF(Table_TRM_Fixtures[[#This Row],[Pre-EISA Baseline]]="Nominal", Table_TRM_Fixtures[[#This Row],[Fixture Watts  (TRM Data)]], Table_TRM_Fixtures[[#This Row],[Modified Baseline Fixture Watts]])</f>
        <v>315</v>
      </c>
    </row>
    <row r="1421" spans="1:27" x14ac:dyDescent="0.2">
      <c r="A1421" t="s">
        <v>2547</v>
      </c>
      <c r="B1421" t="s">
        <v>5916</v>
      </c>
      <c r="C1421" t="s">
        <v>2546</v>
      </c>
      <c r="D1421" t="s">
        <v>5917</v>
      </c>
      <c r="E1421" t="s">
        <v>187</v>
      </c>
      <c r="F1421">
        <v>1</v>
      </c>
      <c r="G1421">
        <v>400</v>
      </c>
      <c r="H1421">
        <v>420</v>
      </c>
      <c r="I1421">
        <v>15.5</v>
      </c>
      <c r="J1421" s="110">
        <v>1419</v>
      </c>
      <c r="K1421" t="s">
        <v>2519</v>
      </c>
      <c r="L1421">
        <f>IF(Table_TRM_Fixtures[[#This Row],[Technology]]="LED", Table_TRM_Fixtures[[#This Row],[Fixture Watts  (TRM Data)]], Table_TRM_Fixtures[[#This Row],[Lamp Watts  (TRM Data)]])</f>
        <v>400</v>
      </c>
      <c r="M1421">
        <f>Table_TRM_Fixtures[[#This Row],[No. of Lamps  (TRM Data)]]</f>
        <v>1</v>
      </c>
      <c r="N1421" t="s">
        <v>186</v>
      </c>
      <c r="O1421" t="s">
        <v>186</v>
      </c>
      <c r="P1421" t="s">
        <v>187</v>
      </c>
      <c r="S1421" t="str">
        <f>Table_TRM_Fixtures[[#This Row],[Description  (TRM Data)]]</f>
        <v>Electrodeless Fluorescent System, (1) 400W lamp</v>
      </c>
      <c r="T1421" t="str">
        <f>Table_TRM_Fixtures[[#This Row],[Fixture code  (TRM Data)]]</f>
        <v>FEI400/1</v>
      </c>
      <c r="U1421" t="s">
        <v>2883</v>
      </c>
      <c r="V1421" t="s">
        <v>5893</v>
      </c>
      <c r="W1421" t="s">
        <v>3120</v>
      </c>
      <c r="X1421" t="s">
        <v>186</v>
      </c>
      <c r="AA1421">
        <f>IF(Table_TRM_Fixtures[[#This Row],[Pre-EISA Baseline]]="Nominal", Table_TRM_Fixtures[[#This Row],[Fixture Watts  (TRM Data)]], Table_TRM_Fixtures[[#This Row],[Modified Baseline Fixture Watts]])</f>
        <v>420</v>
      </c>
    </row>
    <row r="1422" spans="1:27" x14ac:dyDescent="0.2">
      <c r="A1422" t="s">
        <v>2550</v>
      </c>
      <c r="B1422" t="s">
        <v>5918</v>
      </c>
      <c r="C1422" t="s">
        <v>2549</v>
      </c>
      <c r="D1422" t="s">
        <v>5919</v>
      </c>
      <c r="E1422" t="s">
        <v>187</v>
      </c>
      <c r="F1422">
        <v>1</v>
      </c>
      <c r="G1422">
        <v>32</v>
      </c>
      <c r="H1422">
        <v>31</v>
      </c>
      <c r="I1422">
        <v>15.5</v>
      </c>
      <c r="J1422" s="110">
        <v>1420</v>
      </c>
      <c r="K1422" t="s">
        <v>2548</v>
      </c>
      <c r="L1422">
        <f>IF(Table_TRM_Fixtures[[#This Row],[Technology]]="LED", Table_TRM_Fixtures[[#This Row],[Fixture Watts  (TRM Data)]], Table_TRM_Fixtures[[#This Row],[Lamp Watts  (TRM Data)]])</f>
        <v>32</v>
      </c>
      <c r="M1422">
        <f>Table_TRM_Fixtures[[#This Row],[No. of Lamps  (TRM Data)]]</f>
        <v>1</v>
      </c>
      <c r="N1422" t="s">
        <v>186</v>
      </c>
      <c r="O1422" t="s">
        <v>1381</v>
      </c>
      <c r="P1422" t="s">
        <v>187</v>
      </c>
      <c r="Q1422" t="s">
        <v>5612</v>
      </c>
      <c r="R1422" t="str">
        <f>_xlfn.CONCAT(Table_TRM_Fixtures[[#This Row],[Technology]], ", ", Table_TRM_Fixtures[[#This Row],[Ballast Code]], " Ballast")</f>
        <v>U T8, Electronic STD Ballast</v>
      </c>
      <c r="S1422" t="str">
        <f>Table_TRM_Fixtures[[#This Row],[Description  (TRM Data)]]</f>
        <v>Fluorescent, (1) U-Tube, T-8 lamp, Instant Start ballast</v>
      </c>
      <c r="T1422" t="str">
        <f>Table_TRM_Fixtures[[#This Row],[Fixture code  (TRM Data)]]</f>
        <v>FU1ILL</v>
      </c>
      <c r="U1422" t="s">
        <v>2882</v>
      </c>
      <c r="V1422" t="s">
        <v>186</v>
      </c>
      <c r="W1422" t="s">
        <v>3120</v>
      </c>
      <c r="X1422" t="s">
        <v>186</v>
      </c>
      <c r="Y1422" t="str">
        <f>_xlfn.CONCAT(Table_TRM_Fixtures[[#This Row],[Combined Lighting/Ballast Types]],":",Table_TRM_Fixtures[[#This Row],[No. of Lamps]], ":", Table_TRM_Fixtures[[#This Row],[Lamp Watts  (TRM Data)]])</f>
        <v>U T8, Electronic STD Ballast:1:32</v>
      </c>
      <c r="Z1422"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U T8:1:32</v>
      </c>
      <c r="AA1422">
        <f>IF(Table_TRM_Fixtures[[#This Row],[Pre-EISA Baseline]]="Nominal", Table_TRM_Fixtures[[#This Row],[Fixture Watts  (TRM Data)]], Table_TRM_Fixtures[[#This Row],[Modified Baseline Fixture Watts]])</f>
        <v>31</v>
      </c>
    </row>
    <row r="1423" spans="1:27" x14ac:dyDescent="0.2">
      <c r="A1423" t="s">
        <v>2552</v>
      </c>
      <c r="B1423" t="s">
        <v>5918</v>
      </c>
      <c r="C1423" t="s">
        <v>2551</v>
      </c>
      <c r="D1423" t="s">
        <v>5919</v>
      </c>
      <c r="E1423" t="s">
        <v>187</v>
      </c>
      <c r="F1423">
        <v>1</v>
      </c>
      <c r="G1423">
        <v>32</v>
      </c>
      <c r="H1423">
        <v>32</v>
      </c>
      <c r="I1423">
        <v>15.5</v>
      </c>
      <c r="J1423" s="110">
        <v>1421</v>
      </c>
      <c r="K1423" t="s">
        <v>2548</v>
      </c>
      <c r="L1423">
        <f>IF(Table_TRM_Fixtures[[#This Row],[Technology]]="LED", Table_TRM_Fixtures[[#This Row],[Fixture Watts  (TRM Data)]], Table_TRM_Fixtures[[#This Row],[Lamp Watts  (TRM Data)]])</f>
        <v>32</v>
      </c>
      <c r="M1423">
        <f>Table_TRM_Fixtures[[#This Row],[No. of Lamps  (TRM Data)]]</f>
        <v>1</v>
      </c>
      <c r="N1423" t="s">
        <v>186</v>
      </c>
      <c r="O1423" t="s">
        <v>1381</v>
      </c>
      <c r="P1423" t="s">
        <v>187</v>
      </c>
      <c r="Q1423" t="s">
        <v>5612</v>
      </c>
      <c r="R1423" t="str">
        <f>_xlfn.CONCAT(Table_TRM_Fixtures[[#This Row],[Technology]], ", ", Table_TRM_Fixtures[[#This Row],[Ballast Code]], " Ballast")</f>
        <v>U T8, Electronic STD Ballast</v>
      </c>
      <c r="S1423" t="str">
        <f>Table_TRM_Fixtures[[#This Row],[Description  (TRM Data)]]</f>
        <v>Fluorescent, (1) U-Tube, T-8 lamp</v>
      </c>
      <c r="T1423" t="str">
        <f>Table_TRM_Fixtures[[#This Row],[Fixture code  (TRM Data)]]</f>
        <v>FU1LL</v>
      </c>
      <c r="U1423" t="s">
        <v>2882</v>
      </c>
      <c r="V1423" t="s">
        <v>186</v>
      </c>
      <c r="W1423" t="s">
        <v>3120</v>
      </c>
      <c r="X1423" t="s">
        <v>186</v>
      </c>
      <c r="Y1423" t="s">
        <v>4815</v>
      </c>
      <c r="Z1423" t="s">
        <v>4815</v>
      </c>
      <c r="AA1423">
        <f>IF(Table_TRM_Fixtures[[#This Row],[Pre-EISA Baseline]]="Nominal", Table_TRM_Fixtures[[#This Row],[Fixture Watts  (TRM Data)]], Table_TRM_Fixtures[[#This Row],[Modified Baseline Fixture Watts]])</f>
        <v>32</v>
      </c>
    </row>
    <row r="1424" spans="1:27" x14ac:dyDescent="0.2">
      <c r="A1424" t="s">
        <v>2554</v>
      </c>
      <c r="B1424" t="s">
        <v>5918</v>
      </c>
      <c r="C1424" t="s">
        <v>2553</v>
      </c>
      <c r="D1424" t="s">
        <v>5919</v>
      </c>
      <c r="E1424" t="s">
        <v>187</v>
      </c>
      <c r="F1424">
        <v>1</v>
      </c>
      <c r="G1424">
        <v>31</v>
      </c>
      <c r="H1424">
        <v>27</v>
      </c>
      <c r="I1424">
        <v>15.5</v>
      </c>
      <c r="J1424" s="110">
        <v>1422</v>
      </c>
      <c r="K1424" t="s">
        <v>2548</v>
      </c>
      <c r="L1424">
        <f>IF(Table_TRM_Fixtures[[#This Row],[Technology]]="LED", Table_TRM_Fixtures[[#This Row],[Fixture Watts  (TRM Data)]], Table_TRM_Fixtures[[#This Row],[Lamp Watts  (TRM Data)]])</f>
        <v>31</v>
      </c>
      <c r="M1424">
        <f>Table_TRM_Fixtures[[#This Row],[No. of Lamps  (TRM Data)]]</f>
        <v>1</v>
      </c>
      <c r="N1424" t="s">
        <v>186</v>
      </c>
      <c r="O1424" t="s">
        <v>1381</v>
      </c>
      <c r="P1424" t="s">
        <v>187</v>
      </c>
      <c r="Q1424" t="s">
        <v>5614</v>
      </c>
      <c r="R1424" t="str">
        <f>_xlfn.CONCAT(Table_TRM_Fixtures[[#This Row],[Technology]], ", ", Table_TRM_Fixtures[[#This Row],[Ballast Code]], " Ballast")</f>
        <v>U T8, Electronic RLO Ballast</v>
      </c>
      <c r="S1424" t="str">
        <f>Table_TRM_Fixtures[[#This Row],[Description  (TRM Data)]]</f>
        <v>Fluorescent, (1) U-Tube, T-8 lamp, RLO (BF &lt; 0.85)</v>
      </c>
      <c r="T1424" t="str">
        <f>Table_TRM_Fixtures[[#This Row],[Fixture code  (TRM Data)]]</f>
        <v>FU1LL-R</v>
      </c>
      <c r="U1424" t="s">
        <v>2882</v>
      </c>
      <c r="V1424" t="s">
        <v>186</v>
      </c>
      <c r="W1424" t="s">
        <v>3120</v>
      </c>
      <c r="X1424" t="s">
        <v>186</v>
      </c>
      <c r="Y1424" t="str">
        <f>_xlfn.CONCAT(Table_TRM_Fixtures[[#This Row],[Combined Lighting/Ballast Types]],":",Table_TRM_Fixtures[[#This Row],[No. of Lamps]], ":", Table_TRM_Fixtures[[#This Row],[Lamp Watts  (TRM Data)]])</f>
        <v>U T8, Electronic RLO Ballast:1:31</v>
      </c>
      <c r="Z1424"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U T8:1:31</v>
      </c>
      <c r="AA1424">
        <f>IF(Table_TRM_Fixtures[[#This Row],[Pre-EISA Baseline]]="Nominal", Table_TRM_Fixtures[[#This Row],[Fixture Watts  (TRM Data)]], Table_TRM_Fixtures[[#This Row],[Modified Baseline Fixture Watts]])</f>
        <v>27</v>
      </c>
    </row>
    <row r="1425" spans="1:27" x14ac:dyDescent="0.2">
      <c r="A1425" t="s">
        <v>2556</v>
      </c>
      <c r="B1425" t="s">
        <v>5918</v>
      </c>
      <c r="C1425" t="s">
        <v>2555</v>
      </c>
      <c r="D1425" t="s">
        <v>5919</v>
      </c>
      <c r="E1425" t="s">
        <v>187</v>
      </c>
      <c r="F1425">
        <v>2</v>
      </c>
      <c r="G1425">
        <v>32</v>
      </c>
      <c r="H1425">
        <v>59</v>
      </c>
      <c r="I1425">
        <v>15.5</v>
      </c>
      <c r="J1425" s="110">
        <v>1423</v>
      </c>
      <c r="K1425" t="s">
        <v>2548</v>
      </c>
      <c r="L1425">
        <f>IF(Table_TRM_Fixtures[[#This Row],[Technology]]="LED", Table_TRM_Fixtures[[#This Row],[Fixture Watts  (TRM Data)]], Table_TRM_Fixtures[[#This Row],[Lamp Watts  (TRM Data)]])</f>
        <v>32</v>
      </c>
      <c r="M1425">
        <f>Table_TRM_Fixtures[[#This Row],[No. of Lamps  (TRM Data)]]</f>
        <v>2</v>
      </c>
      <c r="N1425" t="s">
        <v>186</v>
      </c>
      <c r="O1425" t="s">
        <v>1381</v>
      </c>
      <c r="P1425" t="s">
        <v>187</v>
      </c>
      <c r="Q1425" t="s">
        <v>5612</v>
      </c>
      <c r="R1425" t="str">
        <f>_xlfn.CONCAT(Table_TRM_Fixtures[[#This Row],[Technology]], ", ", Table_TRM_Fixtures[[#This Row],[Ballast Code]], " Ballast")</f>
        <v>U T8, Electronic STD Ballast</v>
      </c>
      <c r="S1425" t="str">
        <f>Table_TRM_Fixtures[[#This Row],[Description  (TRM Data)]]</f>
        <v>Fluorescent, (2) U-Tube, T-8 lamps, Instant Start Ballast</v>
      </c>
      <c r="T1425" t="str">
        <f>Table_TRM_Fixtures[[#This Row],[Fixture code  (TRM Data)]]</f>
        <v>FU2ILL</v>
      </c>
      <c r="U1425" t="s">
        <v>2882</v>
      </c>
      <c r="V1425" t="s">
        <v>186</v>
      </c>
      <c r="W1425" t="s">
        <v>3120</v>
      </c>
      <c r="X1425" t="s">
        <v>186</v>
      </c>
      <c r="Y1425" t="str">
        <f>_xlfn.CONCAT(Table_TRM_Fixtures[[#This Row],[Combined Lighting/Ballast Types]],":",Table_TRM_Fixtures[[#This Row],[No. of Lamps]], ":", Table_TRM_Fixtures[[#This Row],[Lamp Watts  (TRM Data)]])</f>
        <v>U T8, Electronic STD Ballast:2:32</v>
      </c>
      <c r="Z1425"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U T8:2:32</v>
      </c>
      <c r="AA1425">
        <f>IF(Table_TRM_Fixtures[[#This Row],[Pre-EISA Baseline]]="Nominal", Table_TRM_Fixtures[[#This Row],[Fixture Watts  (TRM Data)]], Table_TRM_Fixtures[[#This Row],[Modified Baseline Fixture Watts]])</f>
        <v>59</v>
      </c>
    </row>
    <row r="1426" spans="1:27" x14ac:dyDescent="0.2">
      <c r="A1426" t="s">
        <v>2558</v>
      </c>
      <c r="B1426" t="s">
        <v>5918</v>
      </c>
      <c r="C1426" t="s">
        <v>2557</v>
      </c>
      <c r="D1426" t="s">
        <v>5920</v>
      </c>
      <c r="E1426" t="s">
        <v>187</v>
      </c>
      <c r="F1426">
        <v>2</v>
      </c>
      <c r="G1426">
        <v>32</v>
      </c>
      <c r="H1426">
        <v>65</v>
      </c>
      <c r="I1426">
        <v>15.5</v>
      </c>
      <c r="J1426" s="110">
        <v>1424</v>
      </c>
      <c r="K1426" t="s">
        <v>2548</v>
      </c>
      <c r="L1426">
        <f>IF(Table_TRM_Fixtures[[#This Row],[Technology]]="LED", Table_TRM_Fixtures[[#This Row],[Fixture Watts  (TRM Data)]], Table_TRM_Fixtures[[#This Row],[Lamp Watts  (TRM Data)]])</f>
        <v>32</v>
      </c>
      <c r="M1426">
        <f>Table_TRM_Fixtures[[#This Row],[No. of Lamps  (TRM Data)]]</f>
        <v>2</v>
      </c>
      <c r="N1426" t="s">
        <v>186</v>
      </c>
      <c r="O1426" t="s">
        <v>1381</v>
      </c>
      <c r="P1426" t="s">
        <v>187</v>
      </c>
      <c r="Q1426" t="s">
        <v>5566</v>
      </c>
      <c r="R1426" t="str">
        <f>_xlfn.CONCAT(Table_TRM_Fixtures[[#This Row],[Technology]], ", ", Table_TRM_Fixtures[[#This Row],[Ballast Code]], " Ballast")</f>
        <v>U T8, Electronic HLO Ballast</v>
      </c>
      <c r="S1426" t="str">
        <f>Table_TRM_Fixtures[[#This Row],[Description  (TRM Data)]]</f>
        <v>Fluorescent, (2) U-Tube, T-8 lamps, Instant Start HLO Ballast</v>
      </c>
      <c r="T1426" t="str">
        <f>Table_TRM_Fixtures[[#This Row],[Fixture code  (TRM Data)]]</f>
        <v>FU2ILL-H</v>
      </c>
      <c r="U1426" t="s">
        <v>2882</v>
      </c>
      <c r="V1426" t="s">
        <v>186</v>
      </c>
      <c r="W1426" t="s">
        <v>3120</v>
      </c>
      <c r="X1426" t="s">
        <v>186</v>
      </c>
      <c r="Y1426" t="str">
        <f>_xlfn.CONCAT(Table_TRM_Fixtures[[#This Row],[Combined Lighting/Ballast Types]],":",Table_TRM_Fixtures[[#This Row],[No. of Lamps]], ":", Table_TRM_Fixtures[[#This Row],[Lamp Watts  (TRM Data)]])</f>
        <v>U T8, Electronic HLO Ballast:2:32</v>
      </c>
      <c r="Z1426" t="s">
        <v>4815</v>
      </c>
      <c r="AA1426">
        <f>IF(Table_TRM_Fixtures[[#This Row],[Pre-EISA Baseline]]="Nominal", Table_TRM_Fixtures[[#This Row],[Fixture Watts  (TRM Data)]], Table_TRM_Fixtures[[#This Row],[Modified Baseline Fixture Watts]])</f>
        <v>65</v>
      </c>
    </row>
    <row r="1427" spans="1:27" x14ac:dyDescent="0.2">
      <c r="A1427" t="s">
        <v>2560</v>
      </c>
      <c r="B1427" t="s">
        <v>5918</v>
      </c>
      <c r="C1427" t="s">
        <v>2559</v>
      </c>
      <c r="D1427" t="s">
        <v>5921</v>
      </c>
      <c r="E1427" t="s">
        <v>187</v>
      </c>
      <c r="F1427">
        <v>2</v>
      </c>
      <c r="G1427">
        <v>32</v>
      </c>
      <c r="H1427">
        <v>52</v>
      </c>
      <c r="I1427">
        <v>15.5</v>
      </c>
      <c r="J1427" s="110">
        <v>1425</v>
      </c>
      <c r="K1427" t="s">
        <v>2548</v>
      </c>
      <c r="L1427">
        <f>IF(Table_TRM_Fixtures[[#This Row],[Technology]]="LED", Table_TRM_Fixtures[[#This Row],[Fixture Watts  (TRM Data)]], Table_TRM_Fixtures[[#This Row],[Lamp Watts  (TRM Data)]])</f>
        <v>32</v>
      </c>
      <c r="M1427">
        <f>Table_TRM_Fixtures[[#This Row],[No. of Lamps  (TRM Data)]]</f>
        <v>2</v>
      </c>
      <c r="N1427" t="s">
        <v>186</v>
      </c>
      <c r="O1427" t="s">
        <v>1381</v>
      </c>
      <c r="P1427" t="s">
        <v>187</v>
      </c>
      <c r="Q1427" t="s">
        <v>5614</v>
      </c>
      <c r="R1427" t="str">
        <f>_xlfn.CONCAT(Table_TRM_Fixtures[[#This Row],[Technology]], ", ", Table_TRM_Fixtures[[#This Row],[Ballast Code]], " Ballast")</f>
        <v>U T8, Electronic RLO Ballast</v>
      </c>
      <c r="S1427" t="str">
        <f>Table_TRM_Fixtures[[#This Row],[Description  (TRM Data)]]</f>
        <v>Fluorescent, (2) U-Tube, T-8 lamps, Instant Start RLO Ballast</v>
      </c>
      <c r="T1427" t="str">
        <f>Table_TRM_Fixtures[[#This Row],[Fixture code  (TRM Data)]]</f>
        <v>FU2ILL-R</v>
      </c>
      <c r="U1427" t="s">
        <v>2882</v>
      </c>
      <c r="V1427" t="s">
        <v>186</v>
      </c>
      <c r="W1427" t="s">
        <v>3120</v>
      </c>
      <c r="X1427" t="s">
        <v>186</v>
      </c>
      <c r="Y1427" t="str">
        <f>_xlfn.CONCAT(Table_TRM_Fixtures[[#This Row],[Combined Lighting/Ballast Types]],":",Table_TRM_Fixtures[[#This Row],[No. of Lamps]], ":", Table_TRM_Fixtures[[#This Row],[Lamp Watts  (TRM Data)]])</f>
        <v>U T8, Electronic RLO Ballast:2:32</v>
      </c>
      <c r="Z1427" t="s">
        <v>4815</v>
      </c>
      <c r="AA1427">
        <f>IF(Table_TRM_Fixtures[[#This Row],[Pre-EISA Baseline]]="Nominal", Table_TRM_Fixtures[[#This Row],[Fixture Watts  (TRM Data)]], Table_TRM_Fixtures[[#This Row],[Modified Baseline Fixture Watts]])</f>
        <v>52</v>
      </c>
    </row>
    <row r="1428" spans="1:27" x14ac:dyDescent="0.2">
      <c r="A1428" t="s">
        <v>2562</v>
      </c>
      <c r="B1428" t="s">
        <v>5918</v>
      </c>
      <c r="C1428" t="s">
        <v>2561</v>
      </c>
      <c r="D1428" t="s">
        <v>5922</v>
      </c>
      <c r="E1428" t="s">
        <v>187</v>
      </c>
      <c r="F1428">
        <v>2</v>
      </c>
      <c r="G1428">
        <v>32</v>
      </c>
      <c r="H1428">
        <v>56</v>
      </c>
      <c r="I1428">
        <v>15.5</v>
      </c>
      <c r="J1428" s="110">
        <v>1426</v>
      </c>
      <c r="K1428" t="s">
        <v>2548</v>
      </c>
      <c r="L1428">
        <f>IF(Table_TRM_Fixtures[[#This Row],[Technology]]="LED", Table_TRM_Fixtures[[#This Row],[Fixture Watts  (TRM Data)]], Table_TRM_Fixtures[[#This Row],[Lamp Watts  (TRM Data)]])</f>
        <v>32</v>
      </c>
      <c r="M1428">
        <f>Table_TRM_Fixtures[[#This Row],[No. of Lamps  (TRM Data)]]</f>
        <v>2</v>
      </c>
      <c r="N1428" t="s">
        <v>186</v>
      </c>
      <c r="O1428" t="s">
        <v>1381</v>
      </c>
      <c r="P1428" t="s">
        <v>187</v>
      </c>
      <c r="Q1428" t="s">
        <v>5612</v>
      </c>
      <c r="R1428" t="str">
        <f>_xlfn.CONCAT(Table_TRM_Fixtures[[#This Row],[Technology]], ", ", Table_TRM_Fixtures[[#This Row],[Ballast Code]], " Ballast")</f>
        <v>U T8, Electronic STD Ballast</v>
      </c>
      <c r="S1428" t="str">
        <f>Table_TRM_Fixtures[[#This Row],[Description  (TRM Data)]]</f>
        <v>Fluorescent, (2) U-Tube, T-8 lamps, Instant Start Ballast, Tandem 4-lamp ballast</v>
      </c>
      <c r="T1428" t="str">
        <f>Table_TRM_Fixtures[[#This Row],[Fixture code  (TRM Data)]]</f>
        <v>FU2ILL/T4</v>
      </c>
      <c r="U1428" t="s">
        <v>2882</v>
      </c>
      <c r="V1428" t="s">
        <v>186</v>
      </c>
      <c r="W1428" t="s">
        <v>3120</v>
      </c>
      <c r="X1428" t="s">
        <v>186</v>
      </c>
      <c r="Y1428" t="s">
        <v>4815</v>
      </c>
      <c r="Z1428" t="s">
        <v>4815</v>
      </c>
      <c r="AA1428">
        <f>IF(Table_TRM_Fixtures[[#This Row],[Pre-EISA Baseline]]="Nominal", Table_TRM_Fixtures[[#This Row],[Fixture Watts  (TRM Data)]], Table_TRM_Fixtures[[#This Row],[Modified Baseline Fixture Watts]])</f>
        <v>56</v>
      </c>
    </row>
    <row r="1429" spans="1:27" x14ac:dyDescent="0.2">
      <c r="A1429" t="s">
        <v>2564</v>
      </c>
      <c r="B1429" t="s">
        <v>5918</v>
      </c>
      <c r="C1429" t="s">
        <v>2563</v>
      </c>
      <c r="D1429" t="s">
        <v>5921</v>
      </c>
      <c r="E1429" t="s">
        <v>187</v>
      </c>
      <c r="F1429">
        <v>2</v>
      </c>
      <c r="G1429">
        <v>32</v>
      </c>
      <c r="H1429">
        <v>49</v>
      </c>
      <c r="I1429">
        <v>15.5</v>
      </c>
      <c r="J1429" s="110">
        <v>1427</v>
      </c>
      <c r="K1429" t="s">
        <v>2548</v>
      </c>
      <c r="L1429">
        <f>IF(Table_TRM_Fixtures[[#This Row],[Technology]]="LED", Table_TRM_Fixtures[[#This Row],[Fixture Watts  (TRM Data)]], Table_TRM_Fixtures[[#This Row],[Lamp Watts  (TRM Data)]])</f>
        <v>32</v>
      </c>
      <c r="M1429">
        <f>Table_TRM_Fixtures[[#This Row],[No. of Lamps  (TRM Data)]]</f>
        <v>2</v>
      </c>
      <c r="N1429" t="s">
        <v>186</v>
      </c>
      <c r="O1429" t="s">
        <v>1381</v>
      </c>
      <c r="P1429" t="s">
        <v>187</v>
      </c>
      <c r="Q1429" t="s">
        <v>5614</v>
      </c>
      <c r="R1429" t="str">
        <f>_xlfn.CONCAT(Table_TRM_Fixtures[[#This Row],[Technology]], ", ", Table_TRM_Fixtures[[#This Row],[Ballast Code]], " Ballast")</f>
        <v>U T8, Electronic RLO Ballast</v>
      </c>
      <c r="S1429" t="str">
        <f>Table_TRM_Fixtures[[#This Row],[Description  (TRM Data)]]</f>
        <v>Fluorescent, (2) U-Tube, T-8 lamps, Instant Start Ballast, RLO, Tandem 4-lamp ballast</v>
      </c>
      <c r="T1429" t="str">
        <f>Table_TRM_Fixtures[[#This Row],[Fixture code  (TRM Data)]]</f>
        <v>FU2ILL/T4-R</v>
      </c>
      <c r="U1429" t="s">
        <v>2882</v>
      </c>
      <c r="V1429" t="s">
        <v>186</v>
      </c>
      <c r="W1429" t="s">
        <v>3120</v>
      </c>
      <c r="X1429" t="s">
        <v>186</v>
      </c>
      <c r="Y1429" t="s">
        <v>4815</v>
      </c>
      <c r="Z1429" t="s">
        <v>4815</v>
      </c>
      <c r="AA1429">
        <f>IF(Table_TRM_Fixtures[[#This Row],[Pre-EISA Baseline]]="Nominal", Table_TRM_Fixtures[[#This Row],[Fixture Watts  (TRM Data)]], Table_TRM_Fixtures[[#This Row],[Modified Baseline Fixture Watts]])</f>
        <v>49</v>
      </c>
    </row>
    <row r="1430" spans="1:27" x14ac:dyDescent="0.2">
      <c r="A1430" t="s">
        <v>2566</v>
      </c>
      <c r="B1430" t="s">
        <v>5918</v>
      </c>
      <c r="C1430" t="s">
        <v>2565</v>
      </c>
      <c r="D1430" t="s">
        <v>5922</v>
      </c>
      <c r="E1430" t="s">
        <v>187</v>
      </c>
      <c r="F1430">
        <v>2</v>
      </c>
      <c r="G1430">
        <v>32</v>
      </c>
      <c r="H1430">
        <v>60</v>
      </c>
      <c r="I1430">
        <v>15.5</v>
      </c>
      <c r="J1430" s="110">
        <v>1428</v>
      </c>
      <c r="K1430" t="s">
        <v>2548</v>
      </c>
      <c r="L1430">
        <f>IF(Table_TRM_Fixtures[[#This Row],[Technology]]="LED", Table_TRM_Fixtures[[#This Row],[Fixture Watts  (TRM Data)]], Table_TRM_Fixtures[[#This Row],[Lamp Watts  (TRM Data)]])</f>
        <v>32</v>
      </c>
      <c r="M1430">
        <f>Table_TRM_Fixtures[[#This Row],[No. of Lamps  (TRM Data)]]</f>
        <v>2</v>
      </c>
      <c r="N1430" t="s">
        <v>186</v>
      </c>
      <c r="O1430" t="s">
        <v>1381</v>
      </c>
      <c r="P1430" t="s">
        <v>187</v>
      </c>
      <c r="Q1430" t="s">
        <v>5612</v>
      </c>
      <c r="R1430" t="str">
        <f>_xlfn.CONCAT(Table_TRM_Fixtures[[#This Row],[Technology]], ", ", Table_TRM_Fixtures[[#This Row],[Ballast Code]], " Ballast")</f>
        <v>U T8, Electronic STD Ballast</v>
      </c>
      <c r="S1430" t="str">
        <f>Table_TRM_Fixtures[[#This Row],[Description  (TRM Data)]]</f>
        <v>Fluorescent, (2) U-Tube, T-8 lamps</v>
      </c>
      <c r="T1430" t="str">
        <f>Table_TRM_Fixtures[[#This Row],[Fixture code  (TRM Data)]]</f>
        <v>FU2LL</v>
      </c>
      <c r="U1430" t="s">
        <v>2882</v>
      </c>
      <c r="V1430" t="s">
        <v>186</v>
      </c>
      <c r="W1430" t="s">
        <v>3120</v>
      </c>
      <c r="X1430" t="s">
        <v>186</v>
      </c>
      <c r="Y1430" t="s">
        <v>4815</v>
      </c>
      <c r="Z1430" t="s">
        <v>4815</v>
      </c>
      <c r="AA1430">
        <f>IF(Table_TRM_Fixtures[[#This Row],[Pre-EISA Baseline]]="Nominal", Table_TRM_Fixtures[[#This Row],[Fixture Watts  (TRM Data)]], Table_TRM_Fixtures[[#This Row],[Modified Baseline Fixture Watts]])</f>
        <v>60</v>
      </c>
    </row>
    <row r="1431" spans="1:27" x14ac:dyDescent="0.2">
      <c r="A1431" t="s">
        <v>2568</v>
      </c>
      <c r="B1431" t="s">
        <v>5918</v>
      </c>
      <c r="C1431" t="s">
        <v>2567</v>
      </c>
      <c r="D1431" t="s">
        <v>5921</v>
      </c>
      <c r="E1431" t="s">
        <v>187</v>
      </c>
      <c r="F1431">
        <v>2</v>
      </c>
      <c r="G1431">
        <v>32</v>
      </c>
      <c r="H1431">
        <v>54</v>
      </c>
      <c r="I1431">
        <v>15.5</v>
      </c>
      <c r="J1431" s="110">
        <v>1429</v>
      </c>
      <c r="K1431" t="s">
        <v>2548</v>
      </c>
      <c r="L1431">
        <f>IF(Table_TRM_Fixtures[[#This Row],[Technology]]="LED", Table_TRM_Fixtures[[#This Row],[Fixture Watts  (TRM Data)]], Table_TRM_Fixtures[[#This Row],[Lamp Watts  (TRM Data)]])</f>
        <v>32</v>
      </c>
      <c r="M1431">
        <f>Table_TRM_Fixtures[[#This Row],[No. of Lamps  (TRM Data)]]</f>
        <v>2</v>
      </c>
      <c r="N1431" t="s">
        <v>186</v>
      </c>
      <c r="O1431" t="s">
        <v>1381</v>
      </c>
      <c r="P1431" t="s">
        <v>187</v>
      </c>
      <c r="Q1431" t="s">
        <v>5614</v>
      </c>
      <c r="R1431" t="str">
        <f>_xlfn.CONCAT(Table_TRM_Fixtures[[#This Row],[Technology]], ", ", Table_TRM_Fixtures[[#This Row],[Ballast Code]], " Ballast")</f>
        <v>U T8, Electronic RLO Ballast</v>
      </c>
      <c r="S1431" t="str">
        <f>Table_TRM_Fixtures[[#This Row],[Description  (TRM Data)]]</f>
        <v>Fluorescent, (2) U-Tube, T-8 lamps, RLO (BF &lt; 0.85)</v>
      </c>
      <c r="T1431" t="str">
        <f>Table_TRM_Fixtures[[#This Row],[Fixture code  (TRM Data)]]</f>
        <v>FU2LL-R</v>
      </c>
      <c r="U1431" t="s">
        <v>2882</v>
      </c>
      <c r="V1431" t="s">
        <v>186</v>
      </c>
      <c r="W1431" t="s">
        <v>3120</v>
      </c>
      <c r="X1431" t="s">
        <v>186</v>
      </c>
      <c r="Y1431" t="s">
        <v>4815</v>
      </c>
      <c r="Z1431" t="s">
        <v>4815</v>
      </c>
      <c r="AA1431">
        <f>IF(Table_TRM_Fixtures[[#This Row],[Pre-EISA Baseline]]="Nominal", Table_TRM_Fixtures[[#This Row],[Fixture Watts  (TRM Data)]], Table_TRM_Fixtures[[#This Row],[Modified Baseline Fixture Watts]])</f>
        <v>54</v>
      </c>
    </row>
    <row r="1432" spans="1:27" x14ac:dyDescent="0.2">
      <c r="A1432" t="s">
        <v>2570</v>
      </c>
      <c r="B1432" t="s">
        <v>5918</v>
      </c>
      <c r="C1432" t="s">
        <v>2569</v>
      </c>
      <c r="D1432" t="s">
        <v>5922</v>
      </c>
      <c r="E1432" t="s">
        <v>187</v>
      </c>
      <c r="F1432">
        <v>2</v>
      </c>
      <c r="G1432">
        <v>32</v>
      </c>
      <c r="H1432">
        <v>59</v>
      </c>
      <c r="J1432" s="110">
        <v>1430</v>
      </c>
      <c r="K1432" t="s">
        <v>2548</v>
      </c>
      <c r="L1432">
        <f>IF(Table_TRM_Fixtures[[#This Row],[Technology]]="LED", Table_TRM_Fixtures[[#This Row],[Fixture Watts  (TRM Data)]], Table_TRM_Fixtures[[#This Row],[Lamp Watts  (TRM Data)]])</f>
        <v>32</v>
      </c>
      <c r="M1432">
        <f>Table_TRM_Fixtures[[#This Row],[No. of Lamps  (TRM Data)]]</f>
        <v>2</v>
      </c>
      <c r="N1432" t="s">
        <v>186</v>
      </c>
      <c r="O1432" t="s">
        <v>1381</v>
      </c>
      <c r="P1432" t="s">
        <v>187</v>
      </c>
      <c r="Q1432" t="s">
        <v>5612</v>
      </c>
      <c r="R1432" t="str">
        <f>_xlfn.CONCAT(Table_TRM_Fixtures[[#This Row],[Technology]], ", ", Table_TRM_Fixtures[[#This Row],[Ballast Code]], " Ballast")</f>
        <v>U T8, Electronic STD Ballast</v>
      </c>
      <c r="S1432" t="str">
        <f>Table_TRM_Fixtures[[#This Row],[Description  (TRM Data)]]</f>
        <v>Fluorescent, (2) U-Tube, T-8 lamps, Tandem 4-lamp ballast</v>
      </c>
      <c r="T1432" t="str">
        <f>Table_TRM_Fixtures[[#This Row],[Fixture code  (TRM Data)]]</f>
        <v>FU2LL/T2</v>
      </c>
      <c r="U1432" t="s">
        <v>2882</v>
      </c>
      <c r="V1432" t="s">
        <v>186</v>
      </c>
      <c r="W1432" t="s">
        <v>3120</v>
      </c>
      <c r="X1432" t="s">
        <v>186</v>
      </c>
      <c r="Y1432" t="s">
        <v>4815</v>
      </c>
      <c r="Z1432" t="s">
        <v>4815</v>
      </c>
      <c r="AA1432">
        <f>IF(Table_TRM_Fixtures[[#This Row],[Pre-EISA Baseline]]="Nominal", Table_TRM_Fixtures[[#This Row],[Fixture Watts  (TRM Data)]], Table_TRM_Fixtures[[#This Row],[Modified Baseline Fixture Watts]])</f>
        <v>59</v>
      </c>
    </row>
    <row r="1433" spans="1:27" x14ac:dyDescent="0.2">
      <c r="A1433" t="s">
        <v>2572</v>
      </c>
      <c r="B1433" t="s">
        <v>5918</v>
      </c>
      <c r="C1433" t="s">
        <v>2571</v>
      </c>
      <c r="D1433" t="s">
        <v>5923</v>
      </c>
      <c r="E1433" t="s">
        <v>187</v>
      </c>
      <c r="F1433">
        <v>3</v>
      </c>
      <c r="G1433">
        <v>32</v>
      </c>
      <c r="H1433">
        <v>89</v>
      </c>
      <c r="J1433" s="110">
        <v>1431</v>
      </c>
      <c r="K1433" t="s">
        <v>2548</v>
      </c>
      <c r="L1433">
        <f>IF(Table_TRM_Fixtures[[#This Row],[Technology]]="LED", Table_TRM_Fixtures[[#This Row],[Fixture Watts  (TRM Data)]], Table_TRM_Fixtures[[#This Row],[Lamp Watts  (TRM Data)]])</f>
        <v>32</v>
      </c>
      <c r="M1433">
        <f>Table_TRM_Fixtures[[#This Row],[No. of Lamps  (TRM Data)]]</f>
        <v>3</v>
      </c>
      <c r="N1433" t="s">
        <v>186</v>
      </c>
      <c r="O1433" t="s">
        <v>1381</v>
      </c>
      <c r="P1433" t="s">
        <v>187</v>
      </c>
      <c r="Q1433" t="s">
        <v>5612</v>
      </c>
      <c r="R1433" t="str">
        <f>_xlfn.CONCAT(Table_TRM_Fixtures[[#This Row],[Technology]], ", ", Table_TRM_Fixtures[[#This Row],[Ballast Code]], " Ballast")</f>
        <v>U T8, Electronic STD Ballast</v>
      </c>
      <c r="S1433" t="str">
        <f>Table_TRM_Fixtures[[#This Row],[Description  (TRM Data)]]</f>
        <v>Fluorescent, (3) U-Tube, T-8 lamps, Instant Start Ballast</v>
      </c>
      <c r="T1433" t="str">
        <f>Table_TRM_Fixtures[[#This Row],[Fixture code  (TRM Data)]]</f>
        <v>FU3ILL</v>
      </c>
      <c r="U1433" t="s">
        <v>2882</v>
      </c>
      <c r="V1433" t="s">
        <v>186</v>
      </c>
      <c r="W1433" t="s">
        <v>3120</v>
      </c>
      <c r="X1433" t="s">
        <v>186</v>
      </c>
      <c r="Y1433" t="s">
        <v>4815</v>
      </c>
      <c r="Z1433" t="s">
        <v>4815</v>
      </c>
      <c r="AA1433">
        <f>IF(Table_TRM_Fixtures[[#This Row],[Pre-EISA Baseline]]="Nominal", Table_TRM_Fixtures[[#This Row],[Fixture Watts  (TRM Data)]], Table_TRM_Fixtures[[#This Row],[Modified Baseline Fixture Watts]])</f>
        <v>89</v>
      </c>
    </row>
    <row r="1434" spans="1:27" x14ac:dyDescent="0.2">
      <c r="A1434" t="s">
        <v>2574</v>
      </c>
      <c r="B1434" t="s">
        <v>5918</v>
      </c>
      <c r="C1434" t="s">
        <v>2573</v>
      </c>
      <c r="D1434" t="s">
        <v>5924</v>
      </c>
      <c r="E1434" t="s">
        <v>187</v>
      </c>
      <c r="F1434">
        <v>3</v>
      </c>
      <c r="G1434">
        <v>32</v>
      </c>
      <c r="H1434">
        <v>78</v>
      </c>
      <c r="J1434" s="110">
        <v>1432</v>
      </c>
      <c r="K1434" t="s">
        <v>2548</v>
      </c>
      <c r="L1434">
        <f>IF(Table_TRM_Fixtures[[#This Row],[Technology]]="LED", Table_TRM_Fixtures[[#This Row],[Fixture Watts  (TRM Data)]], Table_TRM_Fixtures[[#This Row],[Lamp Watts  (TRM Data)]])</f>
        <v>32</v>
      </c>
      <c r="M1434">
        <f>Table_TRM_Fixtures[[#This Row],[No. of Lamps  (TRM Data)]]</f>
        <v>3</v>
      </c>
      <c r="N1434" t="s">
        <v>186</v>
      </c>
      <c r="O1434" t="s">
        <v>1381</v>
      </c>
      <c r="P1434" t="s">
        <v>187</v>
      </c>
      <c r="Q1434" t="s">
        <v>5614</v>
      </c>
      <c r="R1434" t="str">
        <f>_xlfn.CONCAT(Table_TRM_Fixtures[[#This Row],[Technology]], ", ", Table_TRM_Fixtures[[#This Row],[Ballast Code]], " Ballast")</f>
        <v>U T8, Electronic RLO Ballast</v>
      </c>
      <c r="S1434" t="str">
        <f>Table_TRM_Fixtures[[#This Row],[Description  (TRM Data)]]</f>
        <v>Fluorescent, (3) U-Tube, T-8 lamps, Instant Start RLO Ballast</v>
      </c>
      <c r="T1434" t="str">
        <f>Table_TRM_Fixtures[[#This Row],[Fixture code  (TRM Data)]]</f>
        <v>FU3ILL-R</v>
      </c>
      <c r="U1434" t="s">
        <v>2882</v>
      </c>
      <c r="V1434" t="s">
        <v>186</v>
      </c>
      <c r="W1434" t="s">
        <v>3120</v>
      </c>
      <c r="X1434" t="s">
        <v>186</v>
      </c>
      <c r="Y1434" t="str">
        <f>_xlfn.CONCAT(Table_TRM_Fixtures[[#This Row],[Combined Lighting/Ballast Types]],":",Table_TRM_Fixtures[[#This Row],[No. of Lamps]], ":", Table_TRM_Fixtures[[#This Row],[Lamp Watts  (TRM Data)]])</f>
        <v>U T8, Electronic RLO Ballast:3:32</v>
      </c>
      <c r="Z1434"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U T8:3:32</v>
      </c>
      <c r="AA1434">
        <f>IF(Table_TRM_Fixtures[[#This Row],[Pre-EISA Baseline]]="Nominal", Table_TRM_Fixtures[[#This Row],[Fixture Watts  (TRM Data)]], Table_TRM_Fixtures[[#This Row],[Modified Baseline Fixture Watts]])</f>
        <v>78</v>
      </c>
    </row>
    <row r="1435" spans="1:27" x14ac:dyDescent="0.2">
      <c r="A1435" t="s">
        <v>2576</v>
      </c>
      <c r="B1435" t="s">
        <v>5925</v>
      </c>
      <c r="C1435" t="s">
        <v>2575</v>
      </c>
      <c r="D1435" t="s">
        <v>5926</v>
      </c>
      <c r="E1435" t="s">
        <v>187</v>
      </c>
      <c r="F1435">
        <v>1</v>
      </c>
      <c r="G1435">
        <v>32</v>
      </c>
      <c r="H1435">
        <v>29</v>
      </c>
      <c r="J1435" s="110">
        <v>1433</v>
      </c>
      <c r="K1435" t="s">
        <v>2548</v>
      </c>
      <c r="L1435">
        <f>IF(Table_TRM_Fixtures[[#This Row],[Technology]]="LED", Table_TRM_Fixtures[[#This Row],[Fixture Watts  (TRM Data)]], Table_TRM_Fixtures[[#This Row],[Lamp Watts  (TRM Data)]])</f>
        <v>32</v>
      </c>
      <c r="M1435">
        <f>Table_TRM_Fixtures[[#This Row],[No. of Lamps  (TRM Data)]]</f>
        <v>1</v>
      </c>
      <c r="N1435" t="s">
        <v>186</v>
      </c>
      <c r="O1435" t="s">
        <v>1381</v>
      </c>
      <c r="P1435" t="s">
        <v>187</v>
      </c>
      <c r="Q1435" t="s">
        <v>5612</v>
      </c>
      <c r="R1435" t="str">
        <f>_xlfn.CONCAT(Table_TRM_Fixtures[[#This Row],[Technology]], ", ", Table_TRM_Fixtures[[#This Row],[Ballast Code]], " Ballast")</f>
        <v>U T8, Electronic STD Ballast</v>
      </c>
      <c r="S1435" t="str">
        <f>Table_TRM_Fixtures[[#This Row],[Description  (TRM Data)]]</f>
        <v>Fluorescent, (1) 6" spacing U-Tube, T-8 lamp, IS Ballast, NLO (0.85 &lt; BF &lt; 0.95)</v>
      </c>
      <c r="T1435" t="str">
        <f>Table_TRM_Fixtures[[#This Row],[Fixture code  (TRM Data)]]</f>
        <v>FU1ILU</v>
      </c>
      <c r="U1435" t="s">
        <v>2882</v>
      </c>
      <c r="V1435" t="s">
        <v>186</v>
      </c>
      <c r="W1435" t="s">
        <v>3120</v>
      </c>
      <c r="X1435" t="s">
        <v>186</v>
      </c>
      <c r="Y1435" t="s">
        <v>4815</v>
      </c>
      <c r="Z1435" t="s">
        <v>4815</v>
      </c>
      <c r="AA1435">
        <f>IF(Table_TRM_Fixtures[[#This Row],[Pre-EISA Baseline]]="Nominal", Table_TRM_Fixtures[[#This Row],[Fixture Watts  (TRM Data)]], Table_TRM_Fixtures[[#This Row],[Modified Baseline Fixture Watts]])</f>
        <v>29</v>
      </c>
    </row>
    <row r="1436" spans="1:27" x14ac:dyDescent="0.2">
      <c r="A1436" t="s">
        <v>2578</v>
      </c>
      <c r="B1436" t="s">
        <v>5925</v>
      </c>
      <c r="C1436" t="s">
        <v>2577</v>
      </c>
      <c r="D1436" t="s">
        <v>5927</v>
      </c>
      <c r="E1436" t="s">
        <v>187</v>
      </c>
      <c r="F1436">
        <v>1</v>
      </c>
      <c r="G1436">
        <v>32</v>
      </c>
      <c r="H1436">
        <v>34</v>
      </c>
      <c r="J1436" s="110">
        <v>1434</v>
      </c>
      <c r="K1436" t="s">
        <v>2548</v>
      </c>
      <c r="L1436">
        <f>IF(Table_TRM_Fixtures[[#This Row],[Technology]]="LED", Table_TRM_Fixtures[[#This Row],[Fixture Watts  (TRM Data)]], Table_TRM_Fixtures[[#This Row],[Lamp Watts  (TRM Data)]])</f>
        <v>32</v>
      </c>
      <c r="M1436">
        <f>Table_TRM_Fixtures[[#This Row],[No. of Lamps  (TRM Data)]]</f>
        <v>1</v>
      </c>
      <c r="N1436" t="s">
        <v>186</v>
      </c>
      <c r="O1436" t="s">
        <v>1381</v>
      </c>
      <c r="P1436" t="s">
        <v>187</v>
      </c>
      <c r="Q1436" t="s">
        <v>5566</v>
      </c>
      <c r="R1436" t="str">
        <f>_xlfn.CONCAT(Table_TRM_Fixtures[[#This Row],[Technology]], ", ", Table_TRM_Fixtures[[#This Row],[Ballast Code]], " Ballast")</f>
        <v>U T8, Electronic HLO Ballast</v>
      </c>
      <c r="S1436" t="str">
        <f>Table_TRM_Fixtures[[#This Row],[Description  (TRM Data)]]</f>
        <v>Fluorescent, (1) 6" spacing U-Tube, T-8 lamp, IS Ballast, HLO (.95 &lt; BF &lt; 1.1)</v>
      </c>
      <c r="T1436" t="str">
        <f>Table_TRM_Fixtures[[#This Row],[Fixture code  (TRM Data)]]</f>
        <v>FU1ILU-H</v>
      </c>
      <c r="U1436" t="s">
        <v>2882</v>
      </c>
      <c r="V1436" t="s">
        <v>186</v>
      </c>
      <c r="W1436" t="s">
        <v>3120</v>
      </c>
      <c r="X1436" t="s">
        <v>186</v>
      </c>
      <c r="Y1436" t="str">
        <f>_xlfn.CONCAT(Table_TRM_Fixtures[[#This Row],[Combined Lighting/Ballast Types]],":",Table_TRM_Fixtures[[#This Row],[No. of Lamps]], ":", Table_TRM_Fixtures[[#This Row],[Lamp Watts  (TRM Data)]])</f>
        <v>U T8, Electronic HLO Ballast:1:32</v>
      </c>
      <c r="Z1436" t="s">
        <v>4815</v>
      </c>
      <c r="AA1436">
        <f>IF(Table_TRM_Fixtures[[#This Row],[Pre-EISA Baseline]]="Nominal", Table_TRM_Fixtures[[#This Row],[Fixture Watts  (TRM Data)]], Table_TRM_Fixtures[[#This Row],[Modified Baseline Fixture Watts]])</f>
        <v>34</v>
      </c>
    </row>
    <row r="1437" spans="1:27" x14ac:dyDescent="0.2">
      <c r="A1437" t="s">
        <v>2580</v>
      </c>
      <c r="B1437" t="s">
        <v>5925</v>
      </c>
      <c r="C1437" t="s">
        <v>2579</v>
      </c>
      <c r="D1437" t="s">
        <v>5928</v>
      </c>
      <c r="E1437" t="s">
        <v>187</v>
      </c>
      <c r="F1437">
        <v>2</v>
      </c>
      <c r="G1437">
        <v>32</v>
      </c>
      <c r="H1437">
        <v>55</v>
      </c>
      <c r="J1437" s="110">
        <v>1435</v>
      </c>
      <c r="K1437" t="s">
        <v>2548</v>
      </c>
      <c r="L1437">
        <f>IF(Table_TRM_Fixtures[[#This Row],[Technology]]="LED", Table_TRM_Fixtures[[#This Row],[Fixture Watts  (TRM Data)]], Table_TRM_Fixtures[[#This Row],[Lamp Watts  (TRM Data)]])</f>
        <v>32</v>
      </c>
      <c r="M1437">
        <f>Table_TRM_Fixtures[[#This Row],[No. of Lamps  (TRM Data)]]</f>
        <v>2</v>
      </c>
      <c r="N1437" t="s">
        <v>186</v>
      </c>
      <c r="O1437" t="s">
        <v>1381</v>
      </c>
      <c r="P1437" t="s">
        <v>187</v>
      </c>
      <c r="Q1437" t="s">
        <v>5612</v>
      </c>
      <c r="R1437" t="str">
        <f>_xlfn.CONCAT(Table_TRM_Fixtures[[#This Row],[Technology]], ", ", Table_TRM_Fixtures[[#This Row],[Ballast Code]], " Ballast")</f>
        <v>U T8, Electronic STD Ballast</v>
      </c>
      <c r="S1437" t="str">
        <f>Table_TRM_Fixtures[[#This Row],[Description  (TRM Data)]]</f>
        <v>Fluorescent, (2) 6" spacing U-Tube, T-8 lamps, IS Ballast, NLO (0.85 &lt; BF &lt; 0.95)</v>
      </c>
      <c r="T1437" t="str">
        <f>Table_TRM_Fixtures[[#This Row],[Fixture code  (TRM Data)]]</f>
        <v>FU2ILU</v>
      </c>
      <c r="U1437" t="s">
        <v>2882</v>
      </c>
      <c r="V1437" t="s">
        <v>186</v>
      </c>
      <c r="W1437" t="s">
        <v>3120</v>
      </c>
      <c r="X1437" t="s">
        <v>186</v>
      </c>
      <c r="Y1437" t="s">
        <v>4815</v>
      </c>
      <c r="Z1437" t="s">
        <v>4815</v>
      </c>
      <c r="AA1437">
        <f>IF(Table_TRM_Fixtures[[#This Row],[Pre-EISA Baseline]]="Nominal", Table_TRM_Fixtures[[#This Row],[Fixture Watts  (TRM Data)]], Table_TRM_Fixtures[[#This Row],[Modified Baseline Fixture Watts]])</f>
        <v>55</v>
      </c>
    </row>
    <row r="1438" spans="1:27" x14ac:dyDescent="0.2">
      <c r="A1438" t="s">
        <v>2582</v>
      </c>
      <c r="B1438" t="s">
        <v>5925</v>
      </c>
      <c r="C1438" t="s">
        <v>2581</v>
      </c>
      <c r="D1438" t="s">
        <v>5929</v>
      </c>
      <c r="E1438" t="s">
        <v>187</v>
      </c>
      <c r="F1438">
        <v>2</v>
      </c>
      <c r="G1438">
        <v>32</v>
      </c>
      <c r="H1438">
        <v>48</v>
      </c>
      <c r="J1438" s="110">
        <v>1436</v>
      </c>
      <c r="K1438" t="s">
        <v>2548</v>
      </c>
      <c r="L1438">
        <f>IF(Table_TRM_Fixtures[[#This Row],[Technology]]="LED", Table_TRM_Fixtures[[#This Row],[Fixture Watts  (TRM Data)]], Table_TRM_Fixtures[[#This Row],[Lamp Watts  (TRM Data)]])</f>
        <v>32</v>
      </c>
      <c r="M1438">
        <f>Table_TRM_Fixtures[[#This Row],[No. of Lamps  (TRM Data)]]</f>
        <v>2</v>
      </c>
      <c r="N1438" t="s">
        <v>186</v>
      </c>
      <c r="O1438" t="s">
        <v>1381</v>
      </c>
      <c r="P1438" t="s">
        <v>187</v>
      </c>
      <c r="Q1438" t="s">
        <v>5614</v>
      </c>
      <c r="R1438" t="str">
        <f>_xlfn.CONCAT(Table_TRM_Fixtures[[#This Row],[Technology]], ", ", Table_TRM_Fixtures[[#This Row],[Ballast Code]], " Ballast")</f>
        <v>U T8, Electronic RLO Ballast</v>
      </c>
      <c r="S1438" t="str">
        <f>Table_TRM_Fixtures[[#This Row],[Description  (TRM Data)]]</f>
        <v>Fluorescent, (2) 6" spacing U-Tube, T-8 lamps, IS Ballast, RLO (BF &lt; 0.85)</v>
      </c>
      <c r="T1438" t="str">
        <f>Table_TRM_Fixtures[[#This Row],[Fixture code  (TRM Data)]]</f>
        <v>FU2ILU-R</v>
      </c>
      <c r="U1438" t="s">
        <v>2882</v>
      </c>
      <c r="V1438" t="s">
        <v>186</v>
      </c>
      <c r="W1438" t="s">
        <v>3120</v>
      </c>
      <c r="X1438" t="s">
        <v>186</v>
      </c>
      <c r="Y1438" t="s">
        <v>4815</v>
      </c>
      <c r="Z1438" t="s">
        <v>4815</v>
      </c>
      <c r="AA1438">
        <f>IF(Table_TRM_Fixtures[[#This Row],[Pre-EISA Baseline]]="Nominal", Table_TRM_Fixtures[[#This Row],[Fixture Watts  (TRM Data)]], Table_TRM_Fixtures[[#This Row],[Modified Baseline Fixture Watts]])</f>
        <v>48</v>
      </c>
    </row>
    <row r="1439" spans="1:27" x14ac:dyDescent="0.2">
      <c r="A1439" t="s">
        <v>2584</v>
      </c>
      <c r="B1439" t="s">
        <v>5925</v>
      </c>
      <c r="C1439" t="s">
        <v>2583</v>
      </c>
      <c r="D1439" t="s">
        <v>5930</v>
      </c>
      <c r="E1439" t="s">
        <v>187</v>
      </c>
      <c r="F1439">
        <v>2</v>
      </c>
      <c r="G1439">
        <v>32</v>
      </c>
      <c r="H1439">
        <v>73</v>
      </c>
      <c r="J1439" s="110">
        <v>1437</v>
      </c>
      <c r="K1439" t="s">
        <v>2548</v>
      </c>
      <c r="L1439">
        <f>IF(Table_TRM_Fixtures[[#This Row],[Technology]]="LED", Table_TRM_Fixtures[[#This Row],[Fixture Watts  (TRM Data)]], Table_TRM_Fixtures[[#This Row],[Lamp Watts  (TRM Data)]])</f>
        <v>32</v>
      </c>
      <c r="M1439">
        <f>Table_TRM_Fixtures[[#This Row],[No. of Lamps  (TRM Data)]]</f>
        <v>2</v>
      </c>
      <c r="N1439" t="s">
        <v>186</v>
      </c>
      <c r="O1439" t="s">
        <v>1381</v>
      </c>
      <c r="P1439" t="s">
        <v>187</v>
      </c>
      <c r="Q1439" t="s">
        <v>5616</v>
      </c>
      <c r="R1439" t="str">
        <f>_xlfn.CONCAT(Table_TRM_Fixtures[[#This Row],[Technology]], ", ", Table_TRM_Fixtures[[#This Row],[Ballast Code]], " Ballast")</f>
        <v>U T8, Electronic VHLO Ballast</v>
      </c>
      <c r="S1439" t="str">
        <f>Table_TRM_Fixtures[[#This Row],[Description  (TRM Data)]]</f>
        <v>Fluorescent, (2) 6" spacing U-Tube, T-8 lamps, IS Ballast, VHLO (BF &gt; 1.1)</v>
      </c>
      <c r="T1439" t="str">
        <f>Table_TRM_Fixtures[[#This Row],[Fixture code  (TRM Data)]]</f>
        <v>FU2ILU-V</v>
      </c>
      <c r="U1439" t="s">
        <v>2882</v>
      </c>
      <c r="V1439" t="s">
        <v>186</v>
      </c>
      <c r="W1439" t="s">
        <v>3120</v>
      </c>
      <c r="X1439" t="s">
        <v>186</v>
      </c>
      <c r="Y1439" t="str">
        <f>_xlfn.CONCAT(Table_TRM_Fixtures[[#This Row],[Combined Lighting/Ballast Types]],":",Table_TRM_Fixtures[[#This Row],[No. of Lamps]], ":", Table_TRM_Fixtures[[#This Row],[Lamp Watts  (TRM Data)]])</f>
        <v>U T8, Electronic VHLO Ballast:2:32</v>
      </c>
      <c r="Z1439" t="s">
        <v>4815</v>
      </c>
      <c r="AA1439">
        <f>IF(Table_TRM_Fixtures[[#This Row],[Pre-EISA Baseline]]="Nominal", Table_TRM_Fixtures[[#This Row],[Fixture Watts  (TRM Data)]], Table_TRM_Fixtures[[#This Row],[Modified Baseline Fixture Watts]])</f>
        <v>73</v>
      </c>
    </row>
    <row r="1440" spans="1:27" x14ac:dyDescent="0.2">
      <c r="A1440" t="s">
        <v>2586</v>
      </c>
      <c r="B1440" t="s">
        <v>5925</v>
      </c>
      <c r="C1440" t="s">
        <v>2585</v>
      </c>
      <c r="D1440" t="s">
        <v>5931</v>
      </c>
      <c r="E1440" t="s">
        <v>187</v>
      </c>
      <c r="F1440">
        <v>3</v>
      </c>
      <c r="G1440">
        <v>32</v>
      </c>
      <c r="H1440">
        <v>81</v>
      </c>
      <c r="J1440" s="110">
        <v>1438</v>
      </c>
      <c r="K1440" t="s">
        <v>2548</v>
      </c>
      <c r="L1440">
        <f>IF(Table_TRM_Fixtures[[#This Row],[Technology]]="LED", Table_TRM_Fixtures[[#This Row],[Fixture Watts  (TRM Data)]], Table_TRM_Fixtures[[#This Row],[Lamp Watts  (TRM Data)]])</f>
        <v>32</v>
      </c>
      <c r="M1440">
        <f>Table_TRM_Fixtures[[#This Row],[No. of Lamps  (TRM Data)]]</f>
        <v>3</v>
      </c>
      <c r="N1440" t="s">
        <v>186</v>
      </c>
      <c r="O1440" t="s">
        <v>1381</v>
      </c>
      <c r="P1440" t="s">
        <v>187</v>
      </c>
      <c r="Q1440" t="s">
        <v>5612</v>
      </c>
      <c r="R1440" t="str">
        <f>_xlfn.CONCAT(Table_TRM_Fixtures[[#This Row],[Technology]], ", ", Table_TRM_Fixtures[[#This Row],[Ballast Code]], " Ballast")</f>
        <v>U T8, Electronic STD Ballast</v>
      </c>
      <c r="S1440" t="str">
        <f>Table_TRM_Fixtures[[#This Row],[Description  (TRM Data)]]</f>
        <v>Fluorescent, (3) 6" spacing U-Tube, T-8 lamps, IS Ballast, NLO (0.85 &lt; BF &lt; 0.95)</v>
      </c>
      <c r="T1440" t="str">
        <f>Table_TRM_Fixtures[[#This Row],[Fixture code  (TRM Data)]]</f>
        <v>FU3ILU</v>
      </c>
      <c r="U1440" t="s">
        <v>2882</v>
      </c>
      <c r="V1440" t="s">
        <v>186</v>
      </c>
      <c r="W1440" t="s">
        <v>3120</v>
      </c>
      <c r="X1440" t="s">
        <v>186</v>
      </c>
      <c r="Y1440" t="s">
        <v>4815</v>
      </c>
      <c r="Z1440" t="s">
        <v>4815</v>
      </c>
      <c r="AA1440">
        <f>IF(Table_TRM_Fixtures[[#This Row],[Pre-EISA Baseline]]="Nominal", Table_TRM_Fixtures[[#This Row],[Fixture Watts  (TRM Data)]], Table_TRM_Fixtures[[#This Row],[Modified Baseline Fixture Watts]])</f>
        <v>81</v>
      </c>
    </row>
    <row r="1441" spans="1:27" x14ac:dyDescent="0.2">
      <c r="A1441" t="s">
        <v>2588</v>
      </c>
      <c r="B1441" t="s">
        <v>5925</v>
      </c>
      <c r="C1441" t="s">
        <v>2587</v>
      </c>
      <c r="D1441" t="s">
        <v>5932</v>
      </c>
      <c r="E1441" t="s">
        <v>187</v>
      </c>
      <c r="F1441">
        <v>3</v>
      </c>
      <c r="G1441">
        <v>32</v>
      </c>
      <c r="H1441">
        <v>73</v>
      </c>
      <c r="J1441" s="110">
        <v>1439</v>
      </c>
      <c r="K1441" t="s">
        <v>2548</v>
      </c>
      <c r="L1441">
        <f>IF(Table_TRM_Fixtures[[#This Row],[Technology]]="LED", Table_TRM_Fixtures[[#This Row],[Fixture Watts  (TRM Data)]], Table_TRM_Fixtures[[#This Row],[Lamp Watts  (TRM Data)]])</f>
        <v>32</v>
      </c>
      <c r="M1441">
        <f>Table_TRM_Fixtures[[#This Row],[No. of Lamps  (TRM Data)]]</f>
        <v>3</v>
      </c>
      <c r="N1441" t="s">
        <v>186</v>
      </c>
      <c r="O1441" t="s">
        <v>1381</v>
      </c>
      <c r="P1441" t="s">
        <v>187</v>
      </c>
      <c r="Q1441" t="s">
        <v>5614</v>
      </c>
      <c r="R1441" t="str">
        <f>_xlfn.CONCAT(Table_TRM_Fixtures[[#This Row],[Technology]], ", ", Table_TRM_Fixtures[[#This Row],[Ballast Code]], " Ballast")</f>
        <v>U T8, Electronic RLO Ballast</v>
      </c>
      <c r="S1441" t="str">
        <f>Table_TRM_Fixtures[[#This Row],[Description  (TRM Data)]]</f>
        <v>Fluorescent, (3) 6" spacing U-Tube, T-8 lamps, IS Ballast, RLO (BF &lt; 0.85)</v>
      </c>
      <c r="T1441" t="str">
        <f>Table_TRM_Fixtures[[#This Row],[Fixture code  (TRM Data)]]</f>
        <v>FU3ILU-R</v>
      </c>
      <c r="U1441" t="s">
        <v>2882</v>
      </c>
      <c r="V1441" t="s">
        <v>186</v>
      </c>
      <c r="W1441" t="s">
        <v>3120</v>
      </c>
      <c r="X1441" t="s">
        <v>186</v>
      </c>
      <c r="Y1441" t="s">
        <v>4815</v>
      </c>
      <c r="Z1441" t="s">
        <v>4815</v>
      </c>
      <c r="AA1441">
        <f>IF(Table_TRM_Fixtures[[#This Row],[Pre-EISA Baseline]]="Nominal", Table_TRM_Fixtures[[#This Row],[Fixture Watts  (TRM Data)]], Table_TRM_Fixtures[[#This Row],[Modified Baseline Fixture Watts]])</f>
        <v>73</v>
      </c>
    </row>
    <row r="1442" spans="1:27" x14ac:dyDescent="0.2">
      <c r="A1442" t="s">
        <v>2591</v>
      </c>
      <c r="B1442" t="s">
        <v>5933</v>
      </c>
      <c r="C1442" t="s">
        <v>2590</v>
      </c>
      <c r="D1442" t="s">
        <v>5934</v>
      </c>
      <c r="E1442" t="s">
        <v>1722</v>
      </c>
      <c r="F1442">
        <v>1</v>
      </c>
      <c r="G1442">
        <v>40</v>
      </c>
      <c r="H1442">
        <v>43</v>
      </c>
      <c r="J1442" s="110">
        <v>1440</v>
      </c>
      <c r="K1442" t="s">
        <v>2589</v>
      </c>
      <c r="L1442">
        <f>IF(Table_TRM_Fixtures[[#This Row],[Technology]]="LED", Table_TRM_Fixtures[[#This Row],[Fixture Watts  (TRM Data)]], Table_TRM_Fixtures[[#This Row],[Lamp Watts  (TRM Data)]])</f>
        <v>40</v>
      </c>
      <c r="M1442">
        <f>Table_TRM_Fixtures[[#This Row],[No. of Lamps  (TRM Data)]]</f>
        <v>1</v>
      </c>
      <c r="N1442" t="s">
        <v>186</v>
      </c>
      <c r="O1442" t="s">
        <v>1381</v>
      </c>
      <c r="P1442" t="s">
        <v>2640</v>
      </c>
      <c r="Q1442" t="s">
        <v>5608</v>
      </c>
      <c r="R1442" t="str">
        <f>_xlfn.CONCAT(Table_TRM_Fixtures[[#This Row],[Technology]], ", ", Table_TRM_Fixtures[[#This Row],[Ballast Code]], " Ballast")</f>
        <v>U T12, Magnetic STD Ballast</v>
      </c>
      <c r="S1442" t="str">
        <f>Table_TRM_Fixtures[[#This Row],[Description  (TRM Data)]]</f>
        <v>Fluorescent, (1) U-Tube, STD lamp</v>
      </c>
      <c r="T1442" t="str">
        <f>Table_TRM_Fixtures[[#This Row],[Fixture code  (TRM Data)]]</f>
        <v>FU1SE</v>
      </c>
      <c r="U1442" t="s">
        <v>2882</v>
      </c>
      <c r="V1442" t="s">
        <v>186</v>
      </c>
      <c r="W1442" t="s">
        <v>5764</v>
      </c>
      <c r="X1442">
        <v>32</v>
      </c>
      <c r="Y1442" t="s">
        <v>4815</v>
      </c>
      <c r="Z1442" t="s">
        <v>4815</v>
      </c>
      <c r="AA1442">
        <f>IF(Table_TRM_Fixtures[[#This Row],[Pre-EISA Baseline]]="Nominal", Table_TRM_Fixtures[[#This Row],[Fixture Watts  (TRM Data)]], Table_TRM_Fixtures[[#This Row],[Modified Baseline Fixture Watts]])</f>
        <v>32</v>
      </c>
    </row>
    <row r="1443" spans="1:27" x14ac:dyDescent="0.2">
      <c r="A1443" t="s">
        <v>2593</v>
      </c>
      <c r="B1443" t="s">
        <v>5933</v>
      </c>
      <c r="C1443" t="s">
        <v>2592</v>
      </c>
      <c r="D1443" t="s">
        <v>5935</v>
      </c>
      <c r="E1443" t="s">
        <v>1309</v>
      </c>
      <c r="F1443">
        <v>1</v>
      </c>
      <c r="G1443">
        <v>40</v>
      </c>
      <c r="H1443">
        <v>43</v>
      </c>
      <c r="J1443" s="110">
        <v>1441</v>
      </c>
      <c r="K1443" t="s">
        <v>2589</v>
      </c>
      <c r="L1443">
        <f>IF(Table_TRM_Fixtures[[#This Row],[Technology]]="LED", Table_TRM_Fixtures[[#This Row],[Fixture Watts  (TRM Data)]], Table_TRM_Fixtures[[#This Row],[Lamp Watts  (TRM Data)]])</f>
        <v>40</v>
      </c>
      <c r="M1443">
        <f>Table_TRM_Fixtures[[#This Row],[No. of Lamps  (TRM Data)]]</f>
        <v>1</v>
      </c>
      <c r="N1443" t="s">
        <v>186</v>
      </c>
      <c r="O1443" t="s">
        <v>1381</v>
      </c>
      <c r="P1443" t="s">
        <v>2640</v>
      </c>
      <c r="Q1443" t="s">
        <v>5608</v>
      </c>
      <c r="R1443" t="str">
        <f>_xlfn.CONCAT(Table_TRM_Fixtures[[#This Row],[Technology]], ", ", Table_TRM_Fixtures[[#This Row],[Ballast Code]], " Ballast")</f>
        <v>U T12, Magnetic STD Ballast</v>
      </c>
      <c r="S1443" t="str">
        <f>Table_TRM_Fixtures[[#This Row],[Description  (TRM Data)]]</f>
        <v>Fluorescent, (1) U-Tube, ES Lamp</v>
      </c>
      <c r="T1443" t="str">
        <f>Table_TRM_Fixtures[[#This Row],[Fixture code  (TRM Data)]]</f>
        <v>FU1SS</v>
      </c>
      <c r="U1443" t="s">
        <v>2882</v>
      </c>
      <c r="V1443" t="s">
        <v>186</v>
      </c>
      <c r="W1443" t="s">
        <v>5764</v>
      </c>
      <c r="X1443">
        <v>32</v>
      </c>
      <c r="Y1443" t="str">
        <f>_xlfn.CONCAT(Table_TRM_Fixtures[[#This Row],[Combined Lighting/Ballast Types]],":",Table_TRM_Fixtures[[#This Row],[No. of Lamps]], ":", Table_TRM_Fixtures[[#This Row],[Lamp Watts  (TRM Data)]])</f>
        <v>U T12, Magnetic STD Ballast:1:40</v>
      </c>
      <c r="Z1443"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U T12:1:40</v>
      </c>
      <c r="AA1443">
        <f>IF(Table_TRM_Fixtures[[#This Row],[Pre-EISA Baseline]]="Nominal", Table_TRM_Fixtures[[#This Row],[Fixture Watts  (TRM Data)]], Table_TRM_Fixtures[[#This Row],[Modified Baseline Fixture Watts]])</f>
        <v>32</v>
      </c>
    </row>
    <row r="1444" spans="1:27" x14ac:dyDescent="0.2">
      <c r="A1444" t="s">
        <v>2595</v>
      </c>
      <c r="B1444" t="s">
        <v>5933</v>
      </c>
      <c r="C1444" t="s">
        <v>2594</v>
      </c>
      <c r="D1444" t="s">
        <v>5936</v>
      </c>
      <c r="E1444" t="s">
        <v>1722</v>
      </c>
      <c r="F1444">
        <v>2</v>
      </c>
      <c r="G1444">
        <v>40</v>
      </c>
      <c r="H1444">
        <v>72</v>
      </c>
      <c r="J1444" s="110">
        <v>1442</v>
      </c>
      <c r="K1444" t="s">
        <v>2589</v>
      </c>
      <c r="L1444">
        <f>IF(Table_TRM_Fixtures[[#This Row],[Technology]]="LED", Table_TRM_Fixtures[[#This Row],[Fixture Watts  (TRM Data)]], Table_TRM_Fixtures[[#This Row],[Lamp Watts  (TRM Data)]])</f>
        <v>40</v>
      </c>
      <c r="M1444">
        <f>Table_TRM_Fixtures[[#This Row],[No. of Lamps  (TRM Data)]]</f>
        <v>2</v>
      </c>
      <c r="N1444" t="s">
        <v>186</v>
      </c>
      <c r="O1444" t="s">
        <v>1381</v>
      </c>
      <c r="P1444" t="s">
        <v>2640</v>
      </c>
      <c r="Q1444" t="s">
        <v>5608</v>
      </c>
      <c r="R1444" t="str">
        <f>_xlfn.CONCAT(Table_TRM_Fixtures[[#This Row],[Technology]], ", ", Table_TRM_Fixtures[[#This Row],[Ballast Code]], " Ballast")</f>
        <v>U T12, Magnetic STD Ballast</v>
      </c>
      <c r="S1444" t="str">
        <f>Table_TRM_Fixtures[[#This Row],[Description  (TRM Data)]]</f>
        <v>Fluorescent, (2) U-Tube, STD lamps</v>
      </c>
      <c r="T1444" t="str">
        <f>Table_TRM_Fixtures[[#This Row],[Fixture code  (TRM Data)]]</f>
        <v>FU2SE</v>
      </c>
      <c r="U1444" t="s">
        <v>2882</v>
      </c>
      <c r="V1444" t="s">
        <v>186</v>
      </c>
      <c r="W1444" t="s">
        <v>5764</v>
      </c>
      <c r="X1444">
        <v>60</v>
      </c>
      <c r="Y1444" t="str">
        <f>_xlfn.CONCAT(Table_TRM_Fixtures[[#This Row],[Combined Lighting/Ballast Types]],":",Table_TRM_Fixtures[[#This Row],[No. of Lamps]], ":", Table_TRM_Fixtures[[#This Row],[Lamp Watts  (TRM Data)]])</f>
        <v>U T12, Magnetic STD Ballast:2:40</v>
      </c>
      <c r="Z1444" t="s">
        <v>4815</v>
      </c>
      <c r="AA1444">
        <f>IF(Table_TRM_Fixtures[[#This Row],[Pre-EISA Baseline]]="Nominal", Table_TRM_Fixtures[[#This Row],[Fixture Watts  (TRM Data)]], Table_TRM_Fixtures[[#This Row],[Modified Baseline Fixture Watts]])</f>
        <v>60</v>
      </c>
    </row>
    <row r="1445" spans="1:27" x14ac:dyDescent="0.2">
      <c r="A1445" t="s">
        <v>2597</v>
      </c>
      <c r="B1445" t="s">
        <v>5933</v>
      </c>
      <c r="C1445" t="s">
        <v>2596</v>
      </c>
      <c r="D1445" t="s">
        <v>5936</v>
      </c>
      <c r="E1445" t="s">
        <v>187</v>
      </c>
      <c r="F1445">
        <v>2</v>
      </c>
      <c r="G1445">
        <v>40</v>
      </c>
      <c r="H1445">
        <v>63</v>
      </c>
      <c r="J1445" s="110">
        <v>1443</v>
      </c>
      <c r="K1445" t="s">
        <v>2589</v>
      </c>
      <c r="L1445">
        <f>IF(Table_TRM_Fixtures[[#This Row],[Technology]]="LED", Table_TRM_Fixtures[[#This Row],[Fixture Watts  (TRM Data)]], Table_TRM_Fixtures[[#This Row],[Lamp Watts  (TRM Data)]])</f>
        <v>40</v>
      </c>
      <c r="M1445">
        <f>Table_TRM_Fixtures[[#This Row],[No. of Lamps  (TRM Data)]]</f>
        <v>2</v>
      </c>
      <c r="N1445">
        <v>48</v>
      </c>
      <c r="O1445" t="s">
        <v>1381</v>
      </c>
      <c r="P1445" t="s">
        <v>187</v>
      </c>
      <c r="Q1445" t="s">
        <v>5612</v>
      </c>
      <c r="R1445" t="str">
        <f>_xlfn.CONCAT(Table_TRM_Fixtures[[#This Row],[Technology]], ", ", Table_TRM_Fixtures[[#This Row],[Ballast Code]], " Ballast")</f>
        <v>U T12, Electronic STD Ballast</v>
      </c>
      <c r="S1445" t="str">
        <f>Table_TRM_Fixtures[[#This Row],[Description  (TRM Data)]]</f>
        <v>Fluorescent (2) 48" U-bent Standard lamps, Electronic ballast, NLO (0.85 &lt; BF &lt; 0.95)</v>
      </c>
      <c r="T1445" t="str">
        <f>Table_TRM_Fixtures[[#This Row],[Fixture code  (TRM Data)]]</f>
        <v>FU2SL</v>
      </c>
      <c r="U1445" t="s">
        <v>2882</v>
      </c>
      <c r="V1445" t="s">
        <v>186</v>
      </c>
      <c r="W1445" t="s">
        <v>5764</v>
      </c>
      <c r="X1445">
        <v>60</v>
      </c>
      <c r="Y1445" t="str">
        <f>_xlfn.CONCAT(Table_TRM_Fixtures[[#This Row],[Combined Lighting/Ballast Types]],":",Table_TRM_Fixtures[[#This Row],[No. of Lamps]], ":", Table_TRM_Fixtures[[#This Row],[Lamp Watts  (TRM Data)]])</f>
        <v>U T12, Electronic STD Ballast:2:40</v>
      </c>
      <c r="Z1445"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U T12:2:40</v>
      </c>
      <c r="AA1445">
        <f>IF(Table_TRM_Fixtures[[#This Row],[Pre-EISA Baseline]]="Nominal", Table_TRM_Fixtures[[#This Row],[Fixture Watts  (TRM Data)]], Table_TRM_Fixtures[[#This Row],[Modified Baseline Fixture Watts]])</f>
        <v>60</v>
      </c>
    </row>
    <row r="1446" spans="1:27" x14ac:dyDescent="0.2">
      <c r="A1446" t="s">
        <v>2599</v>
      </c>
      <c r="B1446" t="s">
        <v>5933</v>
      </c>
      <c r="C1446" t="s">
        <v>2598</v>
      </c>
      <c r="D1446" t="s">
        <v>5936</v>
      </c>
      <c r="E1446" t="s">
        <v>1309</v>
      </c>
      <c r="F1446">
        <v>2</v>
      </c>
      <c r="G1446">
        <v>40</v>
      </c>
      <c r="H1446">
        <v>72</v>
      </c>
      <c r="J1446" s="110">
        <v>1444</v>
      </c>
      <c r="K1446" t="s">
        <v>2589</v>
      </c>
      <c r="L1446">
        <f>IF(Table_TRM_Fixtures[[#This Row],[Technology]]="LED", Table_TRM_Fixtures[[#This Row],[Fixture Watts  (TRM Data)]], Table_TRM_Fixtures[[#This Row],[Lamp Watts  (TRM Data)]])</f>
        <v>40</v>
      </c>
      <c r="M1446">
        <v>2</v>
      </c>
      <c r="N1446" t="s">
        <v>186</v>
      </c>
      <c r="O1446" t="s">
        <v>1381</v>
      </c>
      <c r="P1446" t="s">
        <v>2640</v>
      </c>
      <c r="Q1446" t="s">
        <v>5608</v>
      </c>
      <c r="R1446" t="str">
        <f>_xlfn.CONCAT(Table_TRM_Fixtures[[#This Row],[Technology]], ", ", Table_TRM_Fixtures[[#This Row],[Ballast Code]], " Ballast")</f>
        <v>U T12, Magnetic STD Ballast</v>
      </c>
      <c r="S1446" t="str">
        <f>Table_TRM_Fixtures[[#This Row],[Description  (TRM Data)]]</f>
        <v>Fluorescent, (1) U-Tube, STD lamp, STD Mag Ballast</v>
      </c>
      <c r="T1446" t="str">
        <f>Table_TRM_Fixtures[[#This Row],[Fixture code  (TRM Data)]]</f>
        <v>FU2SS</v>
      </c>
      <c r="U1446" t="s">
        <v>2882</v>
      </c>
      <c r="V1446" t="s">
        <v>186</v>
      </c>
      <c r="W1446" t="s">
        <v>5764</v>
      </c>
      <c r="X1446">
        <v>60</v>
      </c>
      <c r="Y1446" t="s">
        <v>4815</v>
      </c>
      <c r="Z1446" t="s">
        <v>4815</v>
      </c>
      <c r="AA1446">
        <f>IF(Table_TRM_Fixtures[[#This Row],[Pre-EISA Baseline]]="Nominal", Table_TRM_Fixtures[[#This Row],[Fixture Watts  (TRM Data)]], Table_TRM_Fixtures[[#This Row],[Modified Baseline Fixture Watts]])</f>
        <v>60</v>
      </c>
    </row>
    <row r="1447" spans="1:27" x14ac:dyDescent="0.2">
      <c r="A1447" t="s">
        <v>2601</v>
      </c>
      <c r="B1447" t="s">
        <v>5933</v>
      </c>
      <c r="C1447" t="s">
        <v>2600</v>
      </c>
      <c r="D1447" t="s">
        <v>5937</v>
      </c>
      <c r="E1447" t="s">
        <v>1722</v>
      </c>
      <c r="F1447">
        <v>3</v>
      </c>
      <c r="G1447">
        <v>40</v>
      </c>
      <c r="H1447">
        <v>115</v>
      </c>
      <c r="J1447" s="110">
        <v>1445</v>
      </c>
      <c r="K1447" t="s">
        <v>2589</v>
      </c>
      <c r="L1447">
        <f>IF(Table_TRM_Fixtures[[#This Row],[Technology]]="LED", Table_TRM_Fixtures[[#This Row],[Fixture Watts  (TRM Data)]], Table_TRM_Fixtures[[#This Row],[Lamp Watts  (TRM Data)]])</f>
        <v>40</v>
      </c>
      <c r="M1447">
        <f>Table_TRM_Fixtures[[#This Row],[No. of Lamps  (TRM Data)]]</f>
        <v>3</v>
      </c>
      <c r="N1447" t="s">
        <v>186</v>
      </c>
      <c r="O1447" t="s">
        <v>1381</v>
      </c>
      <c r="P1447" t="s">
        <v>2640</v>
      </c>
      <c r="Q1447" t="s">
        <v>5608</v>
      </c>
      <c r="R1447" t="str">
        <f>_xlfn.CONCAT(Table_TRM_Fixtures[[#This Row],[Technology]], ", ", Table_TRM_Fixtures[[#This Row],[Ballast Code]], " Ballast")</f>
        <v>U T12, Magnetic STD Ballast</v>
      </c>
      <c r="S1447" t="str">
        <f>Table_TRM_Fixtures[[#This Row],[Description  (TRM Data)]]</f>
        <v>Fluorescent, (3) U-Tube, STD lamps</v>
      </c>
      <c r="T1447" t="str">
        <f>Table_TRM_Fixtures[[#This Row],[Fixture code  (TRM Data)]]</f>
        <v>FU3SE</v>
      </c>
      <c r="U1447" t="s">
        <v>2882</v>
      </c>
      <c r="V1447" t="s">
        <v>186</v>
      </c>
      <c r="W1447" t="s">
        <v>5764</v>
      </c>
      <c r="X1447">
        <v>89</v>
      </c>
      <c r="Y1447" t="str">
        <f>_xlfn.CONCAT(Table_TRM_Fixtures[[#This Row],[Combined Lighting/Ballast Types]],":",Table_TRM_Fixtures[[#This Row],[No. of Lamps]], ":", Table_TRM_Fixtures[[#This Row],[Lamp Watts  (TRM Data)]])</f>
        <v>U T12, Magnetic STD Ballast:3:40</v>
      </c>
      <c r="Z1447"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U T12:3:40</v>
      </c>
      <c r="AA1447">
        <f>IF(Table_TRM_Fixtures[[#This Row],[Pre-EISA Baseline]]="Nominal", Table_TRM_Fixtures[[#This Row],[Fixture Watts  (TRM Data)]], Table_TRM_Fixtures[[#This Row],[Modified Baseline Fixture Watts]])</f>
        <v>89</v>
      </c>
    </row>
    <row r="1448" spans="1:27" x14ac:dyDescent="0.2">
      <c r="A1448" t="s">
        <v>2603</v>
      </c>
      <c r="B1448" t="s">
        <v>5938</v>
      </c>
      <c r="C1448" t="s">
        <v>2602</v>
      </c>
      <c r="D1448" t="s">
        <v>5939</v>
      </c>
      <c r="E1448" t="s">
        <v>1722</v>
      </c>
      <c r="F1448">
        <v>1</v>
      </c>
      <c r="G1448">
        <v>35</v>
      </c>
      <c r="H1448">
        <v>43</v>
      </c>
      <c r="J1448" s="110">
        <v>1446</v>
      </c>
      <c r="K1448" t="s">
        <v>2589</v>
      </c>
      <c r="L1448">
        <f>IF(Table_TRM_Fixtures[[#This Row],[Technology]]="LED", Table_TRM_Fixtures[[#This Row],[Fixture Watts  (TRM Data)]], Table_TRM_Fixtures[[#This Row],[Lamp Watts  (TRM Data)]])</f>
        <v>35</v>
      </c>
      <c r="M1448">
        <f>Table_TRM_Fixtures[[#This Row],[No. of Lamps  (TRM Data)]]</f>
        <v>1</v>
      </c>
      <c r="N1448" t="s">
        <v>186</v>
      </c>
      <c r="O1448" t="s">
        <v>1381</v>
      </c>
      <c r="P1448" t="s">
        <v>2640</v>
      </c>
      <c r="Q1448" t="s">
        <v>5608</v>
      </c>
      <c r="R1448" t="str">
        <f>_xlfn.CONCAT(Table_TRM_Fixtures[[#This Row],[Technology]], ", ", Table_TRM_Fixtures[[#This Row],[Ballast Code]], " Ballast")</f>
        <v>U T12, Magnetic STD Ballast</v>
      </c>
      <c r="S1448" t="str">
        <f>Table_TRM_Fixtures[[#This Row],[Description  (TRM Data)]]</f>
        <v>Fluorescent, (1) U-Tube, ES lamp</v>
      </c>
      <c r="T1448" t="str">
        <f>Table_TRM_Fixtures[[#This Row],[Fixture code  (TRM Data)]]</f>
        <v>FU1EE</v>
      </c>
      <c r="U1448" t="s">
        <v>2882</v>
      </c>
      <c r="V1448" t="s">
        <v>186</v>
      </c>
      <c r="W1448" t="s">
        <v>5764</v>
      </c>
      <c r="X1448">
        <v>32</v>
      </c>
      <c r="Y1448" t="str">
        <f>_xlfn.CONCAT(Table_TRM_Fixtures[[#This Row],[Combined Lighting/Ballast Types]],":",Table_TRM_Fixtures[[#This Row],[No. of Lamps]], ":", Table_TRM_Fixtures[[#This Row],[Lamp Watts  (TRM Data)]])</f>
        <v>U T12, Magnetic STD Ballast:1:35</v>
      </c>
      <c r="Z1448"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U T12:1:35</v>
      </c>
      <c r="AA1448">
        <f>IF(Table_TRM_Fixtures[[#This Row],[Pre-EISA Baseline]]="Nominal", Table_TRM_Fixtures[[#This Row],[Fixture Watts  (TRM Data)]], Table_TRM_Fixtures[[#This Row],[Modified Baseline Fixture Watts]])</f>
        <v>32</v>
      </c>
    </row>
    <row r="1449" spans="1:27" x14ac:dyDescent="0.2">
      <c r="A1449" t="s">
        <v>2604</v>
      </c>
      <c r="B1449" t="s">
        <v>5938</v>
      </c>
      <c r="C1449" t="s">
        <v>2592</v>
      </c>
      <c r="D1449" t="s">
        <v>5939</v>
      </c>
      <c r="E1449" t="s">
        <v>1309</v>
      </c>
      <c r="F1449">
        <v>1</v>
      </c>
      <c r="G1449">
        <v>34</v>
      </c>
      <c r="H1449">
        <v>43</v>
      </c>
      <c r="J1449" s="110">
        <v>1447</v>
      </c>
      <c r="K1449" t="s">
        <v>2589</v>
      </c>
      <c r="L1449">
        <f>IF(Table_TRM_Fixtures[[#This Row],[Technology]]="LED", Table_TRM_Fixtures[[#This Row],[Fixture Watts  (TRM Data)]], Table_TRM_Fixtures[[#This Row],[Lamp Watts  (TRM Data)]])</f>
        <v>34</v>
      </c>
      <c r="M1449">
        <f>Table_TRM_Fixtures[[#This Row],[No. of Lamps  (TRM Data)]]</f>
        <v>1</v>
      </c>
      <c r="N1449" t="s">
        <v>186</v>
      </c>
      <c r="O1449" t="s">
        <v>1381</v>
      </c>
      <c r="P1449" t="s">
        <v>2640</v>
      </c>
      <c r="Q1449" t="s">
        <v>5608</v>
      </c>
      <c r="R1449" t="str">
        <f>_xlfn.CONCAT(Table_TRM_Fixtures[[#This Row],[Technology]], ", ", Table_TRM_Fixtures[[#This Row],[Ballast Code]], " Ballast")</f>
        <v>U T12, Magnetic STD Ballast</v>
      </c>
      <c r="S1449" t="str">
        <f>Table_TRM_Fixtures[[#This Row],[Description  (TRM Data)]]</f>
        <v>Fluorescent, (1) U-Tube, ES Lamp</v>
      </c>
      <c r="T1449" t="str">
        <f>Table_TRM_Fixtures[[#This Row],[Fixture code  (TRM Data)]]</f>
        <v>FU1ES</v>
      </c>
      <c r="U1449" t="s">
        <v>2882</v>
      </c>
      <c r="V1449" t="s">
        <v>186</v>
      </c>
      <c r="W1449" t="s">
        <v>5764</v>
      </c>
      <c r="X1449">
        <v>32</v>
      </c>
      <c r="Y1449" t="str">
        <f>_xlfn.CONCAT(Table_TRM_Fixtures[[#This Row],[Combined Lighting/Ballast Types]],":",Table_TRM_Fixtures[[#This Row],[No. of Lamps]], ":", Table_TRM_Fixtures[[#This Row],[Lamp Watts  (TRM Data)]])</f>
        <v>U T12, Magnetic STD Ballast:1:34</v>
      </c>
      <c r="Z1449"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U T12:1:34</v>
      </c>
      <c r="AA1449">
        <f>IF(Table_TRM_Fixtures[[#This Row],[Pre-EISA Baseline]]="Nominal", Table_TRM_Fixtures[[#This Row],[Fixture Watts  (TRM Data)]], Table_TRM_Fixtures[[#This Row],[Modified Baseline Fixture Watts]])</f>
        <v>32</v>
      </c>
    </row>
    <row r="1450" spans="1:27" x14ac:dyDescent="0.2">
      <c r="A1450" t="s">
        <v>2606</v>
      </c>
      <c r="B1450" t="s">
        <v>5938</v>
      </c>
      <c r="C1450" t="s">
        <v>2605</v>
      </c>
      <c r="D1450" t="s">
        <v>5939</v>
      </c>
      <c r="E1450" t="s">
        <v>1722</v>
      </c>
      <c r="F1450">
        <v>2</v>
      </c>
      <c r="G1450">
        <v>35</v>
      </c>
      <c r="H1450">
        <v>72</v>
      </c>
      <c r="J1450" s="110">
        <v>1448</v>
      </c>
      <c r="K1450" t="s">
        <v>2589</v>
      </c>
      <c r="L1450">
        <f>IF(Table_TRM_Fixtures[[#This Row],[Technology]]="LED", Table_TRM_Fixtures[[#This Row],[Fixture Watts  (TRM Data)]], Table_TRM_Fixtures[[#This Row],[Lamp Watts  (TRM Data)]])</f>
        <v>35</v>
      </c>
      <c r="M1450">
        <f>Table_TRM_Fixtures[[#This Row],[No. of Lamps  (TRM Data)]]</f>
        <v>2</v>
      </c>
      <c r="N1450" t="s">
        <v>186</v>
      </c>
      <c r="O1450" t="s">
        <v>1381</v>
      </c>
      <c r="P1450" t="s">
        <v>2640</v>
      </c>
      <c r="Q1450" t="s">
        <v>5608</v>
      </c>
      <c r="R1450" t="str">
        <f>_xlfn.CONCAT(Table_TRM_Fixtures[[#This Row],[Technology]], ", ", Table_TRM_Fixtures[[#This Row],[Ballast Code]], " Ballast")</f>
        <v>U T12, Magnetic STD Ballast</v>
      </c>
      <c r="S1450" t="str">
        <f>Table_TRM_Fixtures[[#This Row],[Description  (TRM Data)]]</f>
        <v>Fluorescent, (2) U-Tube, ES lamps</v>
      </c>
      <c r="T1450" t="str">
        <f>Table_TRM_Fixtures[[#This Row],[Fixture code  (TRM Data)]]</f>
        <v>FU2EE</v>
      </c>
      <c r="U1450" t="s">
        <v>2882</v>
      </c>
      <c r="V1450" t="s">
        <v>186</v>
      </c>
      <c r="W1450" t="s">
        <v>5764</v>
      </c>
      <c r="X1450">
        <v>60</v>
      </c>
      <c r="Y1450" t="str">
        <f>_xlfn.CONCAT(Table_TRM_Fixtures[[#This Row],[Combined Lighting/Ballast Types]],":",Table_TRM_Fixtures[[#This Row],[No. of Lamps]], ":", Table_TRM_Fixtures[[#This Row],[Lamp Watts  (TRM Data)]])</f>
        <v>U T12, Magnetic STD Ballast:2:35</v>
      </c>
      <c r="Z1450"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U T12:2:35</v>
      </c>
      <c r="AA1450">
        <f>IF(Table_TRM_Fixtures[[#This Row],[Pre-EISA Baseline]]="Nominal", Table_TRM_Fixtures[[#This Row],[Fixture Watts  (TRM Data)]], Table_TRM_Fixtures[[#This Row],[Modified Baseline Fixture Watts]])</f>
        <v>60</v>
      </c>
    </row>
    <row r="1451" spans="1:27" x14ac:dyDescent="0.2">
      <c r="A1451" t="s">
        <v>2608</v>
      </c>
      <c r="B1451" t="s">
        <v>5938</v>
      </c>
      <c r="C1451" t="s">
        <v>2607</v>
      </c>
      <c r="D1451" t="s">
        <v>5939</v>
      </c>
      <c r="E1451" t="s">
        <v>187</v>
      </c>
      <c r="F1451">
        <v>2</v>
      </c>
      <c r="G1451">
        <v>34</v>
      </c>
      <c r="H1451">
        <v>63</v>
      </c>
      <c r="J1451" s="110">
        <v>1449</v>
      </c>
      <c r="K1451" t="s">
        <v>2589</v>
      </c>
      <c r="L1451">
        <f>IF(Table_TRM_Fixtures[[#This Row],[Technology]]="LED", Table_TRM_Fixtures[[#This Row],[Fixture Watts  (TRM Data)]], Table_TRM_Fixtures[[#This Row],[Lamp Watts  (TRM Data)]])</f>
        <v>34</v>
      </c>
      <c r="M1451">
        <f>Table_TRM_Fixtures[[#This Row],[No. of Lamps  (TRM Data)]]</f>
        <v>2</v>
      </c>
      <c r="N1451">
        <v>48</v>
      </c>
      <c r="O1451" t="s">
        <v>1381</v>
      </c>
      <c r="P1451" t="s">
        <v>187</v>
      </c>
      <c r="Q1451" t="s">
        <v>5612</v>
      </c>
      <c r="R1451" t="str">
        <f>_xlfn.CONCAT(Table_TRM_Fixtures[[#This Row],[Technology]], ", ", Table_TRM_Fixtures[[#This Row],[Ballast Code]], " Ballast")</f>
        <v>U T12, Electronic STD Ballast</v>
      </c>
      <c r="S1451" t="str">
        <f>Table_TRM_Fixtures[[#This Row],[Description  (TRM Data)]]</f>
        <v>Fluorescent (2) 48" U-bent ES lamps, Electronic ballast, NLO (0.85 &lt; BF &lt; 0.95)</v>
      </c>
      <c r="T1451" t="str">
        <f>Table_TRM_Fixtures[[#This Row],[Fixture code  (TRM Data)]]</f>
        <v>FU2EL</v>
      </c>
      <c r="U1451" t="s">
        <v>2882</v>
      </c>
      <c r="V1451" t="s">
        <v>186</v>
      </c>
      <c r="W1451" t="s">
        <v>5764</v>
      </c>
      <c r="X1451">
        <v>60</v>
      </c>
      <c r="Y1451" t="str">
        <f>_xlfn.CONCAT(Table_TRM_Fixtures[[#This Row],[Combined Lighting/Ballast Types]],":",Table_TRM_Fixtures[[#This Row],[No. of Lamps]], ":", Table_TRM_Fixtures[[#This Row],[Lamp Watts  (TRM Data)]])</f>
        <v>U T12, Electronic STD Ballast:2:34</v>
      </c>
      <c r="Z1451"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U T12:2:34</v>
      </c>
      <c r="AA1451">
        <f>IF(Table_TRM_Fixtures[[#This Row],[Pre-EISA Baseline]]="Nominal", Table_TRM_Fixtures[[#This Row],[Fixture Watts  (TRM Data)]], Table_TRM_Fixtures[[#This Row],[Modified Baseline Fixture Watts]])</f>
        <v>60</v>
      </c>
    </row>
    <row r="1452" spans="1:27" x14ac:dyDescent="0.2">
      <c r="A1452" t="s">
        <v>2609</v>
      </c>
      <c r="B1452" t="s">
        <v>5938</v>
      </c>
      <c r="C1452" t="s">
        <v>2605</v>
      </c>
      <c r="D1452" t="s">
        <v>5939</v>
      </c>
      <c r="E1452" t="s">
        <v>1309</v>
      </c>
      <c r="F1452">
        <v>1</v>
      </c>
      <c r="G1452">
        <v>35</v>
      </c>
      <c r="H1452">
        <v>72</v>
      </c>
      <c r="J1452" s="110">
        <v>1450</v>
      </c>
      <c r="K1452" t="s">
        <v>2589</v>
      </c>
      <c r="L1452">
        <f>IF(Table_TRM_Fixtures[[#This Row],[Technology]]="LED", Table_TRM_Fixtures[[#This Row],[Fixture Watts  (TRM Data)]], Table_TRM_Fixtures[[#This Row],[Lamp Watts  (TRM Data)]])</f>
        <v>35</v>
      </c>
      <c r="M1452">
        <v>2</v>
      </c>
      <c r="N1452" t="s">
        <v>186</v>
      </c>
      <c r="O1452" t="s">
        <v>1381</v>
      </c>
      <c r="P1452" t="s">
        <v>2640</v>
      </c>
      <c r="Q1452" t="s">
        <v>5608</v>
      </c>
      <c r="R1452" t="str">
        <f>_xlfn.CONCAT(Table_TRM_Fixtures[[#This Row],[Technology]], ", ", Table_TRM_Fixtures[[#This Row],[Ballast Code]], " Ballast")</f>
        <v>U T12, Magnetic STD Ballast</v>
      </c>
      <c r="S1452" t="str">
        <f>Table_TRM_Fixtures[[#This Row],[Description  (TRM Data)]]</f>
        <v>Fluorescent, (2) U-Tube, ES lamps</v>
      </c>
      <c r="T1452" t="str">
        <f>Table_TRM_Fixtures[[#This Row],[Fixture code  (TRM Data)]]</f>
        <v>FU2ES</v>
      </c>
      <c r="U1452" t="s">
        <v>2882</v>
      </c>
      <c r="V1452" t="s">
        <v>186</v>
      </c>
      <c r="W1452" t="s">
        <v>5764</v>
      </c>
      <c r="X1452">
        <v>60</v>
      </c>
      <c r="Y1452" t="s">
        <v>4815</v>
      </c>
      <c r="Z1452" t="s">
        <v>4815</v>
      </c>
      <c r="AA1452">
        <f>IF(Table_TRM_Fixtures[[#This Row],[Pre-EISA Baseline]]="Nominal", Table_TRM_Fixtures[[#This Row],[Fixture Watts  (TRM Data)]], Table_TRM_Fixtures[[#This Row],[Modified Baseline Fixture Watts]])</f>
        <v>60</v>
      </c>
    </row>
    <row r="1453" spans="1:27" x14ac:dyDescent="0.2">
      <c r="A1453" t="s">
        <v>2611</v>
      </c>
      <c r="B1453" t="s">
        <v>5938</v>
      </c>
      <c r="C1453" t="s">
        <v>2610</v>
      </c>
      <c r="D1453" t="s">
        <v>5940</v>
      </c>
      <c r="E1453" t="s">
        <v>1722</v>
      </c>
      <c r="F1453">
        <v>3</v>
      </c>
      <c r="G1453">
        <v>35</v>
      </c>
      <c r="H1453">
        <v>115</v>
      </c>
      <c r="J1453" s="110">
        <v>1451</v>
      </c>
      <c r="K1453" t="s">
        <v>2589</v>
      </c>
      <c r="L1453">
        <f>IF(Table_TRM_Fixtures[[#This Row],[Technology]]="LED", Table_TRM_Fixtures[[#This Row],[Fixture Watts  (TRM Data)]], Table_TRM_Fixtures[[#This Row],[Lamp Watts  (TRM Data)]])</f>
        <v>35</v>
      </c>
      <c r="M1453">
        <f>Table_TRM_Fixtures[[#This Row],[No. of Lamps  (TRM Data)]]</f>
        <v>3</v>
      </c>
      <c r="N1453" t="s">
        <v>186</v>
      </c>
      <c r="O1453" t="s">
        <v>1381</v>
      </c>
      <c r="P1453" t="s">
        <v>2640</v>
      </c>
      <c r="Q1453" t="s">
        <v>5608</v>
      </c>
      <c r="R1453" t="str">
        <f>_xlfn.CONCAT(Table_TRM_Fixtures[[#This Row],[Technology]], ", ", Table_TRM_Fixtures[[#This Row],[Ballast Code]], " Ballast")</f>
        <v>U T12, Magnetic STD Ballast</v>
      </c>
      <c r="S1453" t="str">
        <f>Table_TRM_Fixtures[[#This Row],[Description  (TRM Data)]]</f>
        <v>Fluorescent, (3) U-Tube, ES lamps</v>
      </c>
      <c r="T1453" t="str">
        <f>Table_TRM_Fixtures[[#This Row],[Fixture code  (TRM Data)]]</f>
        <v>FU3EE</v>
      </c>
      <c r="U1453" t="s">
        <v>2882</v>
      </c>
      <c r="V1453" t="s">
        <v>186</v>
      </c>
      <c r="W1453" t="s">
        <v>5764</v>
      </c>
      <c r="X1453">
        <v>89</v>
      </c>
      <c r="Y1453" t="str">
        <f>_xlfn.CONCAT(Table_TRM_Fixtures[[#This Row],[Combined Lighting/Ballast Types]],":",Table_TRM_Fixtures[[#This Row],[No. of Lamps]], ":", Table_TRM_Fixtures[[#This Row],[Lamp Watts  (TRM Data)]])</f>
        <v>U T12, Magnetic STD Ballast:3:35</v>
      </c>
      <c r="Z1453"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U T12:3:35</v>
      </c>
      <c r="AA1453">
        <f>IF(Table_TRM_Fixtures[[#This Row],[Pre-EISA Baseline]]="Nominal", Table_TRM_Fixtures[[#This Row],[Fixture Watts  (TRM Data)]], Table_TRM_Fixtures[[#This Row],[Modified Baseline Fixture Watts]])</f>
        <v>89</v>
      </c>
    </row>
    <row r="1454" spans="1:27" x14ac:dyDescent="0.2">
      <c r="A1454" t="s">
        <v>2614</v>
      </c>
      <c r="B1454" t="s">
        <v>5941</v>
      </c>
      <c r="C1454" t="s">
        <v>2613</v>
      </c>
      <c r="D1454" t="s">
        <v>5942</v>
      </c>
      <c r="F1454">
        <v>1</v>
      </c>
      <c r="G1454">
        <v>35</v>
      </c>
      <c r="H1454">
        <v>46</v>
      </c>
      <c r="J1454" s="110">
        <v>1452</v>
      </c>
      <c r="K1454" t="s">
        <v>2612</v>
      </c>
      <c r="L1454">
        <f>IF(Table_TRM_Fixtures[[#This Row],[Technology]]="LED", Table_TRM_Fixtures[[#This Row],[Fixture Watts  (TRM Data)]], Table_TRM_Fixtures[[#This Row],[Lamp Watts  (TRM Data)]])</f>
        <v>35</v>
      </c>
      <c r="M1454">
        <f>Table_TRM_Fixtures[[#This Row],[No. of Lamps  (TRM Data)]]</f>
        <v>1</v>
      </c>
      <c r="N1454" t="s">
        <v>186</v>
      </c>
      <c r="O1454" t="s">
        <v>186</v>
      </c>
      <c r="R1454" t="s">
        <v>2612</v>
      </c>
      <c r="S1454" t="str">
        <f>Table_TRM_Fixtures[[#This Row],[Description  (TRM Data)]]</f>
        <v>High Pressure Sodium, (1) 35W lamp</v>
      </c>
      <c r="T1454" t="str">
        <f>Table_TRM_Fixtures[[#This Row],[Fixture code  (TRM Data)]]</f>
        <v>HPS35/1</v>
      </c>
      <c r="U1454" t="s">
        <v>2882</v>
      </c>
      <c r="V1454" t="s">
        <v>186</v>
      </c>
      <c r="W1454" t="s">
        <v>3120</v>
      </c>
      <c r="X1454" t="s">
        <v>186</v>
      </c>
      <c r="Y1454" t="str">
        <f>_xlfn.CONCAT(Table_TRM_Fixtures[[#This Row],[Combined Lighting/Ballast Types]],":",Table_TRM_Fixtures[[#This Row],[No. of Lamps]], ":", Table_TRM_Fixtures[[#This Row],[Lamp Watts  (TRM Data)]])</f>
        <v>High Pressure Sodium:1:35</v>
      </c>
      <c r="Z1454"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High Pressure Sodium:1:35</v>
      </c>
      <c r="AA1454">
        <f>IF(Table_TRM_Fixtures[[#This Row],[Pre-EISA Baseline]]="Nominal", Table_TRM_Fixtures[[#This Row],[Fixture Watts  (TRM Data)]], Table_TRM_Fixtures[[#This Row],[Modified Baseline Fixture Watts]])</f>
        <v>46</v>
      </c>
    </row>
    <row r="1455" spans="1:27" x14ac:dyDescent="0.2">
      <c r="A1455" t="s">
        <v>2616</v>
      </c>
      <c r="B1455" t="s">
        <v>5943</v>
      </c>
      <c r="C1455" t="s">
        <v>2615</v>
      </c>
      <c r="D1455" t="s">
        <v>5944</v>
      </c>
      <c r="F1455">
        <v>1</v>
      </c>
      <c r="G1455">
        <v>50</v>
      </c>
      <c r="H1455">
        <v>66</v>
      </c>
      <c r="J1455" s="110">
        <v>1453</v>
      </c>
      <c r="K1455" t="s">
        <v>2612</v>
      </c>
      <c r="L1455">
        <f>IF(Table_TRM_Fixtures[[#This Row],[Technology]]="LED", Table_TRM_Fixtures[[#This Row],[Fixture Watts  (TRM Data)]], Table_TRM_Fixtures[[#This Row],[Lamp Watts  (TRM Data)]])</f>
        <v>50</v>
      </c>
      <c r="M1455">
        <f>Table_TRM_Fixtures[[#This Row],[No. of Lamps  (TRM Data)]]</f>
        <v>1</v>
      </c>
      <c r="N1455" t="s">
        <v>186</v>
      </c>
      <c r="O1455" t="s">
        <v>186</v>
      </c>
      <c r="R1455" t="s">
        <v>2612</v>
      </c>
      <c r="S1455" t="str">
        <f>Table_TRM_Fixtures[[#This Row],[Description  (TRM Data)]]</f>
        <v>High Pressure Sodium, (1) 50W lamp</v>
      </c>
      <c r="T1455" t="str">
        <f>Table_TRM_Fixtures[[#This Row],[Fixture code  (TRM Data)]]</f>
        <v>HPS50/1</v>
      </c>
      <c r="U1455" t="s">
        <v>2882</v>
      </c>
      <c r="V1455" t="s">
        <v>186</v>
      </c>
      <c r="W1455" t="s">
        <v>3120</v>
      </c>
      <c r="X1455" t="s">
        <v>186</v>
      </c>
      <c r="Y1455" t="str">
        <f>_xlfn.CONCAT(Table_TRM_Fixtures[[#This Row],[Combined Lighting/Ballast Types]],":",Table_TRM_Fixtures[[#This Row],[No. of Lamps]], ":", Table_TRM_Fixtures[[#This Row],[Lamp Watts  (TRM Data)]])</f>
        <v>High Pressure Sodium:1:50</v>
      </c>
      <c r="Z1455"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High Pressure Sodium:1:50</v>
      </c>
      <c r="AA1455">
        <f>IF(Table_TRM_Fixtures[[#This Row],[Pre-EISA Baseline]]="Nominal", Table_TRM_Fixtures[[#This Row],[Fixture Watts  (TRM Data)]], Table_TRM_Fixtures[[#This Row],[Modified Baseline Fixture Watts]])</f>
        <v>66</v>
      </c>
    </row>
    <row r="1456" spans="1:27" x14ac:dyDescent="0.2">
      <c r="A1456" t="s">
        <v>2618</v>
      </c>
      <c r="B1456" t="s">
        <v>5945</v>
      </c>
      <c r="C1456" t="s">
        <v>2617</v>
      </c>
      <c r="D1456" t="s">
        <v>5946</v>
      </c>
      <c r="F1456">
        <v>1</v>
      </c>
      <c r="G1456">
        <v>70</v>
      </c>
      <c r="H1456">
        <v>95</v>
      </c>
      <c r="J1456" s="110">
        <v>1454</v>
      </c>
      <c r="K1456" t="s">
        <v>2612</v>
      </c>
      <c r="L1456">
        <f>IF(Table_TRM_Fixtures[[#This Row],[Technology]]="LED", Table_TRM_Fixtures[[#This Row],[Fixture Watts  (TRM Data)]], Table_TRM_Fixtures[[#This Row],[Lamp Watts  (TRM Data)]])</f>
        <v>70</v>
      </c>
      <c r="M1456">
        <f>Table_TRM_Fixtures[[#This Row],[No. of Lamps  (TRM Data)]]</f>
        <v>1</v>
      </c>
      <c r="N1456" t="s">
        <v>186</v>
      </c>
      <c r="O1456" t="s">
        <v>186</v>
      </c>
      <c r="R1456" t="s">
        <v>2612</v>
      </c>
      <c r="S1456" t="str">
        <f>Table_TRM_Fixtures[[#This Row],[Description  (TRM Data)]]</f>
        <v>High Pressure Sodium, (1) 70W lamp</v>
      </c>
      <c r="T1456" t="str">
        <f>Table_TRM_Fixtures[[#This Row],[Fixture code  (TRM Data)]]</f>
        <v>HPS70/1</v>
      </c>
      <c r="U1456" t="s">
        <v>2882</v>
      </c>
      <c r="V1456" t="s">
        <v>186</v>
      </c>
      <c r="W1456" t="s">
        <v>3120</v>
      </c>
      <c r="X1456" t="s">
        <v>186</v>
      </c>
      <c r="Y1456" t="str">
        <f>_xlfn.CONCAT(Table_TRM_Fixtures[[#This Row],[Combined Lighting/Ballast Types]],":",Table_TRM_Fixtures[[#This Row],[No. of Lamps]], ":", Table_TRM_Fixtures[[#This Row],[Lamp Watts  (TRM Data)]])</f>
        <v>High Pressure Sodium:1:70</v>
      </c>
      <c r="Z1456"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High Pressure Sodium:1:70</v>
      </c>
      <c r="AA1456">
        <f>IF(Table_TRM_Fixtures[[#This Row],[Pre-EISA Baseline]]="Nominal", Table_TRM_Fixtures[[#This Row],[Fixture Watts  (TRM Data)]], Table_TRM_Fixtures[[#This Row],[Modified Baseline Fixture Watts]])</f>
        <v>95</v>
      </c>
    </row>
    <row r="1457" spans="1:27" x14ac:dyDescent="0.2">
      <c r="A1457" t="s">
        <v>2620</v>
      </c>
      <c r="B1457" t="s">
        <v>5947</v>
      </c>
      <c r="C1457" t="s">
        <v>2619</v>
      </c>
      <c r="D1457" t="s">
        <v>5948</v>
      </c>
      <c r="F1457">
        <v>1</v>
      </c>
      <c r="G1457">
        <v>100</v>
      </c>
      <c r="H1457">
        <v>138</v>
      </c>
      <c r="J1457" s="110">
        <v>1455</v>
      </c>
      <c r="K1457" t="s">
        <v>2612</v>
      </c>
      <c r="L1457">
        <f>IF(Table_TRM_Fixtures[[#This Row],[Technology]]="LED", Table_TRM_Fixtures[[#This Row],[Fixture Watts  (TRM Data)]], Table_TRM_Fixtures[[#This Row],[Lamp Watts  (TRM Data)]])</f>
        <v>100</v>
      </c>
      <c r="M1457">
        <f>Table_TRM_Fixtures[[#This Row],[No. of Lamps  (TRM Data)]]</f>
        <v>1</v>
      </c>
      <c r="N1457" t="s">
        <v>186</v>
      </c>
      <c r="O1457" t="s">
        <v>186</v>
      </c>
      <c r="R1457" t="s">
        <v>2612</v>
      </c>
      <c r="S1457" t="str">
        <f>Table_TRM_Fixtures[[#This Row],[Description  (TRM Data)]]</f>
        <v>High Pressure Sodium, (1) 100W lamp</v>
      </c>
      <c r="T1457" t="str">
        <f>Table_TRM_Fixtures[[#This Row],[Fixture code  (TRM Data)]]</f>
        <v>HPS100/1</v>
      </c>
      <c r="U1457" t="s">
        <v>2882</v>
      </c>
      <c r="V1457" t="s">
        <v>186</v>
      </c>
      <c r="W1457" t="s">
        <v>3120</v>
      </c>
      <c r="X1457" t="s">
        <v>186</v>
      </c>
      <c r="Y1457" t="str">
        <f>_xlfn.CONCAT(Table_TRM_Fixtures[[#This Row],[Combined Lighting/Ballast Types]],":",Table_TRM_Fixtures[[#This Row],[No. of Lamps]], ":", Table_TRM_Fixtures[[#This Row],[Lamp Watts  (TRM Data)]])</f>
        <v>High Pressure Sodium:1:100</v>
      </c>
      <c r="Z1457"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High Pressure Sodium:1:100</v>
      </c>
      <c r="AA1457">
        <f>IF(Table_TRM_Fixtures[[#This Row],[Pre-EISA Baseline]]="Nominal", Table_TRM_Fixtures[[#This Row],[Fixture Watts  (TRM Data)]], Table_TRM_Fixtures[[#This Row],[Modified Baseline Fixture Watts]])</f>
        <v>138</v>
      </c>
    </row>
    <row r="1458" spans="1:27" x14ac:dyDescent="0.2">
      <c r="A1458" t="s">
        <v>2622</v>
      </c>
      <c r="B1458" t="s">
        <v>5949</v>
      </c>
      <c r="C1458" t="s">
        <v>2621</v>
      </c>
      <c r="D1458" t="s">
        <v>5950</v>
      </c>
      <c r="F1458">
        <v>1</v>
      </c>
      <c r="G1458">
        <v>150</v>
      </c>
      <c r="H1458">
        <v>188</v>
      </c>
      <c r="J1458" s="110">
        <v>1456</v>
      </c>
      <c r="K1458" t="s">
        <v>2612</v>
      </c>
      <c r="L1458">
        <f>IF(Table_TRM_Fixtures[[#This Row],[Technology]]="LED", Table_TRM_Fixtures[[#This Row],[Fixture Watts  (TRM Data)]], Table_TRM_Fixtures[[#This Row],[Lamp Watts  (TRM Data)]])</f>
        <v>150</v>
      </c>
      <c r="M1458">
        <f>Table_TRM_Fixtures[[#This Row],[No. of Lamps  (TRM Data)]]</f>
        <v>1</v>
      </c>
      <c r="N1458" t="s">
        <v>186</v>
      </c>
      <c r="O1458" t="s">
        <v>186</v>
      </c>
      <c r="R1458" t="s">
        <v>2612</v>
      </c>
      <c r="S1458" t="str">
        <f>Table_TRM_Fixtures[[#This Row],[Description  (TRM Data)]]</f>
        <v>High Pressure Sodium, (1) 150W lamp</v>
      </c>
      <c r="T1458" t="str">
        <f>Table_TRM_Fixtures[[#This Row],[Fixture code  (TRM Data)]]</f>
        <v>HPS150/1</v>
      </c>
      <c r="U1458" t="s">
        <v>2882</v>
      </c>
      <c r="V1458" t="s">
        <v>186</v>
      </c>
      <c r="W1458" t="s">
        <v>3120</v>
      </c>
      <c r="X1458" t="s">
        <v>186</v>
      </c>
      <c r="Y1458" t="str">
        <f>_xlfn.CONCAT(Table_TRM_Fixtures[[#This Row],[Combined Lighting/Ballast Types]],":",Table_TRM_Fixtures[[#This Row],[No. of Lamps]], ":", Table_TRM_Fixtures[[#This Row],[Lamp Watts  (TRM Data)]])</f>
        <v>High Pressure Sodium:1:150</v>
      </c>
      <c r="Z1458"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High Pressure Sodium:1:150</v>
      </c>
      <c r="AA1458">
        <f>IF(Table_TRM_Fixtures[[#This Row],[Pre-EISA Baseline]]="Nominal", Table_TRM_Fixtures[[#This Row],[Fixture Watts  (TRM Data)]], Table_TRM_Fixtures[[#This Row],[Modified Baseline Fixture Watts]])</f>
        <v>188</v>
      </c>
    </row>
    <row r="1459" spans="1:27" x14ac:dyDescent="0.2">
      <c r="A1459" t="s">
        <v>2624</v>
      </c>
      <c r="B1459" t="s">
        <v>5951</v>
      </c>
      <c r="C1459" t="s">
        <v>2623</v>
      </c>
      <c r="D1459" t="s">
        <v>5952</v>
      </c>
      <c r="F1459">
        <v>1</v>
      </c>
      <c r="G1459">
        <v>200</v>
      </c>
      <c r="H1459">
        <v>250</v>
      </c>
      <c r="J1459" s="110">
        <v>1457</v>
      </c>
      <c r="K1459" t="s">
        <v>2612</v>
      </c>
      <c r="L1459">
        <f>IF(Table_TRM_Fixtures[[#This Row],[Technology]]="LED", Table_TRM_Fixtures[[#This Row],[Fixture Watts  (TRM Data)]], Table_TRM_Fixtures[[#This Row],[Lamp Watts  (TRM Data)]])</f>
        <v>200</v>
      </c>
      <c r="M1459">
        <f>Table_TRM_Fixtures[[#This Row],[No. of Lamps  (TRM Data)]]</f>
        <v>1</v>
      </c>
      <c r="N1459" t="s">
        <v>186</v>
      </c>
      <c r="O1459" t="s">
        <v>186</v>
      </c>
      <c r="R1459" t="s">
        <v>2612</v>
      </c>
      <c r="S1459" t="str">
        <f>Table_TRM_Fixtures[[#This Row],[Description  (TRM Data)]]</f>
        <v>High Pressure Sodium, (1) 200W lamp</v>
      </c>
      <c r="T1459" t="str">
        <f>Table_TRM_Fixtures[[#This Row],[Fixture code  (TRM Data)]]</f>
        <v>HPS200/1</v>
      </c>
      <c r="U1459" t="s">
        <v>2882</v>
      </c>
      <c r="V1459" t="s">
        <v>186</v>
      </c>
      <c r="W1459" t="s">
        <v>3120</v>
      </c>
      <c r="X1459" t="s">
        <v>186</v>
      </c>
      <c r="Y1459" t="str">
        <f>_xlfn.CONCAT(Table_TRM_Fixtures[[#This Row],[Combined Lighting/Ballast Types]],":",Table_TRM_Fixtures[[#This Row],[No. of Lamps]], ":", Table_TRM_Fixtures[[#This Row],[Lamp Watts  (TRM Data)]])</f>
        <v>High Pressure Sodium:1:200</v>
      </c>
      <c r="Z1459"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High Pressure Sodium:1:200</v>
      </c>
      <c r="AA1459">
        <f>IF(Table_TRM_Fixtures[[#This Row],[Pre-EISA Baseline]]="Nominal", Table_TRM_Fixtures[[#This Row],[Fixture Watts  (TRM Data)]], Table_TRM_Fixtures[[#This Row],[Modified Baseline Fixture Watts]])</f>
        <v>250</v>
      </c>
    </row>
    <row r="1460" spans="1:27" x14ac:dyDescent="0.2">
      <c r="A1460" t="s">
        <v>2626</v>
      </c>
      <c r="B1460" t="s">
        <v>5953</v>
      </c>
      <c r="C1460" t="s">
        <v>2625</v>
      </c>
      <c r="D1460" t="s">
        <v>5954</v>
      </c>
      <c r="F1460">
        <v>1</v>
      </c>
      <c r="G1460">
        <v>250</v>
      </c>
      <c r="H1460">
        <v>295</v>
      </c>
      <c r="J1460" s="110">
        <v>1458</v>
      </c>
      <c r="K1460" t="s">
        <v>2612</v>
      </c>
      <c r="L1460">
        <f>IF(Table_TRM_Fixtures[[#This Row],[Technology]]="LED", Table_TRM_Fixtures[[#This Row],[Fixture Watts  (TRM Data)]], Table_TRM_Fixtures[[#This Row],[Lamp Watts  (TRM Data)]])</f>
        <v>250</v>
      </c>
      <c r="M1460">
        <f>Table_TRM_Fixtures[[#This Row],[No. of Lamps  (TRM Data)]]</f>
        <v>1</v>
      </c>
      <c r="N1460" t="s">
        <v>186</v>
      </c>
      <c r="O1460" t="s">
        <v>186</v>
      </c>
      <c r="R1460" t="s">
        <v>2612</v>
      </c>
      <c r="S1460" t="str">
        <f>Table_TRM_Fixtures[[#This Row],[Description  (TRM Data)]]</f>
        <v>High Pressure Sodium, (1) 250W lamp</v>
      </c>
      <c r="T1460" t="str">
        <f>Table_TRM_Fixtures[[#This Row],[Fixture code  (TRM Data)]]</f>
        <v>HPS250/1</v>
      </c>
      <c r="U1460" t="s">
        <v>2882</v>
      </c>
      <c r="V1460" t="s">
        <v>186</v>
      </c>
      <c r="W1460" t="s">
        <v>3120</v>
      </c>
      <c r="X1460" t="s">
        <v>186</v>
      </c>
      <c r="Y1460" t="str">
        <f>_xlfn.CONCAT(Table_TRM_Fixtures[[#This Row],[Combined Lighting/Ballast Types]],":",Table_TRM_Fixtures[[#This Row],[No. of Lamps]], ":", Table_TRM_Fixtures[[#This Row],[Lamp Watts  (TRM Data)]])</f>
        <v>High Pressure Sodium:1:250</v>
      </c>
      <c r="Z1460"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High Pressure Sodium:1:250</v>
      </c>
      <c r="AA1460">
        <f>IF(Table_TRM_Fixtures[[#This Row],[Pre-EISA Baseline]]="Nominal", Table_TRM_Fixtures[[#This Row],[Fixture Watts  (TRM Data)]], Table_TRM_Fixtures[[#This Row],[Modified Baseline Fixture Watts]])</f>
        <v>295</v>
      </c>
    </row>
    <row r="1461" spans="1:27" x14ac:dyDescent="0.2">
      <c r="A1461" t="s">
        <v>2628</v>
      </c>
      <c r="B1461" t="s">
        <v>5955</v>
      </c>
      <c r="C1461" t="s">
        <v>2627</v>
      </c>
      <c r="D1461" t="s">
        <v>5956</v>
      </c>
      <c r="F1461">
        <v>1</v>
      </c>
      <c r="G1461">
        <v>310</v>
      </c>
      <c r="H1461">
        <v>365</v>
      </c>
      <c r="J1461" s="110">
        <v>1459</v>
      </c>
      <c r="K1461" t="s">
        <v>2612</v>
      </c>
      <c r="L1461">
        <f>IF(Table_TRM_Fixtures[[#This Row],[Technology]]="LED", Table_TRM_Fixtures[[#This Row],[Fixture Watts  (TRM Data)]], Table_TRM_Fixtures[[#This Row],[Lamp Watts  (TRM Data)]])</f>
        <v>310</v>
      </c>
      <c r="M1461">
        <f>Table_TRM_Fixtures[[#This Row],[No. of Lamps  (TRM Data)]]</f>
        <v>1</v>
      </c>
      <c r="N1461" t="s">
        <v>186</v>
      </c>
      <c r="O1461" t="s">
        <v>186</v>
      </c>
      <c r="R1461" t="s">
        <v>2612</v>
      </c>
      <c r="S1461" t="str">
        <f>Table_TRM_Fixtures[[#This Row],[Description  (TRM Data)]]</f>
        <v>High Pressure Sodium, (1) 310W lamp</v>
      </c>
      <c r="T1461" t="str">
        <f>Table_TRM_Fixtures[[#This Row],[Fixture code  (TRM Data)]]</f>
        <v>HPS310/1</v>
      </c>
      <c r="U1461" t="s">
        <v>2882</v>
      </c>
      <c r="V1461" t="s">
        <v>186</v>
      </c>
      <c r="W1461" t="s">
        <v>3120</v>
      </c>
      <c r="X1461" t="s">
        <v>186</v>
      </c>
      <c r="Y1461" t="str">
        <f>_xlfn.CONCAT(Table_TRM_Fixtures[[#This Row],[Combined Lighting/Ballast Types]],":",Table_TRM_Fixtures[[#This Row],[No. of Lamps]], ":", Table_TRM_Fixtures[[#This Row],[Lamp Watts  (TRM Data)]])</f>
        <v>High Pressure Sodium:1:310</v>
      </c>
      <c r="Z1461"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High Pressure Sodium:1:310</v>
      </c>
      <c r="AA1461">
        <f>IF(Table_TRM_Fixtures[[#This Row],[Pre-EISA Baseline]]="Nominal", Table_TRM_Fixtures[[#This Row],[Fixture Watts  (TRM Data)]], Table_TRM_Fixtures[[#This Row],[Modified Baseline Fixture Watts]])</f>
        <v>365</v>
      </c>
    </row>
    <row r="1462" spans="1:27" x14ac:dyDescent="0.2">
      <c r="A1462" t="s">
        <v>2630</v>
      </c>
      <c r="B1462" t="s">
        <v>5957</v>
      </c>
      <c r="C1462" t="s">
        <v>2629</v>
      </c>
      <c r="D1462" t="s">
        <v>5958</v>
      </c>
      <c r="F1462">
        <v>1</v>
      </c>
      <c r="G1462">
        <v>360</v>
      </c>
      <c r="H1462">
        <v>414</v>
      </c>
      <c r="J1462" s="110">
        <v>1460</v>
      </c>
      <c r="K1462" t="s">
        <v>2612</v>
      </c>
      <c r="L1462">
        <f>IF(Table_TRM_Fixtures[[#This Row],[Technology]]="LED", Table_TRM_Fixtures[[#This Row],[Fixture Watts  (TRM Data)]], Table_TRM_Fixtures[[#This Row],[Lamp Watts  (TRM Data)]])</f>
        <v>360</v>
      </c>
      <c r="M1462">
        <f>Table_TRM_Fixtures[[#This Row],[No. of Lamps  (TRM Data)]]</f>
        <v>1</v>
      </c>
      <c r="N1462" t="s">
        <v>186</v>
      </c>
      <c r="O1462" t="s">
        <v>186</v>
      </c>
      <c r="R1462" t="s">
        <v>2612</v>
      </c>
      <c r="S1462" t="str">
        <f>Table_TRM_Fixtures[[#This Row],[Description  (TRM Data)]]</f>
        <v>High Pressure Sodium, (1) 360W lamp</v>
      </c>
      <c r="T1462" t="str">
        <f>Table_TRM_Fixtures[[#This Row],[Fixture code  (TRM Data)]]</f>
        <v>HPS360/1</v>
      </c>
      <c r="U1462" t="s">
        <v>2882</v>
      </c>
      <c r="V1462" t="s">
        <v>186</v>
      </c>
      <c r="W1462" t="s">
        <v>3120</v>
      </c>
      <c r="X1462" t="s">
        <v>186</v>
      </c>
      <c r="Y1462" t="str">
        <f>_xlfn.CONCAT(Table_TRM_Fixtures[[#This Row],[Combined Lighting/Ballast Types]],":",Table_TRM_Fixtures[[#This Row],[No. of Lamps]], ":", Table_TRM_Fixtures[[#This Row],[Lamp Watts  (TRM Data)]])</f>
        <v>High Pressure Sodium:1:360</v>
      </c>
      <c r="Z1462"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High Pressure Sodium:1:360</v>
      </c>
      <c r="AA1462">
        <f>IF(Table_TRM_Fixtures[[#This Row],[Pre-EISA Baseline]]="Nominal", Table_TRM_Fixtures[[#This Row],[Fixture Watts  (TRM Data)]], Table_TRM_Fixtures[[#This Row],[Modified Baseline Fixture Watts]])</f>
        <v>414</v>
      </c>
    </row>
    <row r="1463" spans="1:27" x14ac:dyDescent="0.2">
      <c r="A1463" t="s">
        <v>2632</v>
      </c>
      <c r="B1463" t="s">
        <v>5959</v>
      </c>
      <c r="C1463" t="s">
        <v>2631</v>
      </c>
      <c r="D1463" t="s">
        <v>5960</v>
      </c>
      <c r="F1463">
        <v>1</v>
      </c>
      <c r="G1463">
        <v>400</v>
      </c>
      <c r="H1463">
        <v>465</v>
      </c>
      <c r="J1463" s="110">
        <v>1461</v>
      </c>
      <c r="K1463" t="s">
        <v>2612</v>
      </c>
      <c r="L1463">
        <f>IF(Table_TRM_Fixtures[[#This Row],[Technology]]="LED", Table_TRM_Fixtures[[#This Row],[Fixture Watts  (TRM Data)]], Table_TRM_Fixtures[[#This Row],[Lamp Watts  (TRM Data)]])</f>
        <v>400</v>
      </c>
      <c r="M1463">
        <f>Table_TRM_Fixtures[[#This Row],[No. of Lamps  (TRM Data)]]</f>
        <v>1</v>
      </c>
      <c r="N1463" t="s">
        <v>186</v>
      </c>
      <c r="O1463" t="s">
        <v>186</v>
      </c>
      <c r="R1463" t="s">
        <v>2612</v>
      </c>
      <c r="S1463" t="str">
        <f>Table_TRM_Fixtures[[#This Row],[Description  (TRM Data)]]</f>
        <v>High Pressure Sodium, (1) 400W lamp</v>
      </c>
      <c r="T1463" t="str">
        <f>Table_TRM_Fixtures[[#This Row],[Fixture code  (TRM Data)]]</f>
        <v>HPS400/1</v>
      </c>
      <c r="U1463" t="s">
        <v>2882</v>
      </c>
      <c r="V1463" t="s">
        <v>186</v>
      </c>
      <c r="W1463" t="s">
        <v>3120</v>
      </c>
      <c r="X1463" t="s">
        <v>186</v>
      </c>
      <c r="Y1463" t="str">
        <f>_xlfn.CONCAT(Table_TRM_Fixtures[[#This Row],[Combined Lighting/Ballast Types]],":",Table_TRM_Fixtures[[#This Row],[No. of Lamps]], ":", Table_TRM_Fixtures[[#This Row],[Lamp Watts  (TRM Data)]])</f>
        <v>High Pressure Sodium:1:400</v>
      </c>
      <c r="Z1463"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High Pressure Sodium:1:400</v>
      </c>
      <c r="AA1463">
        <f>IF(Table_TRM_Fixtures[[#This Row],[Pre-EISA Baseline]]="Nominal", Table_TRM_Fixtures[[#This Row],[Fixture Watts  (TRM Data)]], Table_TRM_Fixtures[[#This Row],[Modified Baseline Fixture Watts]])</f>
        <v>465</v>
      </c>
    </row>
    <row r="1464" spans="1:27" x14ac:dyDescent="0.2">
      <c r="A1464" t="s">
        <v>2634</v>
      </c>
      <c r="B1464" t="s">
        <v>5961</v>
      </c>
      <c r="C1464" t="s">
        <v>2633</v>
      </c>
      <c r="D1464" t="s">
        <v>5962</v>
      </c>
      <c r="F1464">
        <v>1</v>
      </c>
      <c r="G1464">
        <v>1000</v>
      </c>
      <c r="H1464">
        <v>1100</v>
      </c>
      <c r="J1464" s="110">
        <v>1462</v>
      </c>
      <c r="K1464" t="s">
        <v>2612</v>
      </c>
      <c r="L1464">
        <f>IF(Table_TRM_Fixtures[[#This Row],[Technology]]="LED", Table_TRM_Fixtures[[#This Row],[Fixture Watts  (TRM Data)]], Table_TRM_Fixtures[[#This Row],[Lamp Watts  (TRM Data)]])</f>
        <v>1000</v>
      </c>
      <c r="M1464">
        <f>Table_TRM_Fixtures[[#This Row],[No. of Lamps  (TRM Data)]]</f>
        <v>1</v>
      </c>
      <c r="N1464" t="s">
        <v>186</v>
      </c>
      <c r="O1464" t="s">
        <v>186</v>
      </c>
      <c r="R1464" t="s">
        <v>2612</v>
      </c>
      <c r="S1464" t="str">
        <f>Table_TRM_Fixtures[[#This Row],[Description  (TRM Data)]]</f>
        <v>High Pressure Sodium, (1) 1000W lamp</v>
      </c>
      <c r="T1464" t="str">
        <f>Table_TRM_Fixtures[[#This Row],[Fixture code  (TRM Data)]]</f>
        <v>HPS1000/1</v>
      </c>
      <c r="U1464" t="s">
        <v>2882</v>
      </c>
      <c r="V1464" t="s">
        <v>186</v>
      </c>
      <c r="W1464" t="s">
        <v>3120</v>
      </c>
      <c r="X1464" t="s">
        <v>186</v>
      </c>
      <c r="Y1464" t="str">
        <f>_xlfn.CONCAT(Table_TRM_Fixtures[[#This Row],[Combined Lighting/Ballast Types]],":",Table_TRM_Fixtures[[#This Row],[No. of Lamps]], ":", Table_TRM_Fixtures[[#This Row],[Lamp Watts  (TRM Data)]])</f>
        <v>High Pressure Sodium:1:1000</v>
      </c>
      <c r="Z1464"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High Pressure Sodium:1:1000</v>
      </c>
      <c r="AA1464">
        <f>IF(Table_TRM_Fixtures[[#This Row],[Pre-EISA Baseline]]="Nominal", Table_TRM_Fixtures[[#This Row],[Fixture Watts  (TRM Data)]], Table_TRM_Fixtures[[#This Row],[Modified Baseline Fixture Watts]])</f>
        <v>1100</v>
      </c>
    </row>
    <row r="1465" spans="1:27" x14ac:dyDescent="0.2">
      <c r="A1465" t="s">
        <v>2637</v>
      </c>
      <c r="B1465" t="s">
        <v>5963</v>
      </c>
      <c r="C1465" t="s">
        <v>2636</v>
      </c>
      <c r="D1465" t="s">
        <v>5964</v>
      </c>
      <c r="E1465" t="s">
        <v>187</v>
      </c>
      <c r="F1465">
        <v>1</v>
      </c>
      <c r="G1465">
        <v>20</v>
      </c>
      <c r="H1465">
        <v>23</v>
      </c>
      <c r="J1465" s="110">
        <v>1463</v>
      </c>
      <c r="K1465" t="s">
        <v>2635</v>
      </c>
      <c r="L1465">
        <f>IF(Table_TRM_Fixtures[[#This Row],[Technology]]="LED", Table_TRM_Fixtures[[#This Row],[Fixture Watts  (TRM Data)]], Table_TRM_Fixtures[[#This Row],[Lamp Watts  (TRM Data)]])</f>
        <v>20</v>
      </c>
      <c r="M1465">
        <f>Table_TRM_Fixtures[[#This Row],[No. of Lamps  (TRM Data)]]</f>
        <v>1</v>
      </c>
      <c r="N1465" t="s">
        <v>186</v>
      </c>
      <c r="O1465" t="s">
        <v>186</v>
      </c>
      <c r="P1465" t="s">
        <v>187</v>
      </c>
      <c r="Q1465" t="s">
        <v>187</v>
      </c>
      <c r="R1465" t="str">
        <f>_xlfn.CONCAT(Table_TRM_Fixtures[[#This Row],[Technology]], ", ", Table_TRM_Fixtures[[#This Row],[Ballast Code]], " Ballast")</f>
        <v>Metal Halide, Electronic Ballast</v>
      </c>
      <c r="S1465" t="str">
        <f>Table_TRM_Fixtures[[#This Row],[Description  (TRM Data)]]</f>
        <v>Metal Halide, (1) 20W lamp</v>
      </c>
      <c r="T1465" t="str">
        <f>Table_TRM_Fixtures[[#This Row],[Fixture code  (TRM Data)]]</f>
        <v>MH20/1-L</v>
      </c>
      <c r="U1465" t="s">
        <v>2882</v>
      </c>
      <c r="V1465" t="s">
        <v>186</v>
      </c>
      <c r="W1465" t="s">
        <v>3120</v>
      </c>
      <c r="X1465" t="s">
        <v>186</v>
      </c>
      <c r="Y1465" t="str">
        <f>_xlfn.CONCAT(Table_TRM_Fixtures[[#This Row],[Combined Lighting/Ballast Types]],":",Table_TRM_Fixtures[[#This Row],[No. of Lamps]], ":", Table_TRM_Fixtures[[#This Row],[Lamp Watts  (TRM Data)]])</f>
        <v>Metal Halide, Electronic Ballast:1:20</v>
      </c>
      <c r="Z1465"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Metal Halide:1:20</v>
      </c>
      <c r="AA1465">
        <f>IF(Table_TRM_Fixtures[[#This Row],[Pre-EISA Baseline]]="Nominal", Table_TRM_Fixtures[[#This Row],[Fixture Watts  (TRM Data)]], Table_TRM_Fixtures[[#This Row],[Modified Baseline Fixture Watts]])</f>
        <v>23</v>
      </c>
    </row>
    <row r="1466" spans="1:27" x14ac:dyDescent="0.2">
      <c r="A1466" t="s">
        <v>2639</v>
      </c>
      <c r="B1466" t="s">
        <v>5965</v>
      </c>
      <c r="C1466" t="s">
        <v>2638</v>
      </c>
      <c r="D1466" t="s">
        <v>5966</v>
      </c>
      <c r="E1466" t="s">
        <v>187</v>
      </c>
      <c r="F1466">
        <v>1</v>
      </c>
      <c r="G1466">
        <v>22</v>
      </c>
      <c r="H1466">
        <v>26</v>
      </c>
      <c r="J1466" s="110">
        <v>1464</v>
      </c>
      <c r="K1466" t="s">
        <v>2635</v>
      </c>
      <c r="L1466">
        <f>IF(Table_TRM_Fixtures[[#This Row],[Technology]]="LED", Table_TRM_Fixtures[[#This Row],[Fixture Watts  (TRM Data)]], Table_TRM_Fixtures[[#This Row],[Lamp Watts  (TRM Data)]])</f>
        <v>22</v>
      </c>
      <c r="M1466">
        <f>Table_TRM_Fixtures[[#This Row],[No. of Lamps  (TRM Data)]]</f>
        <v>1</v>
      </c>
      <c r="N1466" t="s">
        <v>186</v>
      </c>
      <c r="O1466" t="s">
        <v>186</v>
      </c>
      <c r="P1466" t="s">
        <v>187</v>
      </c>
      <c r="Q1466" t="s">
        <v>187</v>
      </c>
      <c r="R1466" t="str">
        <f>_xlfn.CONCAT(Table_TRM_Fixtures[[#This Row],[Technology]], ", ", Table_TRM_Fixtures[[#This Row],[Ballast Code]], " Ballast")</f>
        <v>Metal Halide, Electronic Ballast</v>
      </c>
      <c r="S1466" t="str">
        <f>Table_TRM_Fixtures[[#This Row],[Description  (TRM Data)]]</f>
        <v>Metal Halide, (1) 22W lamp</v>
      </c>
      <c r="T1466" t="str">
        <f>Table_TRM_Fixtures[[#This Row],[Fixture code  (TRM Data)]]</f>
        <v>MH22/1-L</v>
      </c>
      <c r="U1466" t="s">
        <v>2882</v>
      </c>
      <c r="V1466" t="s">
        <v>186</v>
      </c>
      <c r="W1466" t="s">
        <v>3120</v>
      </c>
      <c r="X1466" t="s">
        <v>186</v>
      </c>
      <c r="Y1466" t="str">
        <f>_xlfn.CONCAT(Table_TRM_Fixtures[[#This Row],[Combined Lighting/Ballast Types]],":",Table_TRM_Fixtures[[#This Row],[No. of Lamps]], ":", Table_TRM_Fixtures[[#This Row],[Lamp Watts  (TRM Data)]])</f>
        <v>Metal Halide, Electronic Ballast:1:22</v>
      </c>
      <c r="Z1466"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Metal Halide:1:22</v>
      </c>
      <c r="AA1466">
        <f>IF(Table_TRM_Fixtures[[#This Row],[Pre-EISA Baseline]]="Nominal", Table_TRM_Fixtures[[#This Row],[Fixture Watts  (TRM Data)]], Table_TRM_Fixtures[[#This Row],[Modified Baseline Fixture Watts]])</f>
        <v>26</v>
      </c>
    </row>
    <row r="1467" spans="1:27" x14ac:dyDescent="0.2">
      <c r="A1467" t="s">
        <v>2642</v>
      </c>
      <c r="B1467" t="s">
        <v>5967</v>
      </c>
      <c r="C1467" t="s">
        <v>2641</v>
      </c>
      <c r="D1467" t="s">
        <v>5968</v>
      </c>
      <c r="E1467" t="s">
        <v>2640</v>
      </c>
      <c r="F1467">
        <v>1</v>
      </c>
      <c r="G1467">
        <v>32</v>
      </c>
      <c r="H1467">
        <v>42</v>
      </c>
      <c r="J1467" s="110">
        <v>1465</v>
      </c>
      <c r="K1467" t="s">
        <v>2635</v>
      </c>
      <c r="L1467">
        <f>IF(Table_TRM_Fixtures[[#This Row],[Technology]]="LED", Table_TRM_Fixtures[[#This Row],[Fixture Watts  (TRM Data)]], Table_TRM_Fixtures[[#This Row],[Lamp Watts  (TRM Data)]])</f>
        <v>32</v>
      </c>
      <c r="M1467">
        <f>Table_TRM_Fixtures[[#This Row],[No. of Lamps  (TRM Data)]]</f>
        <v>1</v>
      </c>
      <c r="N1467" t="s">
        <v>186</v>
      </c>
      <c r="O1467" t="s">
        <v>186</v>
      </c>
      <c r="P1467" t="s">
        <v>2640</v>
      </c>
      <c r="Q1467" t="s">
        <v>2640</v>
      </c>
      <c r="R1467" t="str">
        <f>_xlfn.CONCAT(Table_TRM_Fixtures[[#This Row],[Technology]], ", ", Table_TRM_Fixtures[[#This Row],[Ballast Code]], " Ballast")</f>
        <v>Metal Halide, Magnetic Ballast</v>
      </c>
      <c r="S1467" t="str">
        <f>Table_TRM_Fixtures[[#This Row],[Description  (TRM Data)]]</f>
        <v>Metal Halide, (1) 32W lamp, Magnetic ballast</v>
      </c>
      <c r="T1467" t="str">
        <f>Table_TRM_Fixtures[[#This Row],[Fixture code  (TRM Data)]]</f>
        <v>MH32/1</v>
      </c>
      <c r="U1467" t="s">
        <v>2882</v>
      </c>
      <c r="V1467" t="s">
        <v>186</v>
      </c>
      <c r="W1467" t="s">
        <v>3120</v>
      </c>
      <c r="X1467" t="s">
        <v>186</v>
      </c>
      <c r="Y1467" t="str">
        <f>_xlfn.CONCAT(Table_TRM_Fixtures[[#This Row],[Combined Lighting/Ballast Types]],":",Table_TRM_Fixtures[[#This Row],[No. of Lamps]], ":", Table_TRM_Fixtures[[#This Row],[Lamp Watts  (TRM Data)]])</f>
        <v>Metal Halide, Magnetic Ballast:1:32</v>
      </c>
      <c r="Z1467"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Metal Halide:1:32</v>
      </c>
      <c r="AA1467">
        <f>IF(Table_TRM_Fixtures[[#This Row],[Pre-EISA Baseline]]="Nominal", Table_TRM_Fixtures[[#This Row],[Fixture Watts  (TRM Data)]], Table_TRM_Fixtures[[#This Row],[Modified Baseline Fixture Watts]])</f>
        <v>42</v>
      </c>
    </row>
    <row r="1468" spans="1:27" x14ac:dyDescent="0.2">
      <c r="A1468" t="s">
        <v>2644</v>
      </c>
      <c r="B1468" t="s">
        <v>5969</v>
      </c>
      <c r="C1468" t="s">
        <v>2643</v>
      </c>
      <c r="D1468" t="s">
        <v>5970</v>
      </c>
      <c r="E1468" t="s">
        <v>2640</v>
      </c>
      <c r="F1468">
        <v>1</v>
      </c>
      <c r="G1468">
        <v>39</v>
      </c>
      <c r="H1468">
        <v>51</v>
      </c>
      <c r="J1468" s="110">
        <v>1466</v>
      </c>
      <c r="K1468" t="s">
        <v>2635</v>
      </c>
      <c r="L1468">
        <f>IF(Table_TRM_Fixtures[[#This Row],[Technology]]="LED", Table_TRM_Fixtures[[#This Row],[Fixture Watts  (TRM Data)]], Table_TRM_Fixtures[[#This Row],[Lamp Watts  (TRM Data)]])</f>
        <v>39</v>
      </c>
      <c r="M1468">
        <f>Table_TRM_Fixtures[[#This Row],[No. of Lamps  (TRM Data)]]</f>
        <v>1</v>
      </c>
      <c r="N1468" t="s">
        <v>186</v>
      </c>
      <c r="O1468" t="s">
        <v>186</v>
      </c>
      <c r="P1468" t="s">
        <v>2640</v>
      </c>
      <c r="Q1468" t="s">
        <v>2640</v>
      </c>
      <c r="R1468" t="str">
        <f>_xlfn.CONCAT(Table_TRM_Fixtures[[#This Row],[Technology]], ", ", Table_TRM_Fixtures[[#This Row],[Ballast Code]], " Ballast")</f>
        <v>Metal Halide, Magnetic Ballast</v>
      </c>
      <c r="S1468" t="str">
        <f>Table_TRM_Fixtures[[#This Row],[Description  (TRM Data)]]</f>
        <v>Metal Halide, (1) 39W lamp, Magnetic ballast</v>
      </c>
      <c r="T1468" t="str">
        <f>Table_TRM_Fixtures[[#This Row],[Fixture code  (TRM Data)]]</f>
        <v>MH39/1</v>
      </c>
      <c r="U1468" t="s">
        <v>2882</v>
      </c>
      <c r="V1468" t="s">
        <v>186</v>
      </c>
      <c r="W1468" t="s">
        <v>3120</v>
      </c>
      <c r="X1468" t="s">
        <v>186</v>
      </c>
      <c r="Y1468" t="str">
        <f>_xlfn.CONCAT(Table_TRM_Fixtures[[#This Row],[Combined Lighting/Ballast Types]],":",Table_TRM_Fixtures[[#This Row],[No. of Lamps]], ":", Table_TRM_Fixtures[[#This Row],[Lamp Watts  (TRM Data)]])</f>
        <v>Metal Halide, Magnetic Ballast:1:39</v>
      </c>
      <c r="Z1468" t="s">
        <v>4815</v>
      </c>
      <c r="AA1468">
        <f>IF(Table_TRM_Fixtures[[#This Row],[Pre-EISA Baseline]]="Nominal", Table_TRM_Fixtures[[#This Row],[Fixture Watts  (TRM Data)]], Table_TRM_Fixtures[[#This Row],[Modified Baseline Fixture Watts]])</f>
        <v>51</v>
      </c>
    </row>
    <row r="1469" spans="1:27" x14ac:dyDescent="0.2">
      <c r="A1469" t="s">
        <v>2646</v>
      </c>
      <c r="B1469" t="s">
        <v>5969</v>
      </c>
      <c r="C1469" t="s">
        <v>2645</v>
      </c>
      <c r="D1469" t="s">
        <v>5970</v>
      </c>
      <c r="E1469" t="s">
        <v>187</v>
      </c>
      <c r="F1469">
        <v>1</v>
      </c>
      <c r="G1469">
        <v>39</v>
      </c>
      <c r="H1469">
        <v>44</v>
      </c>
      <c r="J1469" s="110">
        <v>1467</v>
      </c>
      <c r="K1469" t="s">
        <v>2635</v>
      </c>
      <c r="L1469">
        <f>IF(Table_TRM_Fixtures[[#This Row],[Technology]]="LED", Table_TRM_Fixtures[[#This Row],[Fixture Watts  (TRM Data)]], Table_TRM_Fixtures[[#This Row],[Lamp Watts  (TRM Data)]])</f>
        <v>39</v>
      </c>
      <c r="M1469">
        <f>Table_TRM_Fixtures[[#This Row],[No. of Lamps  (TRM Data)]]</f>
        <v>1</v>
      </c>
      <c r="N1469" t="s">
        <v>186</v>
      </c>
      <c r="O1469" t="s">
        <v>186</v>
      </c>
      <c r="P1469" t="s">
        <v>187</v>
      </c>
      <c r="Q1469" t="s">
        <v>187</v>
      </c>
      <c r="R1469" t="str">
        <f>_xlfn.CONCAT(Table_TRM_Fixtures[[#This Row],[Technology]], ", ", Table_TRM_Fixtures[[#This Row],[Ballast Code]], " Ballast")</f>
        <v>Metal Halide, Electronic Ballast</v>
      </c>
      <c r="S1469" t="str">
        <f>Table_TRM_Fixtures[[#This Row],[Description  (TRM Data)]]</f>
        <v>Metal Halide, (1) 39W lamp</v>
      </c>
      <c r="T1469" t="str">
        <f>Table_TRM_Fixtures[[#This Row],[Fixture code  (TRM Data)]]</f>
        <v>MH39/1-L</v>
      </c>
      <c r="U1469" t="s">
        <v>2882</v>
      </c>
      <c r="V1469" t="s">
        <v>186</v>
      </c>
      <c r="W1469" t="s">
        <v>3120</v>
      </c>
      <c r="X1469" t="s">
        <v>186</v>
      </c>
      <c r="Y1469" t="str">
        <f>_xlfn.CONCAT(Table_TRM_Fixtures[[#This Row],[Combined Lighting/Ballast Types]],":",Table_TRM_Fixtures[[#This Row],[No. of Lamps]], ":", Table_TRM_Fixtures[[#This Row],[Lamp Watts  (TRM Data)]])</f>
        <v>Metal Halide, Electronic Ballast:1:39</v>
      </c>
      <c r="Z1469"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Metal Halide:1:39</v>
      </c>
      <c r="AA1469">
        <f>IF(Table_TRM_Fixtures[[#This Row],[Pre-EISA Baseline]]="Nominal", Table_TRM_Fixtures[[#This Row],[Fixture Watts  (TRM Data)]], Table_TRM_Fixtures[[#This Row],[Modified Baseline Fixture Watts]])</f>
        <v>44</v>
      </c>
    </row>
    <row r="1470" spans="1:27" x14ac:dyDescent="0.2">
      <c r="A1470" t="s">
        <v>2648</v>
      </c>
      <c r="B1470" t="s">
        <v>5971</v>
      </c>
      <c r="C1470" t="s">
        <v>2647</v>
      </c>
      <c r="D1470" t="s">
        <v>5972</v>
      </c>
      <c r="E1470" t="s">
        <v>2640</v>
      </c>
      <c r="F1470">
        <v>1</v>
      </c>
      <c r="G1470">
        <v>50</v>
      </c>
      <c r="H1470">
        <v>64</v>
      </c>
      <c r="J1470" s="110">
        <v>1468</v>
      </c>
      <c r="K1470" t="s">
        <v>2635</v>
      </c>
      <c r="L1470">
        <f>IF(Table_TRM_Fixtures[[#This Row],[Technology]]="LED", Table_TRM_Fixtures[[#This Row],[Fixture Watts  (TRM Data)]], Table_TRM_Fixtures[[#This Row],[Lamp Watts  (TRM Data)]])</f>
        <v>50</v>
      </c>
      <c r="M1470">
        <f>Table_TRM_Fixtures[[#This Row],[No. of Lamps  (TRM Data)]]</f>
        <v>1</v>
      </c>
      <c r="N1470" t="s">
        <v>186</v>
      </c>
      <c r="O1470" t="s">
        <v>186</v>
      </c>
      <c r="P1470" t="s">
        <v>2640</v>
      </c>
      <c r="Q1470" t="s">
        <v>2640</v>
      </c>
      <c r="R1470" t="str">
        <f>_xlfn.CONCAT(Table_TRM_Fixtures[[#This Row],[Technology]], ", ", Table_TRM_Fixtures[[#This Row],[Ballast Code]], " Ballast")</f>
        <v>Metal Halide, Magnetic Ballast</v>
      </c>
      <c r="S1470" t="str">
        <f>Table_TRM_Fixtures[[#This Row],[Description  (TRM Data)]]</f>
        <v>Metal Halide, (1) 50W lamp, Magnetic ballast</v>
      </c>
      <c r="T1470" t="str">
        <f>Table_TRM_Fixtures[[#This Row],[Fixture code  (TRM Data)]]</f>
        <v>MH50/1</v>
      </c>
      <c r="U1470" t="s">
        <v>2882</v>
      </c>
      <c r="V1470" t="s">
        <v>186</v>
      </c>
      <c r="W1470" t="s">
        <v>3120</v>
      </c>
      <c r="X1470" t="s">
        <v>186</v>
      </c>
      <c r="Y1470" t="str">
        <f>_xlfn.CONCAT(Table_TRM_Fixtures[[#This Row],[Combined Lighting/Ballast Types]],":",Table_TRM_Fixtures[[#This Row],[No. of Lamps]], ":", Table_TRM_Fixtures[[#This Row],[Lamp Watts  (TRM Data)]])</f>
        <v>Metal Halide, Magnetic Ballast:1:50</v>
      </c>
      <c r="Z1470" t="s">
        <v>4815</v>
      </c>
      <c r="AA1470">
        <f>IF(Table_TRM_Fixtures[[#This Row],[Pre-EISA Baseline]]="Nominal", Table_TRM_Fixtures[[#This Row],[Fixture Watts  (TRM Data)]], Table_TRM_Fixtures[[#This Row],[Modified Baseline Fixture Watts]])</f>
        <v>64</v>
      </c>
    </row>
    <row r="1471" spans="1:27" x14ac:dyDescent="0.2">
      <c r="A1471" t="s">
        <v>2650</v>
      </c>
      <c r="B1471" t="s">
        <v>5971</v>
      </c>
      <c r="C1471" t="s">
        <v>2649</v>
      </c>
      <c r="D1471" t="s">
        <v>5972</v>
      </c>
      <c r="E1471" t="s">
        <v>187</v>
      </c>
      <c r="F1471">
        <v>1</v>
      </c>
      <c r="G1471">
        <v>50</v>
      </c>
      <c r="H1471">
        <v>56</v>
      </c>
      <c r="J1471" s="110">
        <v>1469</v>
      </c>
      <c r="K1471" t="s">
        <v>2635</v>
      </c>
      <c r="L1471">
        <f>IF(Table_TRM_Fixtures[[#This Row],[Technology]]="LED", Table_TRM_Fixtures[[#This Row],[Fixture Watts  (TRM Data)]], Table_TRM_Fixtures[[#This Row],[Lamp Watts  (TRM Data)]])</f>
        <v>50</v>
      </c>
      <c r="M1471">
        <f>Table_TRM_Fixtures[[#This Row],[No. of Lamps  (TRM Data)]]</f>
        <v>1</v>
      </c>
      <c r="N1471" t="s">
        <v>186</v>
      </c>
      <c r="O1471" t="s">
        <v>186</v>
      </c>
      <c r="P1471" t="s">
        <v>187</v>
      </c>
      <c r="Q1471" t="s">
        <v>187</v>
      </c>
      <c r="R1471" t="str">
        <f>_xlfn.CONCAT(Table_TRM_Fixtures[[#This Row],[Technology]], ", ", Table_TRM_Fixtures[[#This Row],[Ballast Code]], " Ballast")</f>
        <v>Metal Halide, Electronic Ballast</v>
      </c>
      <c r="S1471" t="str">
        <f>Table_TRM_Fixtures[[#This Row],[Description  (TRM Data)]]</f>
        <v>Metal Halide, (1) 50W lamp</v>
      </c>
      <c r="T1471" t="str">
        <f>Table_TRM_Fixtures[[#This Row],[Fixture code  (TRM Data)]]</f>
        <v>MH50/1-L</v>
      </c>
      <c r="U1471" t="s">
        <v>2882</v>
      </c>
      <c r="V1471" t="s">
        <v>186</v>
      </c>
      <c r="W1471" t="s">
        <v>3120</v>
      </c>
      <c r="X1471" t="s">
        <v>186</v>
      </c>
      <c r="Y1471" t="str">
        <f>_xlfn.CONCAT(Table_TRM_Fixtures[[#This Row],[Combined Lighting/Ballast Types]],":",Table_TRM_Fixtures[[#This Row],[No. of Lamps]], ":", Table_TRM_Fixtures[[#This Row],[Lamp Watts  (TRM Data)]])</f>
        <v>Metal Halide, Electronic Ballast:1:50</v>
      </c>
      <c r="Z1471"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Metal Halide:1:50</v>
      </c>
      <c r="AA1471">
        <f>IF(Table_TRM_Fixtures[[#This Row],[Pre-EISA Baseline]]="Nominal", Table_TRM_Fixtures[[#This Row],[Fixture Watts  (TRM Data)]], Table_TRM_Fixtures[[#This Row],[Modified Baseline Fixture Watts]])</f>
        <v>56</v>
      </c>
    </row>
    <row r="1472" spans="1:27" x14ac:dyDescent="0.2">
      <c r="A1472" t="s">
        <v>2652</v>
      </c>
      <c r="B1472" t="s">
        <v>5973</v>
      </c>
      <c r="C1472" t="s">
        <v>2651</v>
      </c>
      <c r="D1472" t="s">
        <v>5974</v>
      </c>
      <c r="E1472" t="s">
        <v>2640</v>
      </c>
      <c r="F1472">
        <v>1</v>
      </c>
      <c r="G1472">
        <v>70</v>
      </c>
      <c r="H1472">
        <v>91</v>
      </c>
      <c r="J1472" s="110">
        <v>1470</v>
      </c>
      <c r="K1472" t="s">
        <v>2635</v>
      </c>
      <c r="L1472">
        <f>IF(Table_TRM_Fixtures[[#This Row],[Technology]]="LED", Table_TRM_Fixtures[[#This Row],[Fixture Watts  (TRM Data)]], Table_TRM_Fixtures[[#This Row],[Lamp Watts  (TRM Data)]])</f>
        <v>70</v>
      </c>
      <c r="M1472">
        <f>Table_TRM_Fixtures[[#This Row],[No. of Lamps  (TRM Data)]]</f>
        <v>1</v>
      </c>
      <c r="N1472" t="s">
        <v>186</v>
      </c>
      <c r="O1472" t="s">
        <v>186</v>
      </c>
      <c r="P1472" t="s">
        <v>2640</v>
      </c>
      <c r="Q1472" t="s">
        <v>2640</v>
      </c>
      <c r="R1472" t="str">
        <f>_xlfn.CONCAT(Table_TRM_Fixtures[[#This Row],[Technology]], ", ", Table_TRM_Fixtures[[#This Row],[Ballast Code]], " Ballast")</f>
        <v>Metal Halide, Magnetic Ballast</v>
      </c>
      <c r="S1472" t="str">
        <f>Table_TRM_Fixtures[[#This Row],[Description  (TRM Data)]]</f>
        <v>Metal Halide, (1) 70W lamp, Magnetic ballast</v>
      </c>
      <c r="T1472" t="str">
        <f>Table_TRM_Fixtures[[#This Row],[Fixture code  (TRM Data)]]</f>
        <v>MH70/1</v>
      </c>
      <c r="U1472" t="s">
        <v>2882</v>
      </c>
      <c r="V1472" t="s">
        <v>186</v>
      </c>
      <c r="W1472" t="s">
        <v>3120</v>
      </c>
      <c r="X1472" t="s">
        <v>186</v>
      </c>
      <c r="Y1472" t="str">
        <f>_xlfn.CONCAT(Table_TRM_Fixtures[[#This Row],[Combined Lighting/Ballast Types]],":",Table_TRM_Fixtures[[#This Row],[No. of Lamps]], ":", Table_TRM_Fixtures[[#This Row],[Lamp Watts  (TRM Data)]])</f>
        <v>Metal Halide, Magnetic Ballast:1:70</v>
      </c>
      <c r="Z1472" t="s">
        <v>4815</v>
      </c>
      <c r="AA1472">
        <f>IF(Table_TRM_Fixtures[[#This Row],[Pre-EISA Baseline]]="Nominal", Table_TRM_Fixtures[[#This Row],[Fixture Watts  (TRM Data)]], Table_TRM_Fixtures[[#This Row],[Modified Baseline Fixture Watts]])</f>
        <v>91</v>
      </c>
    </row>
    <row r="1473" spans="1:27" x14ac:dyDescent="0.2">
      <c r="A1473" t="s">
        <v>2654</v>
      </c>
      <c r="B1473" t="s">
        <v>5973</v>
      </c>
      <c r="C1473" t="s">
        <v>2653</v>
      </c>
      <c r="D1473" t="s">
        <v>5974</v>
      </c>
      <c r="E1473" t="s">
        <v>187</v>
      </c>
      <c r="F1473">
        <v>1</v>
      </c>
      <c r="G1473">
        <v>70</v>
      </c>
      <c r="H1473">
        <v>78</v>
      </c>
      <c r="J1473" s="110">
        <v>1471</v>
      </c>
      <c r="K1473" t="s">
        <v>2635</v>
      </c>
      <c r="L1473">
        <f>IF(Table_TRM_Fixtures[[#This Row],[Technology]]="LED", Table_TRM_Fixtures[[#This Row],[Fixture Watts  (TRM Data)]], Table_TRM_Fixtures[[#This Row],[Lamp Watts  (TRM Data)]])</f>
        <v>70</v>
      </c>
      <c r="M1473">
        <f>Table_TRM_Fixtures[[#This Row],[No. of Lamps  (TRM Data)]]</f>
        <v>1</v>
      </c>
      <c r="N1473" t="s">
        <v>186</v>
      </c>
      <c r="O1473" t="s">
        <v>186</v>
      </c>
      <c r="P1473" t="s">
        <v>187</v>
      </c>
      <c r="Q1473" t="s">
        <v>187</v>
      </c>
      <c r="R1473" t="str">
        <f>_xlfn.CONCAT(Table_TRM_Fixtures[[#This Row],[Technology]], ", ", Table_TRM_Fixtures[[#This Row],[Ballast Code]], " Ballast")</f>
        <v>Metal Halide, Electronic Ballast</v>
      </c>
      <c r="S1473" t="str">
        <f>Table_TRM_Fixtures[[#This Row],[Description  (TRM Data)]]</f>
        <v>Metal Halide, (1) 70W lamp</v>
      </c>
      <c r="T1473" t="str">
        <f>Table_TRM_Fixtures[[#This Row],[Fixture code  (TRM Data)]]</f>
        <v>MH70/1-L</v>
      </c>
      <c r="U1473" t="s">
        <v>2882</v>
      </c>
      <c r="V1473" t="s">
        <v>186</v>
      </c>
      <c r="W1473" t="s">
        <v>3120</v>
      </c>
      <c r="X1473" t="s">
        <v>186</v>
      </c>
      <c r="Y1473" t="str">
        <f>_xlfn.CONCAT(Table_TRM_Fixtures[[#This Row],[Combined Lighting/Ballast Types]],":",Table_TRM_Fixtures[[#This Row],[No. of Lamps]], ":", Table_TRM_Fixtures[[#This Row],[Lamp Watts  (TRM Data)]])</f>
        <v>Metal Halide, Electronic Ballast:1:70</v>
      </c>
      <c r="Z1473"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Metal Halide:1:70</v>
      </c>
      <c r="AA1473">
        <f>IF(Table_TRM_Fixtures[[#This Row],[Pre-EISA Baseline]]="Nominal", Table_TRM_Fixtures[[#This Row],[Fixture Watts  (TRM Data)]], Table_TRM_Fixtures[[#This Row],[Modified Baseline Fixture Watts]])</f>
        <v>78</v>
      </c>
    </row>
    <row r="1474" spans="1:27" x14ac:dyDescent="0.2">
      <c r="A1474" t="s">
        <v>2656</v>
      </c>
      <c r="B1474" t="s">
        <v>5975</v>
      </c>
      <c r="C1474" t="s">
        <v>2655</v>
      </c>
      <c r="D1474" t="s">
        <v>5976</v>
      </c>
      <c r="E1474" t="s">
        <v>2640</v>
      </c>
      <c r="F1474">
        <v>1</v>
      </c>
      <c r="G1474">
        <v>100</v>
      </c>
      <c r="H1474">
        <v>124</v>
      </c>
      <c r="J1474" s="110">
        <v>1472</v>
      </c>
      <c r="K1474" t="s">
        <v>2635</v>
      </c>
      <c r="L1474">
        <f>IF(Table_TRM_Fixtures[[#This Row],[Technology]]="LED", Table_TRM_Fixtures[[#This Row],[Fixture Watts  (TRM Data)]], Table_TRM_Fixtures[[#This Row],[Lamp Watts  (TRM Data)]])</f>
        <v>100</v>
      </c>
      <c r="M1474">
        <f>Table_TRM_Fixtures[[#This Row],[No. of Lamps  (TRM Data)]]</f>
        <v>1</v>
      </c>
      <c r="N1474" t="s">
        <v>186</v>
      </c>
      <c r="O1474" t="s">
        <v>186</v>
      </c>
      <c r="P1474" t="s">
        <v>2640</v>
      </c>
      <c r="Q1474" t="s">
        <v>2640</v>
      </c>
      <c r="R1474" t="str">
        <f>_xlfn.CONCAT(Table_TRM_Fixtures[[#This Row],[Technology]], ", ", Table_TRM_Fixtures[[#This Row],[Ballast Code]], " Ballast")</f>
        <v>Metal Halide, Magnetic Ballast</v>
      </c>
      <c r="S1474" t="str">
        <f>Table_TRM_Fixtures[[#This Row],[Description  (TRM Data)]]</f>
        <v>Metal Halide, (1) 100W lamp, Magnetic ballast</v>
      </c>
      <c r="T1474" t="str">
        <f>Table_TRM_Fixtures[[#This Row],[Fixture code  (TRM Data)]]</f>
        <v>MH100/1</v>
      </c>
      <c r="U1474" t="s">
        <v>2882</v>
      </c>
      <c r="V1474" t="s">
        <v>186</v>
      </c>
      <c r="W1474" t="s">
        <v>3120</v>
      </c>
      <c r="X1474" t="s">
        <v>186</v>
      </c>
      <c r="Y1474" t="str">
        <f>_xlfn.CONCAT(Table_TRM_Fixtures[[#This Row],[Combined Lighting/Ballast Types]],":",Table_TRM_Fixtures[[#This Row],[No. of Lamps]], ":", Table_TRM_Fixtures[[#This Row],[Lamp Watts  (TRM Data)]])</f>
        <v>Metal Halide, Magnetic Ballast:1:100</v>
      </c>
      <c r="Z1474" t="s">
        <v>4815</v>
      </c>
      <c r="AA1474">
        <f>IF(Table_TRM_Fixtures[[#This Row],[Pre-EISA Baseline]]="Nominal", Table_TRM_Fixtures[[#This Row],[Fixture Watts  (TRM Data)]], Table_TRM_Fixtures[[#This Row],[Modified Baseline Fixture Watts]])</f>
        <v>124</v>
      </c>
    </row>
    <row r="1475" spans="1:27" x14ac:dyDescent="0.2">
      <c r="A1475" t="s">
        <v>2658</v>
      </c>
      <c r="B1475" t="s">
        <v>5975</v>
      </c>
      <c r="C1475" t="s">
        <v>2657</v>
      </c>
      <c r="D1475" t="s">
        <v>5976</v>
      </c>
      <c r="E1475" t="s">
        <v>187</v>
      </c>
      <c r="F1475">
        <v>1</v>
      </c>
      <c r="G1475">
        <v>100</v>
      </c>
      <c r="H1475">
        <v>108</v>
      </c>
      <c r="J1475" s="110">
        <v>1473</v>
      </c>
      <c r="K1475" t="s">
        <v>2635</v>
      </c>
      <c r="L1475">
        <f>IF(Table_TRM_Fixtures[[#This Row],[Technology]]="LED", Table_TRM_Fixtures[[#This Row],[Fixture Watts  (TRM Data)]], Table_TRM_Fixtures[[#This Row],[Lamp Watts  (TRM Data)]])</f>
        <v>100</v>
      </c>
      <c r="M1475">
        <f>Table_TRM_Fixtures[[#This Row],[No. of Lamps  (TRM Data)]]</f>
        <v>1</v>
      </c>
      <c r="N1475" t="s">
        <v>186</v>
      </c>
      <c r="O1475" t="s">
        <v>186</v>
      </c>
      <c r="P1475" t="s">
        <v>187</v>
      </c>
      <c r="Q1475" t="s">
        <v>187</v>
      </c>
      <c r="R1475" t="str">
        <f>_xlfn.CONCAT(Table_TRM_Fixtures[[#This Row],[Technology]], ", ", Table_TRM_Fixtures[[#This Row],[Ballast Code]], " Ballast")</f>
        <v>Metal Halide, Electronic Ballast</v>
      </c>
      <c r="S1475" t="str">
        <f>Table_TRM_Fixtures[[#This Row],[Description  (TRM Data)]]</f>
        <v>Metal Halide, (1) 100W lamp</v>
      </c>
      <c r="T1475" t="str">
        <f>Table_TRM_Fixtures[[#This Row],[Fixture code  (TRM Data)]]</f>
        <v>MH100/1-L</v>
      </c>
      <c r="U1475" t="s">
        <v>2882</v>
      </c>
      <c r="V1475" t="s">
        <v>186</v>
      </c>
      <c r="W1475" t="s">
        <v>3120</v>
      </c>
      <c r="X1475" t="s">
        <v>186</v>
      </c>
      <c r="Y1475" t="str">
        <f>_xlfn.CONCAT(Table_TRM_Fixtures[[#This Row],[Combined Lighting/Ballast Types]],":",Table_TRM_Fixtures[[#This Row],[No. of Lamps]], ":", Table_TRM_Fixtures[[#This Row],[Lamp Watts  (TRM Data)]])</f>
        <v>Metal Halide, Electronic Ballast:1:100</v>
      </c>
      <c r="Z1475"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Metal Halide:1:100</v>
      </c>
      <c r="AA1475">
        <f>IF(Table_TRM_Fixtures[[#This Row],[Pre-EISA Baseline]]="Nominal", Table_TRM_Fixtures[[#This Row],[Fixture Watts  (TRM Data)]], Table_TRM_Fixtures[[#This Row],[Modified Baseline Fixture Watts]])</f>
        <v>108</v>
      </c>
    </row>
    <row r="1476" spans="1:27" x14ac:dyDescent="0.2">
      <c r="A1476" t="s">
        <v>2660</v>
      </c>
      <c r="B1476" t="s">
        <v>5977</v>
      </c>
      <c r="C1476" t="s">
        <v>2659</v>
      </c>
      <c r="D1476" t="s">
        <v>5978</v>
      </c>
      <c r="E1476" t="s">
        <v>2640</v>
      </c>
      <c r="F1476">
        <v>1</v>
      </c>
      <c r="G1476">
        <v>125</v>
      </c>
      <c r="H1476">
        <v>148</v>
      </c>
      <c r="J1476" s="110">
        <v>1474</v>
      </c>
      <c r="K1476" t="s">
        <v>2635</v>
      </c>
      <c r="L1476">
        <f>IF(Table_TRM_Fixtures[[#This Row],[Technology]]="LED", Table_TRM_Fixtures[[#This Row],[Fixture Watts  (TRM Data)]], Table_TRM_Fixtures[[#This Row],[Lamp Watts  (TRM Data)]])</f>
        <v>125</v>
      </c>
      <c r="M1476">
        <f>Table_TRM_Fixtures[[#This Row],[No. of Lamps  (TRM Data)]]</f>
        <v>1</v>
      </c>
      <c r="N1476" t="s">
        <v>186</v>
      </c>
      <c r="O1476" t="s">
        <v>186</v>
      </c>
      <c r="P1476" t="s">
        <v>2640</v>
      </c>
      <c r="Q1476" t="s">
        <v>2640</v>
      </c>
      <c r="R1476" t="str">
        <f>_xlfn.CONCAT(Table_TRM_Fixtures[[#This Row],[Technology]], ", ", Table_TRM_Fixtures[[#This Row],[Ballast Code]], " Ballast")</f>
        <v>Metal Halide, Magnetic Ballast</v>
      </c>
      <c r="S1476" t="str">
        <f>Table_TRM_Fixtures[[#This Row],[Description  (TRM Data)]]</f>
        <v>Metal Halide, (1) 125W lamp, Magnetic ballast</v>
      </c>
      <c r="T1476" t="str">
        <f>Table_TRM_Fixtures[[#This Row],[Fixture code  (TRM Data)]]</f>
        <v>MH125/1</v>
      </c>
      <c r="U1476" t="s">
        <v>2882</v>
      </c>
      <c r="V1476" t="s">
        <v>186</v>
      </c>
      <c r="W1476" t="s">
        <v>3120</v>
      </c>
      <c r="X1476" t="s">
        <v>186</v>
      </c>
      <c r="Y1476" t="str">
        <f>_xlfn.CONCAT(Table_TRM_Fixtures[[#This Row],[Combined Lighting/Ballast Types]],":",Table_TRM_Fixtures[[#This Row],[No. of Lamps]], ":", Table_TRM_Fixtures[[#This Row],[Lamp Watts  (TRM Data)]])</f>
        <v>Metal Halide, Magnetic Ballast:1:125</v>
      </c>
      <c r="Z1476"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Metal Halide:1:125</v>
      </c>
      <c r="AA1476">
        <f>IF(Table_TRM_Fixtures[[#This Row],[Pre-EISA Baseline]]="Nominal", Table_TRM_Fixtures[[#This Row],[Fixture Watts  (TRM Data)]], Table_TRM_Fixtures[[#This Row],[Modified Baseline Fixture Watts]])</f>
        <v>148</v>
      </c>
    </row>
    <row r="1477" spans="1:27" x14ac:dyDescent="0.2">
      <c r="A1477" t="s">
        <v>2662</v>
      </c>
      <c r="B1477" t="s">
        <v>5979</v>
      </c>
      <c r="C1477" t="s">
        <v>2661</v>
      </c>
      <c r="D1477" t="s">
        <v>5980</v>
      </c>
      <c r="E1477" t="s">
        <v>2640</v>
      </c>
      <c r="F1477">
        <v>1</v>
      </c>
      <c r="G1477">
        <v>150</v>
      </c>
      <c r="H1477">
        <v>183</v>
      </c>
      <c r="J1477" s="110">
        <v>1475</v>
      </c>
      <c r="K1477" t="s">
        <v>2635</v>
      </c>
      <c r="L1477">
        <f>IF(Table_TRM_Fixtures[[#This Row],[Technology]]="LED", Table_TRM_Fixtures[[#This Row],[Fixture Watts  (TRM Data)]], Table_TRM_Fixtures[[#This Row],[Lamp Watts  (TRM Data)]])</f>
        <v>150</v>
      </c>
      <c r="M1477">
        <f>Table_TRM_Fixtures[[#This Row],[No. of Lamps  (TRM Data)]]</f>
        <v>1</v>
      </c>
      <c r="N1477" t="s">
        <v>186</v>
      </c>
      <c r="O1477" t="s">
        <v>186</v>
      </c>
      <c r="P1477" t="s">
        <v>2640</v>
      </c>
      <c r="Q1477" t="s">
        <v>2640</v>
      </c>
      <c r="R1477" t="str">
        <f>_xlfn.CONCAT(Table_TRM_Fixtures[[#This Row],[Technology]], ", ", Table_TRM_Fixtures[[#This Row],[Ballast Code]], " Ballast")</f>
        <v>Metal Halide, Magnetic Ballast</v>
      </c>
      <c r="S1477" t="str">
        <f>Table_TRM_Fixtures[[#This Row],[Description  (TRM Data)]]</f>
        <v>Metal Halide, (1) 150W lamp, Magnetic ballast</v>
      </c>
      <c r="T1477" t="str">
        <f>Table_TRM_Fixtures[[#This Row],[Fixture code  (TRM Data)]]</f>
        <v>MH150/1</v>
      </c>
      <c r="U1477" t="s">
        <v>2882</v>
      </c>
      <c r="V1477" t="s">
        <v>186</v>
      </c>
      <c r="W1477" t="s">
        <v>3120</v>
      </c>
      <c r="X1477" t="s">
        <v>186</v>
      </c>
      <c r="Y1477" t="str">
        <f>_xlfn.CONCAT(Table_TRM_Fixtures[[#This Row],[Combined Lighting/Ballast Types]],":",Table_TRM_Fixtures[[#This Row],[No. of Lamps]], ":", Table_TRM_Fixtures[[#This Row],[Lamp Watts  (TRM Data)]])</f>
        <v>Metal Halide, Magnetic Ballast:1:150</v>
      </c>
      <c r="Z1477" t="s">
        <v>4815</v>
      </c>
      <c r="AA1477">
        <f>IF(Table_TRM_Fixtures[[#This Row],[Pre-EISA Baseline]]="Nominal", Table_TRM_Fixtures[[#This Row],[Fixture Watts  (TRM Data)]], Table_TRM_Fixtures[[#This Row],[Modified Baseline Fixture Watts]])</f>
        <v>183</v>
      </c>
    </row>
    <row r="1478" spans="1:27" x14ac:dyDescent="0.2">
      <c r="A1478" t="s">
        <v>2664</v>
      </c>
      <c r="B1478" t="s">
        <v>5979</v>
      </c>
      <c r="C1478" t="s">
        <v>2663</v>
      </c>
      <c r="D1478" t="s">
        <v>5980</v>
      </c>
      <c r="E1478" t="s">
        <v>187</v>
      </c>
      <c r="F1478">
        <v>1</v>
      </c>
      <c r="G1478">
        <v>150</v>
      </c>
      <c r="H1478">
        <v>163</v>
      </c>
      <c r="J1478" s="110">
        <v>1476</v>
      </c>
      <c r="K1478" t="s">
        <v>2635</v>
      </c>
      <c r="L1478">
        <f>IF(Table_TRM_Fixtures[[#This Row],[Technology]]="LED", Table_TRM_Fixtures[[#This Row],[Fixture Watts  (TRM Data)]], Table_TRM_Fixtures[[#This Row],[Lamp Watts  (TRM Data)]])</f>
        <v>150</v>
      </c>
      <c r="M1478">
        <f>Table_TRM_Fixtures[[#This Row],[No. of Lamps  (TRM Data)]]</f>
        <v>1</v>
      </c>
      <c r="N1478" t="s">
        <v>186</v>
      </c>
      <c r="O1478" t="s">
        <v>186</v>
      </c>
      <c r="P1478" t="s">
        <v>187</v>
      </c>
      <c r="Q1478" t="s">
        <v>187</v>
      </c>
      <c r="R1478" t="str">
        <f>_xlfn.CONCAT(Table_TRM_Fixtures[[#This Row],[Technology]], ", ", Table_TRM_Fixtures[[#This Row],[Ballast Code]], " Ballast")</f>
        <v>Metal Halide, Electronic Ballast</v>
      </c>
      <c r="S1478" t="str">
        <f>Table_TRM_Fixtures[[#This Row],[Description  (TRM Data)]]</f>
        <v>Metal Halide, (1) 150W lamp</v>
      </c>
      <c r="T1478" t="str">
        <f>Table_TRM_Fixtures[[#This Row],[Fixture code  (TRM Data)]]</f>
        <v>MH150/1-L</v>
      </c>
      <c r="U1478" t="s">
        <v>2882</v>
      </c>
      <c r="V1478" t="s">
        <v>186</v>
      </c>
      <c r="W1478" t="s">
        <v>3120</v>
      </c>
      <c r="X1478" t="s">
        <v>186</v>
      </c>
      <c r="Y1478" t="str">
        <f>_xlfn.CONCAT(Table_TRM_Fixtures[[#This Row],[Combined Lighting/Ballast Types]],":",Table_TRM_Fixtures[[#This Row],[No. of Lamps]], ":", Table_TRM_Fixtures[[#This Row],[Lamp Watts  (TRM Data)]])</f>
        <v>Metal Halide, Electronic Ballast:1:150</v>
      </c>
      <c r="Z1478"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Metal Halide:1:150</v>
      </c>
      <c r="AA1478">
        <f>IF(Table_TRM_Fixtures[[#This Row],[Pre-EISA Baseline]]="Nominal", Table_TRM_Fixtures[[#This Row],[Fixture Watts  (TRM Data)]], Table_TRM_Fixtures[[#This Row],[Modified Baseline Fixture Watts]])</f>
        <v>163</v>
      </c>
    </row>
    <row r="1479" spans="1:27" x14ac:dyDescent="0.2">
      <c r="A1479" t="s">
        <v>2666</v>
      </c>
      <c r="B1479" t="s">
        <v>5981</v>
      </c>
      <c r="C1479" t="s">
        <v>2665</v>
      </c>
      <c r="D1479" t="s">
        <v>5982</v>
      </c>
      <c r="E1479" t="s">
        <v>2640</v>
      </c>
      <c r="F1479">
        <v>1</v>
      </c>
      <c r="G1479">
        <v>175</v>
      </c>
      <c r="H1479">
        <v>208</v>
      </c>
      <c r="J1479" s="110">
        <v>1477</v>
      </c>
      <c r="K1479" t="s">
        <v>2635</v>
      </c>
      <c r="L1479">
        <f>IF(Table_TRM_Fixtures[[#This Row],[Technology]]="LED", Table_TRM_Fixtures[[#This Row],[Fixture Watts  (TRM Data)]], Table_TRM_Fixtures[[#This Row],[Lamp Watts  (TRM Data)]])</f>
        <v>175</v>
      </c>
      <c r="M1479">
        <f>Table_TRM_Fixtures[[#This Row],[No. of Lamps  (TRM Data)]]</f>
        <v>1</v>
      </c>
      <c r="N1479" t="s">
        <v>186</v>
      </c>
      <c r="O1479" t="s">
        <v>186</v>
      </c>
      <c r="P1479" t="s">
        <v>2640</v>
      </c>
      <c r="Q1479" t="s">
        <v>2640</v>
      </c>
      <c r="R1479" t="str">
        <f>_xlfn.CONCAT(Table_TRM_Fixtures[[#This Row],[Technology]], ", ", Table_TRM_Fixtures[[#This Row],[Ballast Code]], " Ballast")</f>
        <v>Metal Halide, Magnetic Ballast</v>
      </c>
      <c r="S1479" t="str">
        <f>Table_TRM_Fixtures[[#This Row],[Description  (TRM Data)]]</f>
        <v>Metal Halide, (1) 175W lamp, Magnetic ballast</v>
      </c>
      <c r="T1479" t="str">
        <f>Table_TRM_Fixtures[[#This Row],[Fixture code  (TRM Data)]]</f>
        <v>MH175/1</v>
      </c>
      <c r="U1479" t="s">
        <v>2882</v>
      </c>
      <c r="V1479" t="s">
        <v>186</v>
      </c>
      <c r="W1479" t="s">
        <v>3120</v>
      </c>
      <c r="X1479" t="s">
        <v>186</v>
      </c>
      <c r="Y1479" t="str">
        <f>_xlfn.CONCAT(Table_TRM_Fixtures[[#This Row],[Combined Lighting/Ballast Types]],":",Table_TRM_Fixtures[[#This Row],[No. of Lamps]], ":", Table_TRM_Fixtures[[#This Row],[Lamp Watts  (TRM Data)]])</f>
        <v>Metal Halide, Magnetic Ballast:1:175</v>
      </c>
      <c r="Z1479" t="s">
        <v>4815</v>
      </c>
      <c r="AA1479">
        <f>IF(Table_TRM_Fixtures[[#This Row],[Pre-EISA Baseline]]="Nominal", Table_TRM_Fixtures[[#This Row],[Fixture Watts  (TRM Data)]], Table_TRM_Fixtures[[#This Row],[Modified Baseline Fixture Watts]])</f>
        <v>208</v>
      </c>
    </row>
    <row r="1480" spans="1:27" x14ac:dyDescent="0.2">
      <c r="A1480" t="s">
        <v>2668</v>
      </c>
      <c r="B1480" t="s">
        <v>5981</v>
      </c>
      <c r="C1480" t="s">
        <v>2667</v>
      </c>
      <c r="D1480" t="s">
        <v>5982</v>
      </c>
      <c r="E1480" t="s">
        <v>187</v>
      </c>
      <c r="F1480">
        <v>1</v>
      </c>
      <c r="G1480">
        <v>175</v>
      </c>
      <c r="H1480">
        <v>196</v>
      </c>
      <c r="J1480" s="110">
        <v>1478</v>
      </c>
      <c r="K1480" t="s">
        <v>2635</v>
      </c>
      <c r="L1480">
        <f>IF(Table_TRM_Fixtures[[#This Row],[Technology]]="LED", Table_TRM_Fixtures[[#This Row],[Fixture Watts  (TRM Data)]], Table_TRM_Fixtures[[#This Row],[Lamp Watts  (TRM Data)]])</f>
        <v>175</v>
      </c>
      <c r="M1480">
        <f>Table_TRM_Fixtures[[#This Row],[No. of Lamps  (TRM Data)]]</f>
        <v>1</v>
      </c>
      <c r="N1480" t="s">
        <v>186</v>
      </c>
      <c r="O1480" t="s">
        <v>186</v>
      </c>
      <c r="P1480" t="s">
        <v>187</v>
      </c>
      <c r="Q1480" t="s">
        <v>187</v>
      </c>
      <c r="R1480" t="str">
        <f>_xlfn.CONCAT(Table_TRM_Fixtures[[#This Row],[Technology]], ", ", Table_TRM_Fixtures[[#This Row],[Ballast Code]], " Ballast")</f>
        <v>Metal Halide, Electronic Ballast</v>
      </c>
      <c r="S1480" t="str">
        <f>Table_TRM_Fixtures[[#This Row],[Description  (TRM Data)]]</f>
        <v>Metal Halide, (1) 175W lamp</v>
      </c>
      <c r="T1480" t="str">
        <f>Table_TRM_Fixtures[[#This Row],[Fixture code  (TRM Data)]]</f>
        <v>MH175/1-L</v>
      </c>
      <c r="U1480" t="s">
        <v>2882</v>
      </c>
      <c r="V1480" t="s">
        <v>186</v>
      </c>
      <c r="W1480" t="s">
        <v>3120</v>
      </c>
      <c r="X1480" t="s">
        <v>186</v>
      </c>
      <c r="Y1480" t="str">
        <f>_xlfn.CONCAT(Table_TRM_Fixtures[[#This Row],[Combined Lighting/Ballast Types]],":",Table_TRM_Fixtures[[#This Row],[No. of Lamps]], ":", Table_TRM_Fixtures[[#This Row],[Lamp Watts  (TRM Data)]])</f>
        <v>Metal Halide, Electronic Ballast:1:175</v>
      </c>
      <c r="Z1480"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Metal Halide:1:175</v>
      </c>
      <c r="AA1480">
        <f>IF(Table_TRM_Fixtures[[#This Row],[Pre-EISA Baseline]]="Nominal", Table_TRM_Fixtures[[#This Row],[Fixture Watts  (TRM Data)]], Table_TRM_Fixtures[[#This Row],[Modified Baseline Fixture Watts]])</f>
        <v>196</v>
      </c>
    </row>
    <row r="1481" spans="1:27" x14ac:dyDescent="0.2">
      <c r="A1481" t="s">
        <v>2670</v>
      </c>
      <c r="B1481" t="s">
        <v>5983</v>
      </c>
      <c r="C1481" t="s">
        <v>2669</v>
      </c>
      <c r="D1481" t="s">
        <v>5984</v>
      </c>
      <c r="E1481" t="s">
        <v>2640</v>
      </c>
      <c r="F1481">
        <v>1</v>
      </c>
      <c r="G1481">
        <v>200</v>
      </c>
      <c r="H1481">
        <v>228</v>
      </c>
      <c r="J1481" s="110">
        <v>1479</v>
      </c>
      <c r="K1481" t="s">
        <v>2635</v>
      </c>
      <c r="L1481">
        <f>IF(Table_TRM_Fixtures[[#This Row],[Technology]]="LED", Table_TRM_Fixtures[[#This Row],[Fixture Watts  (TRM Data)]], Table_TRM_Fixtures[[#This Row],[Lamp Watts  (TRM Data)]])</f>
        <v>200</v>
      </c>
      <c r="M1481">
        <f>Table_TRM_Fixtures[[#This Row],[No. of Lamps  (TRM Data)]]</f>
        <v>1</v>
      </c>
      <c r="N1481" t="s">
        <v>186</v>
      </c>
      <c r="O1481" t="s">
        <v>186</v>
      </c>
      <c r="P1481" t="s">
        <v>2640</v>
      </c>
      <c r="Q1481" t="s">
        <v>2640</v>
      </c>
      <c r="R1481" t="str">
        <f>_xlfn.CONCAT(Table_TRM_Fixtures[[#This Row],[Technology]], ", ", Table_TRM_Fixtures[[#This Row],[Ballast Code]], " Ballast")</f>
        <v>Metal Halide, Magnetic Ballast</v>
      </c>
      <c r="S1481" t="str">
        <f>Table_TRM_Fixtures[[#This Row],[Description  (TRM Data)]]</f>
        <v>Metal Halide, (1) 200W lamp, Magnetic ballast</v>
      </c>
      <c r="T1481" t="str">
        <f>Table_TRM_Fixtures[[#This Row],[Fixture code  (TRM Data)]]</f>
        <v>MH200/1</v>
      </c>
      <c r="U1481" t="s">
        <v>2882</v>
      </c>
      <c r="V1481" t="s">
        <v>186</v>
      </c>
      <c r="W1481" t="s">
        <v>3120</v>
      </c>
      <c r="X1481" t="s">
        <v>186</v>
      </c>
      <c r="Y1481" t="str">
        <f>_xlfn.CONCAT(Table_TRM_Fixtures[[#This Row],[Combined Lighting/Ballast Types]],":",Table_TRM_Fixtures[[#This Row],[No. of Lamps]], ":", Table_TRM_Fixtures[[#This Row],[Lamp Watts  (TRM Data)]])</f>
        <v>Metal Halide, Magnetic Ballast:1:200</v>
      </c>
      <c r="Z1481" t="s">
        <v>4815</v>
      </c>
      <c r="AA1481">
        <f>IF(Table_TRM_Fixtures[[#This Row],[Pre-EISA Baseline]]="Nominal", Table_TRM_Fixtures[[#This Row],[Fixture Watts  (TRM Data)]], Table_TRM_Fixtures[[#This Row],[Modified Baseline Fixture Watts]])</f>
        <v>228</v>
      </c>
    </row>
    <row r="1482" spans="1:27" x14ac:dyDescent="0.2">
      <c r="A1482" t="s">
        <v>2672</v>
      </c>
      <c r="B1482" t="s">
        <v>5983</v>
      </c>
      <c r="C1482" t="s">
        <v>2671</v>
      </c>
      <c r="D1482" t="s">
        <v>5984</v>
      </c>
      <c r="E1482" t="s">
        <v>187</v>
      </c>
      <c r="F1482">
        <v>1</v>
      </c>
      <c r="G1482">
        <v>200</v>
      </c>
      <c r="H1482">
        <v>219</v>
      </c>
      <c r="J1482" s="110">
        <v>1480</v>
      </c>
      <c r="K1482" t="s">
        <v>2635</v>
      </c>
      <c r="L1482">
        <f>IF(Table_TRM_Fixtures[[#This Row],[Technology]]="LED", Table_TRM_Fixtures[[#This Row],[Fixture Watts  (TRM Data)]], Table_TRM_Fixtures[[#This Row],[Lamp Watts  (TRM Data)]])</f>
        <v>200</v>
      </c>
      <c r="M1482">
        <f>Table_TRM_Fixtures[[#This Row],[No. of Lamps  (TRM Data)]]</f>
        <v>1</v>
      </c>
      <c r="N1482" t="s">
        <v>186</v>
      </c>
      <c r="O1482" t="s">
        <v>186</v>
      </c>
      <c r="P1482" t="s">
        <v>187</v>
      </c>
      <c r="Q1482" t="s">
        <v>187</v>
      </c>
      <c r="R1482" t="str">
        <f>_xlfn.CONCAT(Table_TRM_Fixtures[[#This Row],[Technology]], ", ", Table_TRM_Fixtures[[#This Row],[Ballast Code]], " Ballast")</f>
        <v>Metal Halide, Electronic Ballast</v>
      </c>
      <c r="S1482" t="str">
        <f>Table_TRM_Fixtures[[#This Row],[Description  (TRM Data)]]</f>
        <v>Metal Halide, (1) 200W lamp</v>
      </c>
      <c r="T1482" t="str">
        <f>Table_TRM_Fixtures[[#This Row],[Fixture code  (TRM Data)]]</f>
        <v>MH200/1-L</v>
      </c>
      <c r="U1482" t="s">
        <v>2882</v>
      </c>
      <c r="V1482" t="s">
        <v>186</v>
      </c>
      <c r="W1482" t="s">
        <v>3120</v>
      </c>
      <c r="X1482" t="s">
        <v>186</v>
      </c>
      <c r="Y1482" t="str">
        <f>_xlfn.CONCAT(Table_TRM_Fixtures[[#This Row],[Combined Lighting/Ballast Types]],":",Table_TRM_Fixtures[[#This Row],[No. of Lamps]], ":", Table_TRM_Fixtures[[#This Row],[Lamp Watts  (TRM Data)]])</f>
        <v>Metal Halide, Electronic Ballast:1:200</v>
      </c>
      <c r="Z1482"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Metal Halide:1:200</v>
      </c>
      <c r="AA1482">
        <f>IF(Table_TRM_Fixtures[[#This Row],[Pre-EISA Baseline]]="Nominal", Table_TRM_Fixtures[[#This Row],[Fixture Watts  (TRM Data)]], Table_TRM_Fixtures[[#This Row],[Modified Baseline Fixture Watts]])</f>
        <v>219</v>
      </c>
    </row>
    <row r="1483" spans="1:27" x14ac:dyDescent="0.2">
      <c r="A1483" t="s">
        <v>2674</v>
      </c>
      <c r="B1483" t="s">
        <v>5985</v>
      </c>
      <c r="C1483" t="s">
        <v>2673</v>
      </c>
      <c r="D1483" t="s">
        <v>5986</v>
      </c>
      <c r="E1483" t="s">
        <v>2640</v>
      </c>
      <c r="F1483">
        <v>1</v>
      </c>
      <c r="G1483">
        <v>250</v>
      </c>
      <c r="H1483">
        <v>288</v>
      </c>
      <c r="J1483" s="110">
        <v>1481</v>
      </c>
      <c r="K1483" t="s">
        <v>2635</v>
      </c>
      <c r="L1483">
        <f>IF(Table_TRM_Fixtures[[#This Row],[Technology]]="LED", Table_TRM_Fixtures[[#This Row],[Fixture Watts  (TRM Data)]], Table_TRM_Fixtures[[#This Row],[Lamp Watts  (TRM Data)]])</f>
        <v>250</v>
      </c>
      <c r="M1483">
        <f>Table_TRM_Fixtures[[#This Row],[No. of Lamps  (TRM Data)]]</f>
        <v>1</v>
      </c>
      <c r="N1483" t="s">
        <v>186</v>
      </c>
      <c r="O1483" t="s">
        <v>186</v>
      </c>
      <c r="P1483" t="s">
        <v>2640</v>
      </c>
      <c r="Q1483" t="s">
        <v>2640</v>
      </c>
      <c r="R1483" t="str">
        <f>_xlfn.CONCAT(Table_TRM_Fixtures[[#This Row],[Technology]], ", ", Table_TRM_Fixtures[[#This Row],[Ballast Code]], " Ballast")</f>
        <v>Metal Halide, Magnetic Ballast</v>
      </c>
      <c r="S1483" t="str">
        <f>Table_TRM_Fixtures[[#This Row],[Description  (TRM Data)]]</f>
        <v>Metal Halide, (1) 250W lamp, Magnetic ballast</v>
      </c>
      <c r="T1483" t="str">
        <f>Table_TRM_Fixtures[[#This Row],[Fixture code  (TRM Data)]]</f>
        <v>MH250/1</v>
      </c>
      <c r="U1483" t="s">
        <v>2882</v>
      </c>
      <c r="V1483" t="s">
        <v>186</v>
      </c>
      <c r="W1483" t="s">
        <v>3120</v>
      </c>
      <c r="X1483" t="s">
        <v>186</v>
      </c>
      <c r="Y1483" t="str">
        <f>_xlfn.CONCAT(Table_TRM_Fixtures[[#This Row],[Combined Lighting/Ballast Types]],":",Table_TRM_Fixtures[[#This Row],[No. of Lamps]], ":", Table_TRM_Fixtures[[#This Row],[Lamp Watts  (TRM Data)]])</f>
        <v>Metal Halide, Magnetic Ballast:1:250</v>
      </c>
      <c r="Z1483" t="s">
        <v>4815</v>
      </c>
      <c r="AA1483">
        <f>IF(Table_TRM_Fixtures[[#This Row],[Pre-EISA Baseline]]="Nominal", Table_TRM_Fixtures[[#This Row],[Fixture Watts  (TRM Data)]], Table_TRM_Fixtures[[#This Row],[Modified Baseline Fixture Watts]])</f>
        <v>288</v>
      </c>
    </row>
    <row r="1484" spans="1:27" x14ac:dyDescent="0.2">
      <c r="A1484" t="s">
        <v>2676</v>
      </c>
      <c r="B1484" t="s">
        <v>5985</v>
      </c>
      <c r="C1484" t="s">
        <v>2675</v>
      </c>
      <c r="D1484" t="s">
        <v>5986</v>
      </c>
      <c r="E1484" t="s">
        <v>187</v>
      </c>
      <c r="F1484">
        <v>1</v>
      </c>
      <c r="G1484">
        <v>250</v>
      </c>
      <c r="H1484">
        <v>275</v>
      </c>
      <c r="J1484" s="110">
        <v>1482</v>
      </c>
      <c r="K1484" t="s">
        <v>2635</v>
      </c>
      <c r="L1484">
        <f>IF(Table_TRM_Fixtures[[#This Row],[Technology]]="LED", Table_TRM_Fixtures[[#This Row],[Fixture Watts  (TRM Data)]], Table_TRM_Fixtures[[#This Row],[Lamp Watts  (TRM Data)]])</f>
        <v>250</v>
      </c>
      <c r="M1484">
        <f>Table_TRM_Fixtures[[#This Row],[No. of Lamps  (TRM Data)]]</f>
        <v>1</v>
      </c>
      <c r="N1484" t="s">
        <v>186</v>
      </c>
      <c r="O1484" t="s">
        <v>186</v>
      </c>
      <c r="P1484" t="s">
        <v>187</v>
      </c>
      <c r="Q1484" t="s">
        <v>187</v>
      </c>
      <c r="R1484" t="str">
        <f>_xlfn.CONCAT(Table_TRM_Fixtures[[#This Row],[Technology]], ", ", Table_TRM_Fixtures[[#This Row],[Ballast Code]], " Ballast")</f>
        <v>Metal Halide, Electronic Ballast</v>
      </c>
      <c r="S1484" t="str">
        <f>Table_TRM_Fixtures[[#This Row],[Description  (TRM Data)]]</f>
        <v>Metal Halide, (1) 250W lamp</v>
      </c>
      <c r="T1484" t="str">
        <f>Table_TRM_Fixtures[[#This Row],[Fixture code  (TRM Data)]]</f>
        <v>MH250/1-L</v>
      </c>
      <c r="U1484" t="s">
        <v>2882</v>
      </c>
      <c r="V1484" t="s">
        <v>186</v>
      </c>
      <c r="W1484" t="s">
        <v>3120</v>
      </c>
      <c r="X1484" t="s">
        <v>186</v>
      </c>
      <c r="Y1484" t="str">
        <f>_xlfn.CONCAT(Table_TRM_Fixtures[[#This Row],[Combined Lighting/Ballast Types]],":",Table_TRM_Fixtures[[#This Row],[No. of Lamps]], ":", Table_TRM_Fixtures[[#This Row],[Lamp Watts  (TRM Data)]])</f>
        <v>Metal Halide, Electronic Ballast:1:250</v>
      </c>
      <c r="Z1484"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Metal Halide:1:250</v>
      </c>
      <c r="AA1484">
        <f>IF(Table_TRM_Fixtures[[#This Row],[Pre-EISA Baseline]]="Nominal", Table_TRM_Fixtures[[#This Row],[Fixture Watts  (TRM Data)]], Table_TRM_Fixtures[[#This Row],[Modified Baseline Fixture Watts]])</f>
        <v>275</v>
      </c>
    </row>
    <row r="1485" spans="1:27" x14ac:dyDescent="0.2">
      <c r="A1485" t="s">
        <v>2678</v>
      </c>
      <c r="B1485" t="s">
        <v>5987</v>
      </c>
      <c r="C1485" t="s">
        <v>2677</v>
      </c>
      <c r="D1485" t="s">
        <v>5988</v>
      </c>
      <c r="E1485" t="s">
        <v>2640</v>
      </c>
      <c r="F1485">
        <v>1</v>
      </c>
      <c r="G1485">
        <v>320</v>
      </c>
      <c r="H1485">
        <v>362</v>
      </c>
      <c r="J1485" s="110">
        <v>1483</v>
      </c>
      <c r="K1485" t="s">
        <v>2635</v>
      </c>
      <c r="L1485">
        <f>IF(Table_TRM_Fixtures[[#This Row],[Technology]]="LED", Table_TRM_Fixtures[[#This Row],[Fixture Watts  (TRM Data)]], Table_TRM_Fixtures[[#This Row],[Lamp Watts  (TRM Data)]])</f>
        <v>320</v>
      </c>
      <c r="M1485">
        <f>Table_TRM_Fixtures[[#This Row],[No. of Lamps  (TRM Data)]]</f>
        <v>1</v>
      </c>
      <c r="N1485" t="s">
        <v>186</v>
      </c>
      <c r="O1485" t="s">
        <v>186</v>
      </c>
      <c r="P1485" t="s">
        <v>2640</v>
      </c>
      <c r="Q1485" t="s">
        <v>2640</v>
      </c>
      <c r="R1485" t="str">
        <f>_xlfn.CONCAT(Table_TRM_Fixtures[[#This Row],[Technology]], ", ", Table_TRM_Fixtures[[#This Row],[Ballast Code]], " Ballast")</f>
        <v>Metal Halide, Magnetic Ballast</v>
      </c>
      <c r="S1485" t="str">
        <f>Table_TRM_Fixtures[[#This Row],[Description  (TRM Data)]]</f>
        <v>Metal Halide, (1) 320W lamp, Magnetic ballast</v>
      </c>
      <c r="T1485" t="str">
        <f>Table_TRM_Fixtures[[#This Row],[Fixture code  (TRM Data)]]</f>
        <v>MH320/1</v>
      </c>
      <c r="U1485" t="s">
        <v>2882</v>
      </c>
      <c r="V1485" t="s">
        <v>186</v>
      </c>
      <c r="W1485" t="s">
        <v>3120</v>
      </c>
      <c r="X1485" t="s">
        <v>186</v>
      </c>
      <c r="Y1485" t="str">
        <f>_xlfn.CONCAT(Table_TRM_Fixtures[[#This Row],[Combined Lighting/Ballast Types]],":",Table_TRM_Fixtures[[#This Row],[No. of Lamps]], ":", Table_TRM_Fixtures[[#This Row],[Lamp Watts  (TRM Data)]])</f>
        <v>Metal Halide, Magnetic Ballast:1:320</v>
      </c>
      <c r="Z1485" t="s">
        <v>4815</v>
      </c>
      <c r="AA1485">
        <f>IF(Table_TRM_Fixtures[[#This Row],[Pre-EISA Baseline]]="Nominal", Table_TRM_Fixtures[[#This Row],[Fixture Watts  (TRM Data)]], Table_TRM_Fixtures[[#This Row],[Modified Baseline Fixture Watts]])</f>
        <v>362</v>
      </c>
    </row>
    <row r="1486" spans="1:27" x14ac:dyDescent="0.2">
      <c r="A1486" t="s">
        <v>2680</v>
      </c>
      <c r="B1486" t="s">
        <v>5987</v>
      </c>
      <c r="C1486" t="s">
        <v>2679</v>
      </c>
      <c r="D1486" t="s">
        <v>5988</v>
      </c>
      <c r="E1486" t="s">
        <v>187</v>
      </c>
      <c r="F1486">
        <v>1</v>
      </c>
      <c r="G1486">
        <v>320</v>
      </c>
      <c r="H1486">
        <v>343</v>
      </c>
      <c r="J1486" s="110">
        <v>1484</v>
      </c>
      <c r="K1486" t="s">
        <v>2635</v>
      </c>
      <c r="L1486">
        <f>IF(Table_TRM_Fixtures[[#This Row],[Technology]]="LED", Table_TRM_Fixtures[[#This Row],[Fixture Watts  (TRM Data)]], Table_TRM_Fixtures[[#This Row],[Lamp Watts  (TRM Data)]])</f>
        <v>320</v>
      </c>
      <c r="M1486">
        <f>Table_TRM_Fixtures[[#This Row],[No. of Lamps  (TRM Data)]]</f>
        <v>1</v>
      </c>
      <c r="N1486" t="s">
        <v>186</v>
      </c>
      <c r="O1486" t="s">
        <v>186</v>
      </c>
      <c r="P1486" t="s">
        <v>187</v>
      </c>
      <c r="Q1486" t="s">
        <v>187</v>
      </c>
      <c r="R1486" t="str">
        <f>_xlfn.CONCAT(Table_TRM_Fixtures[[#This Row],[Technology]], ", ", Table_TRM_Fixtures[[#This Row],[Ballast Code]], " Ballast")</f>
        <v>Metal Halide, Electronic Ballast</v>
      </c>
      <c r="S1486" t="str">
        <f>Table_TRM_Fixtures[[#This Row],[Description  (TRM Data)]]</f>
        <v>Metal Halide, (1) 320W lamp</v>
      </c>
      <c r="T1486" t="str">
        <f>Table_TRM_Fixtures[[#This Row],[Fixture code  (TRM Data)]]</f>
        <v>MH320/1-L</v>
      </c>
      <c r="U1486" t="s">
        <v>2882</v>
      </c>
      <c r="V1486" t="s">
        <v>186</v>
      </c>
      <c r="W1486" t="s">
        <v>3120</v>
      </c>
      <c r="X1486" t="s">
        <v>186</v>
      </c>
      <c r="Y1486" t="str">
        <f>_xlfn.CONCAT(Table_TRM_Fixtures[[#This Row],[Combined Lighting/Ballast Types]],":",Table_TRM_Fixtures[[#This Row],[No. of Lamps]], ":", Table_TRM_Fixtures[[#This Row],[Lamp Watts  (TRM Data)]])</f>
        <v>Metal Halide, Electronic Ballast:1:320</v>
      </c>
      <c r="Z1486"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Metal Halide:1:320</v>
      </c>
      <c r="AA1486">
        <f>IF(Table_TRM_Fixtures[[#This Row],[Pre-EISA Baseline]]="Nominal", Table_TRM_Fixtures[[#This Row],[Fixture Watts  (TRM Data)]], Table_TRM_Fixtures[[#This Row],[Modified Baseline Fixture Watts]])</f>
        <v>343</v>
      </c>
    </row>
    <row r="1487" spans="1:27" x14ac:dyDescent="0.2">
      <c r="A1487" t="s">
        <v>2682</v>
      </c>
      <c r="B1487" t="s">
        <v>5989</v>
      </c>
      <c r="C1487" t="s">
        <v>2681</v>
      </c>
      <c r="D1487" t="s">
        <v>5990</v>
      </c>
      <c r="E1487" t="s">
        <v>2640</v>
      </c>
      <c r="F1487">
        <v>1</v>
      </c>
      <c r="G1487">
        <v>350</v>
      </c>
      <c r="H1487">
        <v>391</v>
      </c>
      <c r="J1487" s="110">
        <v>1485</v>
      </c>
      <c r="K1487" t="s">
        <v>2635</v>
      </c>
      <c r="L1487">
        <f>IF(Table_TRM_Fixtures[[#This Row],[Technology]]="LED", Table_TRM_Fixtures[[#This Row],[Fixture Watts  (TRM Data)]], Table_TRM_Fixtures[[#This Row],[Lamp Watts  (TRM Data)]])</f>
        <v>350</v>
      </c>
      <c r="M1487">
        <f>Table_TRM_Fixtures[[#This Row],[No. of Lamps  (TRM Data)]]</f>
        <v>1</v>
      </c>
      <c r="N1487" t="s">
        <v>186</v>
      </c>
      <c r="O1487" t="s">
        <v>186</v>
      </c>
      <c r="P1487" t="s">
        <v>2640</v>
      </c>
      <c r="Q1487" t="s">
        <v>2640</v>
      </c>
      <c r="R1487" t="str">
        <f>_xlfn.CONCAT(Table_TRM_Fixtures[[#This Row],[Technology]], ", ", Table_TRM_Fixtures[[#This Row],[Ballast Code]], " Ballast")</f>
        <v>Metal Halide, Magnetic Ballast</v>
      </c>
      <c r="S1487" t="str">
        <f>Table_TRM_Fixtures[[#This Row],[Description  (TRM Data)]]</f>
        <v>Metal Halide, (1) 350W lamp, Magnetic ballast</v>
      </c>
      <c r="T1487" t="str">
        <f>Table_TRM_Fixtures[[#This Row],[Fixture code  (TRM Data)]]</f>
        <v>MH350/1</v>
      </c>
      <c r="U1487" t="s">
        <v>2882</v>
      </c>
      <c r="V1487" t="s">
        <v>186</v>
      </c>
      <c r="W1487" t="s">
        <v>3120</v>
      </c>
      <c r="X1487" t="s">
        <v>186</v>
      </c>
      <c r="Y1487" t="str">
        <f>_xlfn.CONCAT(Table_TRM_Fixtures[[#This Row],[Combined Lighting/Ballast Types]],":",Table_TRM_Fixtures[[#This Row],[No. of Lamps]], ":", Table_TRM_Fixtures[[#This Row],[Lamp Watts  (TRM Data)]])</f>
        <v>Metal Halide, Magnetic Ballast:1:350</v>
      </c>
      <c r="Z1487" t="s">
        <v>4815</v>
      </c>
      <c r="AA1487">
        <f>IF(Table_TRM_Fixtures[[#This Row],[Pre-EISA Baseline]]="Nominal", Table_TRM_Fixtures[[#This Row],[Fixture Watts  (TRM Data)]], Table_TRM_Fixtures[[#This Row],[Modified Baseline Fixture Watts]])</f>
        <v>391</v>
      </c>
    </row>
    <row r="1488" spans="1:27" x14ac:dyDescent="0.2">
      <c r="A1488" t="s">
        <v>2684</v>
      </c>
      <c r="B1488" t="s">
        <v>5989</v>
      </c>
      <c r="C1488" t="s">
        <v>2683</v>
      </c>
      <c r="D1488" t="s">
        <v>5990</v>
      </c>
      <c r="E1488" t="s">
        <v>187</v>
      </c>
      <c r="F1488">
        <v>1</v>
      </c>
      <c r="G1488">
        <v>350</v>
      </c>
      <c r="H1488">
        <v>375</v>
      </c>
      <c r="J1488" s="110">
        <v>1486</v>
      </c>
      <c r="K1488" t="s">
        <v>2635</v>
      </c>
      <c r="L1488">
        <f>IF(Table_TRM_Fixtures[[#This Row],[Technology]]="LED", Table_TRM_Fixtures[[#This Row],[Fixture Watts  (TRM Data)]], Table_TRM_Fixtures[[#This Row],[Lamp Watts  (TRM Data)]])</f>
        <v>350</v>
      </c>
      <c r="M1488">
        <f>Table_TRM_Fixtures[[#This Row],[No. of Lamps  (TRM Data)]]</f>
        <v>1</v>
      </c>
      <c r="N1488" t="s">
        <v>186</v>
      </c>
      <c r="O1488" t="s">
        <v>186</v>
      </c>
      <c r="P1488" t="s">
        <v>187</v>
      </c>
      <c r="Q1488" t="s">
        <v>187</v>
      </c>
      <c r="R1488" t="str">
        <f>_xlfn.CONCAT(Table_TRM_Fixtures[[#This Row],[Technology]], ", ", Table_TRM_Fixtures[[#This Row],[Ballast Code]], " Ballast")</f>
        <v>Metal Halide, Electronic Ballast</v>
      </c>
      <c r="S1488" t="str">
        <f>Table_TRM_Fixtures[[#This Row],[Description  (TRM Data)]]</f>
        <v>Metal Halide, (1) 350W lamp</v>
      </c>
      <c r="T1488" t="str">
        <f>Table_TRM_Fixtures[[#This Row],[Fixture code  (TRM Data)]]</f>
        <v>MH350/1-L</v>
      </c>
      <c r="U1488" t="s">
        <v>2882</v>
      </c>
      <c r="V1488" t="s">
        <v>186</v>
      </c>
      <c r="W1488" t="s">
        <v>3120</v>
      </c>
      <c r="X1488" t="s">
        <v>186</v>
      </c>
      <c r="Y1488" t="str">
        <f>_xlfn.CONCAT(Table_TRM_Fixtures[[#This Row],[Combined Lighting/Ballast Types]],":",Table_TRM_Fixtures[[#This Row],[No. of Lamps]], ":", Table_TRM_Fixtures[[#This Row],[Lamp Watts  (TRM Data)]])</f>
        <v>Metal Halide, Electronic Ballast:1:350</v>
      </c>
      <c r="Z1488"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Metal Halide:1:350</v>
      </c>
      <c r="AA1488">
        <f>IF(Table_TRM_Fixtures[[#This Row],[Pre-EISA Baseline]]="Nominal", Table_TRM_Fixtures[[#This Row],[Fixture Watts  (TRM Data)]], Table_TRM_Fixtures[[#This Row],[Modified Baseline Fixture Watts]])</f>
        <v>375</v>
      </c>
    </row>
    <row r="1489" spans="1:27" x14ac:dyDescent="0.2">
      <c r="A1489" t="s">
        <v>2686</v>
      </c>
      <c r="B1489" t="s">
        <v>5991</v>
      </c>
      <c r="C1489" t="s">
        <v>2685</v>
      </c>
      <c r="D1489" t="s">
        <v>5992</v>
      </c>
      <c r="E1489" t="s">
        <v>2640</v>
      </c>
      <c r="F1489">
        <v>1</v>
      </c>
      <c r="G1489">
        <v>360</v>
      </c>
      <c r="H1489">
        <v>418</v>
      </c>
      <c r="J1489" s="110">
        <v>1487</v>
      </c>
      <c r="K1489" t="s">
        <v>2635</v>
      </c>
      <c r="L1489">
        <f>IF(Table_TRM_Fixtures[[#This Row],[Technology]]="LED", Table_TRM_Fixtures[[#This Row],[Fixture Watts  (TRM Data)]], Table_TRM_Fixtures[[#This Row],[Lamp Watts  (TRM Data)]])</f>
        <v>360</v>
      </c>
      <c r="M1489">
        <f>Table_TRM_Fixtures[[#This Row],[No. of Lamps  (TRM Data)]]</f>
        <v>1</v>
      </c>
      <c r="N1489" t="s">
        <v>186</v>
      </c>
      <c r="O1489" t="s">
        <v>186</v>
      </c>
      <c r="P1489" t="s">
        <v>2640</v>
      </c>
      <c r="Q1489" t="s">
        <v>2640</v>
      </c>
      <c r="R1489" t="str">
        <f>_xlfn.CONCAT(Table_TRM_Fixtures[[#This Row],[Technology]], ", ", Table_TRM_Fixtures[[#This Row],[Ballast Code]], " Ballast")</f>
        <v>Metal Halide, Magnetic Ballast</v>
      </c>
      <c r="S1489" t="str">
        <f>Table_TRM_Fixtures[[#This Row],[Description  (TRM Data)]]</f>
        <v>Metal Halide, (1) 360W lamp, Magnetic ballast</v>
      </c>
      <c r="T1489" t="str">
        <f>Table_TRM_Fixtures[[#This Row],[Fixture code  (TRM Data)]]</f>
        <v>MH360/1</v>
      </c>
      <c r="U1489" t="s">
        <v>2882</v>
      </c>
      <c r="V1489" t="s">
        <v>186</v>
      </c>
      <c r="W1489" t="s">
        <v>3120</v>
      </c>
      <c r="X1489" t="s">
        <v>186</v>
      </c>
      <c r="Y1489" t="str">
        <f>_xlfn.CONCAT(Table_TRM_Fixtures[[#This Row],[Combined Lighting/Ballast Types]],":",Table_TRM_Fixtures[[#This Row],[No. of Lamps]], ":", Table_TRM_Fixtures[[#This Row],[Lamp Watts  (TRM Data)]])</f>
        <v>Metal Halide, Magnetic Ballast:1:360</v>
      </c>
      <c r="Z1489"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Metal Halide:1:360</v>
      </c>
      <c r="AA1489">
        <f>IF(Table_TRM_Fixtures[[#This Row],[Pre-EISA Baseline]]="Nominal", Table_TRM_Fixtures[[#This Row],[Fixture Watts  (TRM Data)]], Table_TRM_Fixtures[[#This Row],[Modified Baseline Fixture Watts]])</f>
        <v>418</v>
      </c>
    </row>
    <row r="1490" spans="1:27" x14ac:dyDescent="0.2">
      <c r="A1490" t="s">
        <v>2688</v>
      </c>
      <c r="B1490" t="s">
        <v>5993</v>
      </c>
      <c r="C1490" t="s">
        <v>2687</v>
      </c>
      <c r="D1490" t="s">
        <v>5994</v>
      </c>
      <c r="E1490" t="s">
        <v>2640</v>
      </c>
      <c r="F1490">
        <v>1</v>
      </c>
      <c r="G1490">
        <v>400</v>
      </c>
      <c r="H1490">
        <v>453</v>
      </c>
      <c r="J1490" s="110">
        <v>1488</v>
      </c>
      <c r="K1490" t="s">
        <v>2635</v>
      </c>
      <c r="L1490">
        <f>IF(Table_TRM_Fixtures[[#This Row],[Technology]]="LED", Table_TRM_Fixtures[[#This Row],[Fixture Watts  (TRM Data)]], Table_TRM_Fixtures[[#This Row],[Lamp Watts  (TRM Data)]])</f>
        <v>400</v>
      </c>
      <c r="M1490">
        <f>Table_TRM_Fixtures[[#This Row],[No. of Lamps  (TRM Data)]]</f>
        <v>1</v>
      </c>
      <c r="N1490" t="s">
        <v>186</v>
      </c>
      <c r="O1490" t="s">
        <v>186</v>
      </c>
      <c r="P1490" t="s">
        <v>2640</v>
      </c>
      <c r="Q1490" t="s">
        <v>2640</v>
      </c>
      <c r="R1490" t="str">
        <f>_xlfn.CONCAT(Table_TRM_Fixtures[[#This Row],[Technology]], ", ", Table_TRM_Fixtures[[#This Row],[Ballast Code]], " Ballast")</f>
        <v>Metal Halide, Magnetic Ballast</v>
      </c>
      <c r="S1490" t="str">
        <f>Table_TRM_Fixtures[[#This Row],[Description  (TRM Data)]]</f>
        <v>Metal Halide, (1) 400W lamp, Magnetic ballast</v>
      </c>
      <c r="T1490" t="str">
        <f>Table_TRM_Fixtures[[#This Row],[Fixture code  (TRM Data)]]</f>
        <v>MH400/1</v>
      </c>
      <c r="U1490" t="s">
        <v>2882</v>
      </c>
      <c r="V1490" t="s">
        <v>186</v>
      </c>
      <c r="W1490" t="s">
        <v>3120</v>
      </c>
      <c r="X1490" t="s">
        <v>186</v>
      </c>
      <c r="Y1490" t="str">
        <f>_xlfn.CONCAT(Table_TRM_Fixtures[[#This Row],[Combined Lighting/Ballast Types]],":",Table_TRM_Fixtures[[#This Row],[No. of Lamps]], ":", Table_TRM_Fixtures[[#This Row],[Lamp Watts  (TRM Data)]])</f>
        <v>Metal Halide, Magnetic Ballast:1:400</v>
      </c>
      <c r="Z1490" t="s">
        <v>4815</v>
      </c>
      <c r="AA1490">
        <f>IF(Table_TRM_Fixtures[[#This Row],[Pre-EISA Baseline]]="Nominal", Table_TRM_Fixtures[[#This Row],[Fixture Watts  (TRM Data)]], Table_TRM_Fixtures[[#This Row],[Modified Baseline Fixture Watts]])</f>
        <v>453</v>
      </c>
    </row>
    <row r="1491" spans="1:27" x14ac:dyDescent="0.2">
      <c r="A1491" t="s">
        <v>2690</v>
      </c>
      <c r="B1491" t="s">
        <v>5993</v>
      </c>
      <c r="C1491" t="s">
        <v>2689</v>
      </c>
      <c r="D1491" t="s">
        <v>5994</v>
      </c>
      <c r="E1491" t="s">
        <v>187</v>
      </c>
      <c r="F1491">
        <v>1</v>
      </c>
      <c r="G1491">
        <v>400</v>
      </c>
      <c r="H1491">
        <v>429</v>
      </c>
      <c r="J1491" s="110">
        <v>1489</v>
      </c>
      <c r="K1491" t="s">
        <v>2635</v>
      </c>
      <c r="L1491">
        <f>IF(Table_TRM_Fixtures[[#This Row],[Technology]]="LED", Table_TRM_Fixtures[[#This Row],[Fixture Watts  (TRM Data)]], Table_TRM_Fixtures[[#This Row],[Lamp Watts  (TRM Data)]])</f>
        <v>400</v>
      </c>
      <c r="M1491">
        <f>Table_TRM_Fixtures[[#This Row],[No. of Lamps  (TRM Data)]]</f>
        <v>1</v>
      </c>
      <c r="N1491" t="s">
        <v>186</v>
      </c>
      <c r="O1491" t="s">
        <v>186</v>
      </c>
      <c r="P1491" t="s">
        <v>187</v>
      </c>
      <c r="Q1491" t="s">
        <v>187</v>
      </c>
      <c r="R1491" t="str">
        <f>_xlfn.CONCAT(Table_TRM_Fixtures[[#This Row],[Technology]], ", ", Table_TRM_Fixtures[[#This Row],[Ballast Code]], " Ballast")</f>
        <v>Metal Halide, Electronic Ballast</v>
      </c>
      <c r="S1491" t="str">
        <f>Table_TRM_Fixtures[[#This Row],[Description  (TRM Data)]]</f>
        <v>Metal Halide, (1) 400W lamp</v>
      </c>
      <c r="T1491" t="str">
        <f>Table_TRM_Fixtures[[#This Row],[Fixture code  (TRM Data)]]</f>
        <v>MH400/1-L</v>
      </c>
      <c r="U1491" t="s">
        <v>2882</v>
      </c>
      <c r="V1491" t="s">
        <v>186</v>
      </c>
      <c r="W1491" t="s">
        <v>3120</v>
      </c>
      <c r="X1491" t="s">
        <v>186</v>
      </c>
      <c r="Y1491" t="str">
        <f>_xlfn.CONCAT(Table_TRM_Fixtures[[#This Row],[Combined Lighting/Ballast Types]],":",Table_TRM_Fixtures[[#This Row],[No. of Lamps]], ":", Table_TRM_Fixtures[[#This Row],[Lamp Watts  (TRM Data)]])</f>
        <v>Metal Halide, Electronic Ballast:1:400</v>
      </c>
      <c r="Z1491"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Metal Halide:1:400</v>
      </c>
      <c r="AA1491">
        <f>IF(Table_TRM_Fixtures[[#This Row],[Pre-EISA Baseline]]="Nominal", Table_TRM_Fixtures[[#This Row],[Fixture Watts  (TRM Data)]], Table_TRM_Fixtures[[#This Row],[Modified Baseline Fixture Watts]])</f>
        <v>429</v>
      </c>
    </row>
    <row r="1492" spans="1:27" x14ac:dyDescent="0.2">
      <c r="A1492" t="s">
        <v>2692</v>
      </c>
      <c r="B1492" t="s">
        <v>5995</v>
      </c>
      <c r="C1492" t="s">
        <v>2691</v>
      </c>
      <c r="D1492" t="s">
        <v>5996</v>
      </c>
      <c r="E1492" t="s">
        <v>2640</v>
      </c>
      <c r="F1492">
        <v>1</v>
      </c>
      <c r="G1492">
        <v>450</v>
      </c>
      <c r="H1492">
        <v>499</v>
      </c>
      <c r="J1492" s="110">
        <v>1490</v>
      </c>
      <c r="K1492" t="s">
        <v>2635</v>
      </c>
      <c r="L1492">
        <f>IF(Table_TRM_Fixtures[[#This Row],[Technology]]="LED", Table_TRM_Fixtures[[#This Row],[Fixture Watts  (TRM Data)]], Table_TRM_Fixtures[[#This Row],[Lamp Watts  (TRM Data)]])</f>
        <v>450</v>
      </c>
      <c r="M1492">
        <f>Table_TRM_Fixtures[[#This Row],[No. of Lamps  (TRM Data)]]</f>
        <v>1</v>
      </c>
      <c r="N1492" t="s">
        <v>186</v>
      </c>
      <c r="O1492" t="s">
        <v>186</v>
      </c>
      <c r="P1492" t="s">
        <v>2640</v>
      </c>
      <c r="Q1492" t="s">
        <v>2640</v>
      </c>
      <c r="R1492" t="str">
        <f>_xlfn.CONCAT(Table_TRM_Fixtures[[#This Row],[Technology]], ", ", Table_TRM_Fixtures[[#This Row],[Ballast Code]], " Ballast")</f>
        <v>Metal Halide, Magnetic Ballast</v>
      </c>
      <c r="S1492" t="str">
        <f>Table_TRM_Fixtures[[#This Row],[Description  (TRM Data)]]</f>
        <v>Metal Halide, (1) 450W lamp, Magnetic ballast</v>
      </c>
      <c r="T1492" t="str">
        <f>Table_TRM_Fixtures[[#This Row],[Fixture code  (TRM Data)]]</f>
        <v>MH450/1</v>
      </c>
      <c r="U1492" t="s">
        <v>2882</v>
      </c>
      <c r="V1492" t="s">
        <v>186</v>
      </c>
      <c r="W1492" t="s">
        <v>3120</v>
      </c>
      <c r="X1492" t="s">
        <v>186</v>
      </c>
      <c r="Y1492" t="str">
        <f>_xlfn.CONCAT(Table_TRM_Fixtures[[#This Row],[Combined Lighting/Ballast Types]],":",Table_TRM_Fixtures[[#This Row],[No. of Lamps]], ":", Table_TRM_Fixtures[[#This Row],[Lamp Watts  (TRM Data)]])</f>
        <v>Metal Halide, Magnetic Ballast:1:450</v>
      </c>
      <c r="Z1492" t="s">
        <v>4815</v>
      </c>
      <c r="AA1492">
        <f>IF(Table_TRM_Fixtures[[#This Row],[Pre-EISA Baseline]]="Nominal", Table_TRM_Fixtures[[#This Row],[Fixture Watts  (TRM Data)]], Table_TRM_Fixtures[[#This Row],[Modified Baseline Fixture Watts]])</f>
        <v>499</v>
      </c>
    </row>
    <row r="1493" spans="1:27" x14ac:dyDescent="0.2">
      <c r="A1493" t="s">
        <v>2694</v>
      </c>
      <c r="B1493" t="s">
        <v>5995</v>
      </c>
      <c r="C1493" t="s">
        <v>2693</v>
      </c>
      <c r="D1493" t="s">
        <v>5996</v>
      </c>
      <c r="E1493" t="s">
        <v>187</v>
      </c>
      <c r="F1493">
        <v>1</v>
      </c>
      <c r="G1493">
        <v>450</v>
      </c>
      <c r="H1493">
        <v>486</v>
      </c>
      <c r="J1493" s="110">
        <v>1491</v>
      </c>
      <c r="K1493" t="s">
        <v>2635</v>
      </c>
      <c r="L1493">
        <f>IF(Table_TRM_Fixtures[[#This Row],[Technology]]="LED", Table_TRM_Fixtures[[#This Row],[Fixture Watts  (TRM Data)]], Table_TRM_Fixtures[[#This Row],[Lamp Watts  (TRM Data)]])</f>
        <v>450</v>
      </c>
      <c r="M1493">
        <f>Table_TRM_Fixtures[[#This Row],[No. of Lamps  (TRM Data)]]</f>
        <v>1</v>
      </c>
      <c r="N1493" t="s">
        <v>186</v>
      </c>
      <c r="O1493" t="s">
        <v>186</v>
      </c>
      <c r="P1493" t="s">
        <v>187</v>
      </c>
      <c r="Q1493" t="s">
        <v>187</v>
      </c>
      <c r="R1493" t="str">
        <f>_xlfn.CONCAT(Table_TRM_Fixtures[[#This Row],[Technology]], ", ", Table_TRM_Fixtures[[#This Row],[Ballast Code]], " Ballast")</f>
        <v>Metal Halide, Electronic Ballast</v>
      </c>
      <c r="S1493" t="str">
        <f>Table_TRM_Fixtures[[#This Row],[Description  (TRM Data)]]</f>
        <v>Metal Halide, (1) 450W lamp</v>
      </c>
      <c r="T1493" t="str">
        <f>Table_TRM_Fixtures[[#This Row],[Fixture code  (TRM Data)]]</f>
        <v>MH450/1-L</v>
      </c>
      <c r="U1493" t="s">
        <v>2882</v>
      </c>
      <c r="V1493" t="s">
        <v>186</v>
      </c>
      <c r="W1493" t="s">
        <v>3120</v>
      </c>
      <c r="X1493" t="s">
        <v>186</v>
      </c>
      <c r="Y1493" t="str">
        <f>_xlfn.CONCAT(Table_TRM_Fixtures[[#This Row],[Combined Lighting/Ballast Types]],":",Table_TRM_Fixtures[[#This Row],[No. of Lamps]], ":", Table_TRM_Fixtures[[#This Row],[Lamp Watts  (TRM Data)]])</f>
        <v>Metal Halide, Electronic Ballast:1:450</v>
      </c>
      <c r="Z1493"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Metal Halide:1:450</v>
      </c>
      <c r="AA1493">
        <f>IF(Table_TRM_Fixtures[[#This Row],[Pre-EISA Baseline]]="Nominal", Table_TRM_Fixtures[[#This Row],[Fixture Watts  (TRM Data)]], Table_TRM_Fixtures[[#This Row],[Modified Baseline Fixture Watts]])</f>
        <v>486</v>
      </c>
    </row>
    <row r="1494" spans="1:27" x14ac:dyDescent="0.2">
      <c r="A1494" t="s">
        <v>2696</v>
      </c>
      <c r="B1494" t="s">
        <v>5997</v>
      </c>
      <c r="C1494" t="s">
        <v>2695</v>
      </c>
      <c r="D1494" t="s">
        <v>5998</v>
      </c>
      <c r="E1494" t="s">
        <v>2640</v>
      </c>
      <c r="F1494">
        <v>1</v>
      </c>
      <c r="G1494">
        <v>575</v>
      </c>
      <c r="H1494">
        <v>630</v>
      </c>
      <c r="J1494" s="110">
        <v>1492</v>
      </c>
      <c r="K1494" t="s">
        <v>2635</v>
      </c>
      <c r="L1494">
        <f>IF(Table_TRM_Fixtures[[#This Row],[Technology]]="LED", Table_TRM_Fixtures[[#This Row],[Fixture Watts  (TRM Data)]], Table_TRM_Fixtures[[#This Row],[Lamp Watts  (TRM Data)]])</f>
        <v>575</v>
      </c>
      <c r="M1494">
        <f>Table_TRM_Fixtures[[#This Row],[No. of Lamps  (TRM Data)]]</f>
        <v>1</v>
      </c>
      <c r="N1494" t="s">
        <v>186</v>
      </c>
      <c r="O1494" t="s">
        <v>186</v>
      </c>
      <c r="P1494" t="s">
        <v>2640</v>
      </c>
      <c r="Q1494" t="s">
        <v>2640</v>
      </c>
      <c r="R1494" t="str">
        <f>_xlfn.CONCAT(Table_TRM_Fixtures[[#This Row],[Technology]], ", ", Table_TRM_Fixtures[[#This Row],[Ballast Code]], " Ballast")</f>
        <v>Metal Halide, Magnetic Ballast</v>
      </c>
      <c r="S1494" t="str">
        <f>Table_TRM_Fixtures[[#This Row],[Description  (TRM Data)]]</f>
        <v>Metal Halide, (1) 575W lamp, Magnetic ballast</v>
      </c>
      <c r="T1494" t="str">
        <f>Table_TRM_Fixtures[[#This Row],[Fixture code  (TRM Data)]]</f>
        <v>MH575/1</v>
      </c>
      <c r="U1494" t="s">
        <v>2882</v>
      </c>
      <c r="V1494" t="s">
        <v>186</v>
      </c>
      <c r="W1494" t="s">
        <v>3120</v>
      </c>
      <c r="X1494" t="s">
        <v>186</v>
      </c>
      <c r="Y1494" t="str">
        <f>_xlfn.CONCAT(Table_TRM_Fixtures[[#This Row],[Combined Lighting/Ballast Types]],":",Table_TRM_Fixtures[[#This Row],[No. of Lamps]], ":", Table_TRM_Fixtures[[#This Row],[Lamp Watts  (TRM Data)]])</f>
        <v>Metal Halide, Magnetic Ballast:1:575</v>
      </c>
      <c r="Z1494"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Metal Halide:1:575</v>
      </c>
      <c r="AA1494">
        <f>IF(Table_TRM_Fixtures[[#This Row],[Pre-EISA Baseline]]="Nominal", Table_TRM_Fixtures[[#This Row],[Fixture Watts  (TRM Data)]], Table_TRM_Fixtures[[#This Row],[Modified Baseline Fixture Watts]])</f>
        <v>630</v>
      </c>
    </row>
    <row r="1495" spans="1:27" x14ac:dyDescent="0.2">
      <c r="A1495" t="s">
        <v>2698</v>
      </c>
      <c r="B1495" t="s">
        <v>5999</v>
      </c>
      <c r="C1495" t="s">
        <v>2697</v>
      </c>
      <c r="D1495" t="s">
        <v>6000</v>
      </c>
      <c r="E1495" t="s">
        <v>2640</v>
      </c>
      <c r="F1495">
        <v>1</v>
      </c>
      <c r="G1495">
        <v>750</v>
      </c>
      <c r="H1495">
        <v>812</v>
      </c>
      <c r="J1495" s="110">
        <v>1493</v>
      </c>
      <c r="K1495" t="s">
        <v>2635</v>
      </c>
      <c r="L1495">
        <f>IF(Table_TRM_Fixtures[[#This Row],[Technology]]="LED", Table_TRM_Fixtures[[#This Row],[Fixture Watts  (TRM Data)]], Table_TRM_Fixtures[[#This Row],[Lamp Watts  (TRM Data)]])</f>
        <v>750</v>
      </c>
      <c r="M1495">
        <f>Table_TRM_Fixtures[[#This Row],[No. of Lamps  (TRM Data)]]</f>
        <v>1</v>
      </c>
      <c r="N1495" t="s">
        <v>186</v>
      </c>
      <c r="O1495" t="s">
        <v>186</v>
      </c>
      <c r="P1495" t="s">
        <v>2640</v>
      </c>
      <c r="Q1495" t="s">
        <v>2640</v>
      </c>
      <c r="R1495" t="str">
        <f>_xlfn.CONCAT(Table_TRM_Fixtures[[#This Row],[Technology]], ", ", Table_TRM_Fixtures[[#This Row],[Ballast Code]], " Ballast")</f>
        <v>Metal Halide, Magnetic Ballast</v>
      </c>
      <c r="S1495" t="str">
        <f>Table_TRM_Fixtures[[#This Row],[Description  (TRM Data)]]</f>
        <v>Metal Halide, (1) 750W lamp, Magnetic ballast</v>
      </c>
      <c r="T1495" t="str">
        <f>Table_TRM_Fixtures[[#This Row],[Fixture code  (TRM Data)]]</f>
        <v>MH750/1</v>
      </c>
      <c r="U1495" t="s">
        <v>2882</v>
      </c>
      <c r="V1495" t="s">
        <v>186</v>
      </c>
      <c r="W1495" t="s">
        <v>3120</v>
      </c>
      <c r="X1495" t="s">
        <v>186</v>
      </c>
      <c r="Y1495" t="str">
        <f>_xlfn.CONCAT(Table_TRM_Fixtures[[#This Row],[Combined Lighting/Ballast Types]],":",Table_TRM_Fixtures[[#This Row],[No. of Lamps]], ":", Table_TRM_Fixtures[[#This Row],[Lamp Watts  (TRM Data)]])</f>
        <v>Metal Halide, Magnetic Ballast:1:750</v>
      </c>
      <c r="Z1495"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Metal Halide:1:750</v>
      </c>
      <c r="AA1495">
        <f>IF(Table_TRM_Fixtures[[#This Row],[Pre-EISA Baseline]]="Nominal", Table_TRM_Fixtures[[#This Row],[Fixture Watts  (TRM Data)]], Table_TRM_Fixtures[[#This Row],[Modified Baseline Fixture Watts]])</f>
        <v>812</v>
      </c>
    </row>
    <row r="1496" spans="1:27" x14ac:dyDescent="0.2">
      <c r="A1496" t="s">
        <v>2700</v>
      </c>
      <c r="B1496" t="s">
        <v>6001</v>
      </c>
      <c r="C1496" t="s">
        <v>2699</v>
      </c>
      <c r="D1496" t="s">
        <v>6002</v>
      </c>
      <c r="E1496" t="s">
        <v>2640</v>
      </c>
      <c r="F1496">
        <v>1</v>
      </c>
      <c r="G1496">
        <v>775</v>
      </c>
      <c r="H1496">
        <v>843</v>
      </c>
      <c r="J1496" s="110">
        <v>1494</v>
      </c>
      <c r="K1496" t="s">
        <v>2635</v>
      </c>
      <c r="L1496">
        <f>IF(Table_TRM_Fixtures[[#This Row],[Technology]]="LED", Table_TRM_Fixtures[[#This Row],[Fixture Watts  (TRM Data)]], Table_TRM_Fixtures[[#This Row],[Lamp Watts  (TRM Data)]])</f>
        <v>775</v>
      </c>
      <c r="M1496">
        <f>Table_TRM_Fixtures[[#This Row],[No. of Lamps  (TRM Data)]]</f>
        <v>1</v>
      </c>
      <c r="N1496" t="s">
        <v>186</v>
      </c>
      <c r="O1496" t="s">
        <v>186</v>
      </c>
      <c r="P1496" t="s">
        <v>2640</v>
      </c>
      <c r="Q1496" t="s">
        <v>2640</v>
      </c>
      <c r="R1496" t="str">
        <f>_xlfn.CONCAT(Table_TRM_Fixtures[[#This Row],[Technology]], ", ", Table_TRM_Fixtures[[#This Row],[Ballast Code]], " Ballast")</f>
        <v>Metal Halide, Magnetic Ballast</v>
      </c>
      <c r="S1496" t="str">
        <f>Table_TRM_Fixtures[[#This Row],[Description  (TRM Data)]]</f>
        <v>Metal Halide, (1) 775W lamp, Magnetic ballast</v>
      </c>
      <c r="T1496" t="str">
        <f>Table_TRM_Fixtures[[#This Row],[Fixture code  (TRM Data)]]</f>
        <v>MH775/1</v>
      </c>
      <c r="U1496" t="s">
        <v>2882</v>
      </c>
      <c r="V1496" t="s">
        <v>186</v>
      </c>
      <c r="W1496" t="s">
        <v>3120</v>
      </c>
      <c r="X1496" t="s">
        <v>186</v>
      </c>
      <c r="Y1496" t="str">
        <f>_xlfn.CONCAT(Table_TRM_Fixtures[[#This Row],[Combined Lighting/Ballast Types]],":",Table_TRM_Fixtures[[#This Row],[No. of Lamps]], ":", Table_TRM_Fixtures[[#This Row],[Lamp Watts  (TRM Data)]])</f>
        <v>Metal Halide, Magnetic Ballast:1:775</v>
      </c>
      <c r="Z1496"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Metal Halide:1:775</v>
      </c>
      <c r="AA1496">
        <f>IF(Table_TRM_Fixtures[[#This Row],[Pre-EISA Baseline]]="Nominal", Table_TRM_Fixtures[[#This Row],[Fixture Watts  (TRM Data)]], Table_TRM_Fixtures[[#This Row],[Modified Baseline Fixture Watts]])</f>
        <v>843</v>
      </c>
    </row>
    <row r="1497" spans="1:27" x14ac:dyDescent="0.2">
      <c r="A1497" t="s">
        <v>2702</v>
      </c>
      <c r="B1497" t="s">
        <v>6003</v>
      </c>
      <c r="C1497" t="s">
        <v>2701</v>
      </c>
      <c r="D1497" t="s">
        <v>6004</v>
      </c>
      <c r="E1497" t="s">
        <v>2640</v>
      </c>
      <c r="F1497">
        <v>1</v>
      </c>
      <c r="G1497">
        <v>875</v>
      </c>
      <c r="H1497">
        <v>939</v>
      </c>
      <c r="J1497" s="110">
        <v>1495</v>
      </c>
      <c r="K1497" t="s">
        <v>2635</v>
      </c>
      <c r="L1497">
        <f>IF(Table_TRM_Fixtures[[#This Row],[Technology]]="LED", Table_TRM_Fixtures[[#This Row],[Fixture Watts  (TRM Data)]], Table_TRM_Fixtures[[#This Row],[Lamp Watts  (TRM Data)]])</f>
        <v>875</v>
      </c>
      <c r="M1497">
        <f>Table_TRM_Fixtures[[#This Row],[No. of Lamps  (TRM Data)]]</f>
        <v>1</v>
      </c>
      <c r="N1497" t="s">
        <v>186</v>
      </c>
      <c r="O1497" t="s">
        <v>186</v>
      </c>
      <c r="P1497" t="s">
        <v>2640</v>
      </c>
      <c r="Q1497" t="s">
        <v>2640</v>
      </c>
      <c r="R1497" t="str">
        <f>_xlfn.CONCAT(Table_TRM_Fixtures[[#This Row],[Technology]], ", ", Table_TRM_Fixtures[[#This Row],[Ballast Code]], " Ballast")</f>
        <v>Metal Halide, Magnetic Ballast</v>
      </c>
      <c r="S1497" t="str">
        <f>Table_TRM_Fixtures[[#This Row],[Description  (TRM Data)]]</f>
        <v>Metal Halide, (1) 875W lamp</v>
      </c>
      <c r="T1497" t="str">
        <f>Table_TRM_Fixtures[[#This Row],[Fixture code  (TRM Data)]]</f>
        <v>MH875/1</v>
      </c>
      <c r="U1497" t="s">
        <v>2882</v>
      </c>
      <c r="V1497" t="s">
        <v>186</v>
      </c>
      <c r="W1497" t="s">
        <v>3120</v>
      </c>
      <c r="X1497" t="s">
        <v>186</v>
      </c>
      <c r="Y1497" t="str">
        <f>_xlfn.CONCAT(Table_TRM_Fixtures[[#This Row],[Combined Lighting/Ballast Types]],":",Table_TRM_Fixtures[[#This Row],[No. of Lamps]], ":", Table_TRM_Fixtures[[#This Row],[Lamp Watts  (TRM Data)]])</f>
        <v>Metal Halide, Magnetic Ballast:1:875</v>
      </c>
      <c r="Z1497"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Metal Halide:1:875</v>
      </c>
      <c r="AA1497">
        <f>IF(Table_TRM_Fixtures[[#This Row],[Pre-EISA Baseline]]="Nominal", Table_TRM_Fixtures[[#This Row],[Fixture Watts  (TRM Data)]], Table_TRM_Fixtures[[#This Row],[Modified Baseline Fixture Watts]])</f>
        <v>939</v>
      </c>
    </row>
    <row r="1498" spans="1:27" x14ac:dyDescent="0.2">
      <c r="A1498" t="s">
        <v>2704</v>
      </c>
      <c r="B1498" t="s">
        <v>6005</v>
      </c>
      <c r="C1498" t="s">
        <v>2703</v>
      </c>
      <c r="D1498" t="s">
        <v>6006</v>
      </c>
      <c r="E1498" t="s">
        <v>2640</v>
      </c>
      <c r="F1498">
        <v>1</v>
      </c>
      <c r="G1498">
        <v>1000</v>
      </c>
      <c r="H1498">
        <v>1078</v>
      </c>
      <c r="J1498" s="110">
        <v>1496</v>
      </c>
      <c r="K1498" t="s">
        <v>2635</v>
      </c>
      <c r="L1498">
        <f>IF(Table_TRM_Fixtures[[#This Row],[Technology]]="LED", Table_TRM_Fixtures[[#This Row],[Fixture Watts  (TRM Data)]], Table_TRM_Fixtures[[#This Row],[Lamp Watts  (TRM Data)]])</f>
        <v>1000</v>
      </c>
      <c r="M1498">
        <f>Table_TRM_Fixtures[[#This Row],[No. of Lamps  (TRM Data)]]</f>
        <v>1</v>
      </c>
      <c r="N1498" t="s">
        <v>186</v>
      </c>
      <c r="O1498" t="s">
        <v>186</v>
      </c>
      <c r="P1498" t="s">
        <v>2640</v>
      </c>
      <c r="Q1498" t="s">
        <v>2640</v>
      </c>
      <c r="R1498" t="str">
        <f>_xlfn.CONCAT(Table_TRM_Fixtures[[#This Row],[Technology]], ", ", Table_TRM_Fixtures[[#This Row],[Ballast Code]], " Ballast")</f>
        <v>Metal Halide, Magnetic Ballast</v>
      </c>
      <c r="S1498" t="str">
        <f>Table_TRM_Fixtures[[#This Row],[Description  (TRM Data)]]</f>
        <v>Metal Halide, (1) 1000W lamp, Magnetic ballast</v>
      </c>
      <c r="T1498" t="str">
        <f>Table_TRM_Fixtures[[#This Row],[Fixture code  (TRM Data)]]</f>
        <v>MH1000/1</v>
      </c>
      <c r="U1498" t="s">
        <v>2882</v>
      </c>
      <c r="V1498" t="s">
        <v>186</v>
      </c>
      <c r="W1498" t="s">
        <v>3120</v>
      </c>
      <c r="X1498" t="s">
        <v>186</v>
      </c>
      <c r="Y1498" t="str">
        <f>_xlfn.CONCAT(Table_TRM_Fixtures[[#This Row],[Combined Lighting/Ballast Types]],":",Table_TRM_Fixtures[[#This Row],[No. of Lamps]], ":", Table_TRM_Fixtures[[#This Row],[Lamp Watts  (TRM Data)]])</f>
        <v>Metal Halide, Magnetic Ballast:1:1000</v>
      </c>
      <c r="Z1498" t="s">
        <v>4815</v>
      </c>
      <c r="AA1498">
        <f>IF(Table_TRM_Fixtures[[#This Row],[Pre-EISA Baseline]]="Nominal", Table_TRM_Fixtures[[#This Row],[Fixture Watts  (TRM Data)]], Table_TRM_Fixtures[[#This Row],[Modified Baseline Fixture Watts]])</f>
        <v>1078</v>
      </c>
    </row>
    <row r="1499" spans="1:27" x14ac:dyDescent="0.2">
      <c r="A1499" t="s">
        <v>2706</v>
      </c>
      <c r="B1499" t="s">
        <v>6005</v>
      </c>
      <c r="C1499" t="s">
        <v>2705</v>
      </c>
      <c r="D1499" t="s">
        <v>6006</v>
      </c>
      <c r="E1499" t="s">
        <v>187</v>
      </c>
      <c r="F1499">
        <v>1</v>
      </c>
      <c r="G1499">
        <v>1000</v>
      </c>
      <c r="H1499">
        <v>1067</v>
      </c>
      <c r="J1499" s="110">
        <v>1497</v>
      </c>
      <c r="K1499" t="s">
        <v>2635</v>
      </c>
      <c r="L1499">
        <f>IF(Table_TRM_Fixtures[[#This Row],[Technology]]="LED", Table_TRM_Fixtures[[#This Row],[Fixture Watts  (TRM Data)]], Table_TRM_Fixtures[[#This Row],[Lamp Watts  (TRM Data)]])</f>
        <v>1000</v>
      </c>
      <c r="M1499">
        <f>Table_TRM_Fixtures[[#This Row],[No. of Lamps  (TRM Data)]]</f>
        <v>1</v>
      </c>
      <c r="N1499" t="s">
        <v>186</v>
      </c>
      <c r="O1499" t="s">
        <v>186</v>
      </c>
      <c r="P1499" t="s">
        <v>187</v>
      </c>
      <c r="Q1499" t="s">
        <v>187</v>
      </c>
      <c r="R1499" t="str">
        <f>_xlfn.CONCAT(Table_TRM_Fixtures[[#This Row],[Technology]], ", ", Table_TRM_Fixtures[[#This Row],[Ballast Code]], " Ballast")</f>
        <v>Metal Halide, Electronic Ballast</v>
      </c>
      <c r="S1499" t="str">
        <f>Table_TRM_Fixtures[[#This Row],[Description  (TRM Data)]]</f>
        <v>Metal Halide, (1) 1000W lamp</v>
      </c>
      <c r="T1499" t="str">
        <f>Table_TRM_Fixtures[[#This Row],[Fixture code  (TRM Data)]]</f>
        <v>MH1000/1-L</v>
      </c>
      <c r="U1499" t="s">
        <v>2882</v>
      </c>
      <c r="V1499" t="s">
        <v>186</v>
      </c>
      <c r="W1499" t="s">
        <v>3120</v>
      </c>
      <c r="X1499" t="s">
        <v>186</v>
      </c>
      <c r="Y1499" t="str">
        <f>_xlfn.CONCAT(Table_TRM_Fixtures[[#This Row],[Combined Lighting/Ballast Types]],":",Table_TRM_Fixtures[[#This Row],[No. of Lamps]], ":", Table_TRM_Fixtures[[#This Row],[Lamp Watts  (TRM Data)]])</f>
        <v>Metal Halide, Electronic Ballast:1:1000</v>
      </c>
      <c r="Z1499"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Metal Halide:1:1000</v>
      </c>
      <c r="AA1499">
        <f>IF(Table_TRM_Fixtures[[#This Row],[Pre-EISA Baseline]]="Nominal", Table_TRM_Fixtures[[#This Row],[Fixture Watts  (TRM Data)]], Table_TRM_Fixtures[[#This Row],[Modified Baseline Fixture Watts]])</f>
        <v>1067</v>
      </c>
    </row>
    <row r="1500" spans="1:27" x14ac:dyDescent="0.2">
      <c r="A1500" t="s">
        <v>2708</v>
      </c>
      <c r="B1500" t="s">
        <v>6007</v>
      </c>
      <c r="C1500" t="s">
        <v>2707</v>
      </c>
      <c r="D1500" t="s">
        <v>6008</v>
      </c>
      <c r="E1500" t="s">
        <v>2640</v>
      </c>
      <c r="F1500">
        <v>1</v>
      </c>
      <c r="G1500">
        <v>1500</v>
      </c>
      <c r="H1500">
        <v>1605</v>
      </c>
      <c r="J1500" s="110">
        <v>1498</v>
      </c>
      <c r="K1500" t="s">
        <v>2635</v>
      </c>
      <c r="L1500">
        <f>IF(Table_TRM_Fixtures[[#This Row],[Technology]]="LED", Table_TRM_Fixtures[[#This Row],[Fixture Watts  (TRM Data)]], Table_TRM_Fixtures[[#This Row],[Lamp Watts  (TRM Data)]])</f>
        <v>1500</v>
      </c>
      <c r="M1500">
        <f>Table_TRM_Fixtures[[#This Row],[No. of Lamps  (TRM Data)]]</f>
        <v>1</v>
      </c>
      <c r="N1500" t="s">
        <v>186</v>
      </c>
      <c r="O1500" t="s">
        <v>186</v>
      </c>
      <c r="P1500" t="s">
        <v>2640</v>
      </c>
      <c r="Q1500" t="s">
        <v>2640</v>
      </c>
      <c r="R1500" t="str">
        <f>_xlfn.CONCAT(Table_TRM_Fixtures[[#This Row],[Technology]], ", ", Table_TRM_Fixtures[[#This Row],[Ballast Code]], " Ballast")</f>
        <v>Metal Halide, Magnetic Ballast</v>
      </c>
      <c r="S1500" t="str">
        <f>Table_TRM_Fixtures[[#This Row],[Description  (TRM Data)]]</f>
        <v>Metal Halide, (1) 1500W lamp, Magnetic ballast</v>
      </c>
      <c r="T1500" t="str">
        <f>Table_TRM_Fixtures[[#This Row],[Fixture code  (TRM Data)]]</f>
        <v>MH1500/1</v>
      </c>
      <c r="U1500" t="s">
        <v>2882</v>
      </c>
      <c r="V1500" t="s">
        <v>186</v>
      </c>
      <c r="W1500" t="s">
        <v>3120</v>
      </c>
      <c r="X1500" t="s">
        <v>186</v>
      </c>
      <c r="Y1500" t="str">
        <f>_xlfn.CONCAT(Table_TRM_Fixtures[[#This Row],[Combined Lighting/Ballast Types]],":",Table_TRM_Fixtures[[#This Row],[No. of Lamps]], ":", Table_TRM_Fixtures[[#This Row],[Lamp Watts  (TRM Data)]])</f>
        <v>Metal Halide, Magnetic Ballast:1:1500</v>
      </c>
      <c r="Z1500"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Metal Halide:1:1500</v>
      </c>
      <c r="AA1500">
        <f>IF(Table_TRM_Fixtures[[#This Row],[Pre-EISA Baseline]]="Nominal", Table_TRM_Fixtures[[#This Row],[Fixture Watts  (TRM Data)]], Table_TRM_Fixtures[[#This Row],[Modified Baseline Fixture Watts]])</f>
        <v>1605</v>
      </c>
    </row>
    <row r="1501" spans="1:27" x14ac:dyDescent="0.2">
      <c r="A1501" t="s">
        <v>2710</v>
      </c>
      <c r="B1501" t="s">
        <v>6009</v>
      </c>
      <c r="C1501" t="s">
        <v>2709</v>
      </c>
      <c r="D1501" t="s">
        <v>6010</v>
      </c>
      <c r="E1501" t="s">
        <v>2640</v>
      </c>
      <c r="F1501">
        <v>1</v>
      </c>
      <c r="G1501">
        <v>1650</v>
      </c>
      <c r="H1501">
        <v>1765</v>
      </c>
      <c r="J1501" s="110">
        <v>1499</v>
      </c>
      <c r="K1501" t="s">
        <v>2635</v>
      </c>
      <c r="L1501">
        <f>IF(Table_TRM_Fixtures[[#This Row],[Technology]]="LED", Table_TRM_Fixtures[[#This Row],[Fixture Watts  (TRM Data)]], Table_TRM_Fixtures[[#This Row],[Lamp Watts  (TRM Data)]])</f>
        <v>1650</v>
      </c>
      <c r="M1501">
        <f>Table_TRM_Fixtures[[#This Row],[No. of Lamps  (TRM Data)]]</f>
        <v>1</v>
      </c>
      <c r="N1501" t="s">
        <v>186</v>
      </c>
      <c r="O1501" t="s">
        <v>186</v>
      </c>
      <c r="P1501" t="s">
        <v>2640</v>
      </c>
      <c r="Q1501" t="s">
        <v>2640</v>
      </c>
      <c r="R1501" t="str">
        <f>_xlfn.CONCAT(Table_TRM_Fixtures[[#This Row],[Technology]], ", ", Table_TRM_Fixtures[[#This Row],[Ballast Code]], " Ballast")</f>
        <v>Metal Halide, Magnetic Ballast</v>
      </c>
      <c r="S1501" t="str">
        <f>Table_TRM_Fixtures[[#This Row],[Description  (TRM Data)]]</f>
        <v>Metal Halide, (1) 1650W lamp</v>
      </c>
      <c r="T1501" t="str">
        <f>Table_TRM_Fixtures[[#This Row],[Fixture code  (TRM Data)]]</f>
        <v>MH1650/1</v>
      </c>
      <c r="U1501" t="s">
        <v>2882</v>
      </c>
      <c r="V1501" t="s">
        <v>186</v>
      </c>
      <c r="W1501" t="s">
        <v>3120</v>
      </c>
      <c r="X1501" t="s">
        <v>186</v>
      </c>
      <c r="Y1501" t="str">
        <f>_xlfn.CONCAT(Table_TRM_Fixtures[[#This Row],[Combined Lighting/Ballast Types]],":",Table_TRM_Fixtures[[#This Row],[No. of Lamps]], ":", Table_TRM_Fixtures[[#This Row],[Lamp Watts  (TRM Data)]])</f>
        <v>Metal Halide, Magnetic Ballast:1:1650</v>
      </c>
      <c r="Z1501"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Metal Halide:1:1650</v>
      </c>
      <c r="AA1501">
        <f>IF(Table_TRM_Fixtures[[#This Row],[Pre-EISA Baseline]]="Nominal", Table_TRM_Fixtures[[#This Row],[Fixture Watts  (TRM Data)]], Table_TRM_Fixtures[[#This Row],[Modified Baseline Fixture Watts]])</f>
        <v>1765</v>
      </c>
    </row>
    <row r="1502" spans="1:27" x14ac:dyDescent="0.2">
      <c r="A1502" t="s">
        <v>2712</v>
      </c>
      <c r="B1502" t="s">
        <v>6011</v>
      </c>
      <c r="C1502" t="s">
        <v>2711</v>
      </c>
      <c r="D1502" t="s">
        <v>6012</v>
      </c>
      <c r="E1502" t="s">
        <v>2640</v>
      </c>
      <c r="F1502">
        <v>1</v>
      </c>
      <c r="G1502">
        <v>2000</v>
      </c>
      <c r="H1502">
        <v>2140</v>
      </c>
      <c r="J1502" s="110">
        <v>1500</v>
      </c>
      <c r="K1502" t="s">
        <v>2635</v>
      </c>
      <c r="L1502">
        <f>IF(Table_TRM_Fixtures[[#This Row],[Technology]]="LED", Table_TRM_Fixtures[[#This Row],[Fixture Watts  (TRM Data)]], Table_TRM_Fixtures[[#This Row],[Lamp Watts  (TRM Data)]])</f>
        <v>2000</v>
      </c>
      <c r="M1502">
        <f>Table_TRM_Fixtures[[#This Row],[No. of Lamps  (TRM Data)]]</f>
        <v>1</v>
      </c>
      <c r="N1502" t="s">
        <v>186</v>
      </c>
      <c r="O1502" t="s">
        <v>186</v>
      </c>
      <c r="P1502" t="s">
        <v>2640</v>
      </c>
      <c r="Q1502" t="s">
        <v>2640</v>
      </c>
      <c r="R1502" t="str">
        <f>_xlfn.CONCAT(Table_TRM_Fixtures[[#This Row],[Technology]], ", ", Table_TRM_Fixtures[[#This Row],[Ballast Code]], " Ballast")</f>
        <v>Metal Halide, Magnetic Ballast</v>
      </c>
      <c r="S1502" t="str">
        <f>Table_TRM_Fixtures[[#This Row],[Description  (TRM Data)]]</f>
        <v>Metal Halide, (1) 2000W lamp</v>
      </c>
      <c r="T1502" t="str">
        <f>Table_TRM_Fixtures[[#This Row],[Fixture code  (TRM Data)]]</f>
        <v>MH2000/1</v>
      </c>
      <c r="U1502" t="s">
        <v>2882</v>
      </c>
      <c r="V1502" t="s">
        <v>186</v>
      </c>
      <c r="W1502" t="s">
        <v>3120</v>
      </c>
      <c r="X1502" t="s">
        <v>186</v>
      </c>
      <c r="Y1502" t="str">
        <f>_xlfn.CONCAT(Table_TRM_Fixtures[[#This Row],[Combined Lighting/Ballast Types]],":",Table_TRM_Fixtures[[#This Row],[No. of Lamps]], ":", Table_TRM_Fixtures[[#This Row],[Lamp Watts  (TRM Data)]])</f>
        <v>Metal Halide, Magnetic Ballast:1:2000</v>
      </c>
      <c r="Z1502"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Metal Halide:1:2000</v>
      </c>
      <c r="AA1502">
        <f>IF(Table_TRM_Fixtures[[#This Row],[Pre-EISA Baseline]]="Nominal", Table_TRM_Fixtures[[#This Row],[Fixture Watts  (TRM Data)]], Table_TRM_Fixtures[[#This Row],[Modified Baseline Fixture Watts]])</f>
        <v>2140</v>
      </c>
    </row>
    <row r="1503" spans="1:27" x14ac:dyDescent="0.2">
      <c r="A1503" t="s">
        <v>2715</v>
      </c>
      <c r="B1503" t="s">
        <v>6013</v>
      </c>
      <c r="C1503" t="s">
        <v>2714</v>
      </c>
      <c r="D1503" t="s">
        <v>6014</v>
      </c>
      <c r="F1503">
        <v>1</v>
      </c>
      <c r="G1503">
        <v>40</v>
      </c>
      <c r="H1503">
        <v>50</v>
      </c>
      <c r="J1503" s="110">
        <v>1501</v>
      </c>
      <c r="K1503" t="s">
        <v>2713</v>
      </c>
      <c r="L1503">
        <f>IF(Table_TRM_Fixtures[[#This Row],[Technology]]="LED", Table_TRM_Fixtures[[#This Row],[Fixture Watts  (TRM Data)]], Table_TRM_Fixtures[[#This Row],[Lamp Watts  (TRM Data)]])</f>
        <v>40</v>
      </c>
      <c r="M1503">
        <f>Table_TRM_Fixtures[[#This Row],[No. of Lamps  (TRM Data)]]</f>
        <v>1</v>
      </c>
      <c r="N1503" t="s">
        <v>186</v>
      </c>
      <c r="O1503" t="s">
        <v>186</v>
      </c>
      <c r="R1503" t="s">
        <v>2713</v>
      </c>
      <c r="S1503" t="str">
        <f>Table_TRM_Fixtures[[#This Row],[Description  (TRM Data)]]</f>
        <v>Mercury Vapor, (1) 40W lamp</v>
      </c>
      <c r="T1503" t="str">
        <f>Table_TRM_Fixtures[[#This Row],[Fixture code  (TRM Data)]]</f>
        <v>MV40/1</v>
      </c>
      <c r="U1503" t="s">
        <v>2882</v>
      </c>
      <c r="V1503" t="s">
        <v>186</v>
      </c>
      <c r="W1503" t="s">
        <v>3120</v>
      </c>
      <c r="X1503" t="s">
        <v>186</v>
      </c>
      <c r="Y1503" t="str">
        <f>_xlfn.CONCAT(Table_TRM_Fixtures[[#This Row],[Combined Lighting/Ballast Types]],":",Table_TRM_Fixtures[[#This Row],[No. of Lamps]], ":", Table_TRM_Fixtures[[#This Row],[Lamp Watts  (TRM Data)]])</f>
        <v>Mercury Vapor:1:40</v>
      </c>
      <c r="Z1503"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Mercury Vapor:1:40</v>
      </c>
      <c r="AA1503">
        <f>IF(Table_TRM_Fixtures[[#This Row],[Pre-EISA Baseline]]="Nominal", Table_TRM_Fixtures[[#This Row],[Fixture Watts  (TRM Data)]], Table_TRM_Fixtures[[#This Row],[Modified Baseline Fixture Watts]])</f>
        <v>50</v>
      </c>
    </row>
    <row r="1504" spans="1:27" x14ac:dyDescent="0.2">
      <c r="A1504" t="s">
        <v>2717</v>
      </c>
      <c r="B1504" t="s">
        <v>6015</v>
      </c>
      <c r="C1504" t="s">
        <v>2716</v>
      </c>
      <c r="D1504" t="s">
        <v>6016</v>
      </c>
      <c r="F1504">
        <v>1</v>
      </c>
      <c r="G1504">
        <v>50</v>
      </c>
      <c r="H1504">
        <v>74</v>
      </c>
      <c r="J1504" s="110">
        <v>1502</v>
      </c>
      <c r="K1504" t="s">
        <v>2713</v>
      </c>
      <c r="L1504">
        <f>IF(Table_TRM_Fixtures[[#This Row],[Technology]]="LED", Table_TRM_Fixtures[[#This Row],[Fixture Watts  (TRM Data)]], Table_TRM_Fixtures[[#This Row],[Lamp Watts  (TRM Data)]])</f>
        <v>50</v>
      </c>
      <c r="M1504">
        <f>Table_TRM_Fixtures[[#This Row],[No. of Lamps  (TRM Data)]]</f>
        <v>1</v>
      </c>
      <c r="N1504" t="s">
        <v>186</v>
      </c>
      <c r="O1504" t="s">
        <v>186</v>
      </c>
      <c r="R1504" t="s">
        <v>2713</v>
      </c>
      <c r="S1504" t="str">
        <f>Table_TRM_Fixtures[[#This Row],[Description  (TRM Data)]]</f>
        <v>Mercury Vapor, (1) 50W lamp</v>
      </c>
      <c r="T1504" t="str">
        <f>Table_TRM_Fixtures[[#This Row],[Fixture code  (TRM Data)]]</f>
        <v>MV50/1</v>
      </c>
      <c r="U1504" t="s">
        <v>2882</v>
      </c>
      <c r="V1504" t="s">
        <v>186</v>
      </c>
      <c r="W1504" t="s">
        <v>3120</v>
      </c>
      <c r="X1504" t="s">
        <v>186</v>
      </c>
      <c r="Y1504" t="str">
        <f>_xlfn.CONCAT(Table_TRM_Fixtures[[#This Row],[Combined Lighting/Ballast Types]],":",Table_TRM_Fixtures[[#This Row],[No. of Lamps]], ":", Table_TRM_Fixtures[[#This Row],[Lamp Watts  (TRM Data)]])</f>
        <v>Mercury Vapor:1:50</v>
      </c>
      <c r="Z1504"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Mercury Vapor:1:50</v>
      </c>
      <c r="AA1504">
        <f>IF(Table_TRM_Fixtures[[#This Row],[Pre-EISA Baseline]]="Nominal", Table_TRM_Fixtures[[#This Row],[Fixture Watts  (TRM Data)]], Table_TRM_Fixtures[[#This Row],[Modified Baseline Fixture Watts]])</f>
        <v>74</v>
      </c>
    </row>
    <row r="1505" spans="1:27" x14ac:dyDescent="0.2">
      <c r="A1505" t="s">
        <v>2719</v>
      </c>
      <c r="B1505" t="s">
        <v>6017</v>
      </c>
      <c r="C1505" t="s">
        <v>2718</v>
      </c>
      <c r="D1505" t="s">
        <v>6018</v>
      </c>
      <c r="F1505">
        <v>1</v>
      </c>
      <c r="G1505">
        <v>75</v>
      </c>
      <c r="H1505">
        <v>93</v>
      </c>
      <c r="J1505" s="110">
        <v>1503</v>
      </c>
      <c r="K1505" t="s">
        <v>2713</v>
      </c>
      <c r="L1505">
        <f>IF(Table_TRM_Fixtures[[#This Row],[Technology]]="LED", Table_TRM_Fixtures[[#This Row],[Fixture Watts  (TRM Data)]], Table_TRM_Fixtures[[#This Row],[Lamp Watts  (TRM Data)]])</f>
        <v>75</v>
      </c>
      <c r="M1505">
        <f>Table_TRM_Fixtures[[#This Row],[No. of Lamps  (TRM Data)]]</f>
        <v>1</v>
      </c>
      <c r="N1505" t="s">
        <v>186</v>
      </c>
      <c r="O1505" t="s">
        <v>186</v>
      </c>
      <c r="R1505" t="s">
        <v>2713</v>
      </c>
      <c r="S1505" t="str">
        <f>Table_TRM_Fixtures[[#This Row],[Description  (TRM Data)]]</f>
        <v>Mercury Vapor, (1) 75W lamp</v>
      </c>
      <c r="T1505" t="str">
        <f>Table_TRM_Fixtures[[#This Row],[Fixture code  (TRM Data)]]</f>
        <v>MV75/1</v>
      </c>
      <c r="U1505" t="s">
        <v>2882</v>
      </c>
      <c r="V1505" t="s">
        <v>186</v>
      </c>
      <c r="W1505" t="s">
        <v>3120</v>
      </c>
      <c r="X1505" t="s">
        <v>186</v>
      </c>
      <c r="Y1505" t="str">
        <f>_xlfn.CONCAT(Table_TRM_Fixtures[[#This Row],[Combined Lighting/Ballast Types]],":",Table_TRM_Fixtures[[#This Row],[No. of Lamps]], ":", Table_TRM_Fixtures[[#This Row],[Lamp Watts  (TRM Data)]])</f>
        <v>Mercury Vapor:1:75</v>
      </c>
      <c r="Z1505"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Mercury Vapor:1:75</v>
      </c>
      <c r="AA1505">
        <f>IF(Table_TRM_Fixtures[[#This Row],[Pre-EISA Baseline]]="Nominal", Table_TRM_Fixtures[[#This Row],[Fixture Watts  (TRM Data)]], Table_TRM_Fixtures[[#This Row],[Modified Baseline Fixture Watts]])</f>
        <v>93</v>
      </c>
    </row>
    <row r="1506" spans="1:27" x14ac:dyDescent="0.2">
      <c r="A1506" t="s">
        <v>2721</v>
      </c>
      <c r="B1506" t="s">
        <v>6019</v>
      </c>
      <c r="C1506" t="s">
        <v>2720</v>
      </c>
      <c r="D1506" t="s">
        <v>6020</v>
      </c>
      <c r="F1506">
        <v>1</v>
      </c>
      <c r="G1506">
        <v>100</v>
      </c>
      <c r="H1506">
        <v>125</v>
      </c>
      <c r="J1506" s="110">
        <v>1504</v>
      </c>
      <c r="K1506" t="s">
        <v>2713</v>
      </c>
      <c r="L1506">
        <f>IF(Table_TRM_Fixtures[[#This Row],[Technology]]="LED", Table_TRM_Fixtures[[#This Row],[Fixture Watts  (TRM Data)]], Table_TRM_Fixtures[[#This Row],[Lamp Watts  (TRM Data)]])</f>
        <v>100</v>
      </c>
      <c r="M1506">
        <f>Table_TRM_Fixtures[[#This Row],[No. of Lamps  (TRM Data)]]</f>
        <v>1</v>
      </c>
      <c r="N1506" t="s">
        <v>186</v>
      </c>
      <c r="O1506" t="s">
        <v>186</v>
      </c>
      <c r="R1506" t="s">
        <v>2713</v>
      </c>
      <c r="S1506" t="str">
        <f>Table_TRM_Fixtures[[#This Row],[Description  (TRM Data)]]</f>
        <v>Mercury Vapor, (1) 100W lamp</v>
      </c>
      <c r="T1506" t="str">
        <f>Table_TRM_Fixtures[[#This Row],[Fixture code  (TRM Data)]]</f>
        <v>MV100/1</v>
      </c>
      <c r="U1506" t="s">
        <v>2882</v>
      </c>
      <c r="V1506" t="s">
        <v>186</v>
      </c>
      <c r="W1506" t="s">
        <v>3120</v>
      </c>
      <c r="X1506" t="s">
        <v>186</v>
      </c>
      <c r="Y1506" t="str">
        <f>_xlfn.CONCAT(Table_TRM_Fixtures[[#This Row],[Combined Lighting/Ballast Types]],":",Table_TRM_Fixtures[[#This Row],[No. of Lamps]], ":", Table_TRM_Fixtures[[#This Row],[Lamp Watts  (TRM Data)]])</f>
        <v>Mercury Vapor:1:100</v>
      </c>
      <c r="Z1506"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Mercury Vapor:1:100</v>
      </c>
      <c r="AA1506">
        <f>IF(Table_TRM_Fixtures[[#This Row],[Pre-EISA Baseline]]="Nominal", Table_TRM_Fixtures[[#This Row],[Fixture Watts  (TRM Data)]], Table_TRM_Fixtures[[#This Row],[Modified Baseline Fixture Watts]])</f>
        <v>125</v>
      </c>
    </row>
    <row r="1507" spans="1:27" x14ac:dyDescent="0.2">
      <c r="A1507" t="s">
        <v>2723</v>
      </c>
      <c r="B1507" t="s">
        <v>6021</v>
      </c>
      <c r="C1507" t="s">
        <v>2722</v>
      </c>
      <c r="D1507" t="s">
        <v>6022</v>
      </c>
      <c r="F1507">
        <v>1</v>
      </c>
      <c r="G1507">
        <v>160</v>
      </c>
      <c r="H1507">
        <v>160</v>
      </c>
      <c r="J1507" s="110">
        <v>1505</v>
      </c>
      <c r="K1507" t="s">
        <v>2713</v>
      </c>
      <c r="L1507">
        <f>IF(Table_TRM_Fixtures[[#This Row],[Technology]]="LED", Table_TRM_Fixtures[[#This Row],[Fixture Watts  (TRM Data)]], Table_TRM_Fixtures[[#This Row],[Lamp Watts  (TRM Data)]])</f>
        <v>160</v>
      </c>
      <c r="M1507">
        <f>Table_TRM_Fixtures[[#This Row],[No. of Lamps  (TRM Data)]]</f>
        <v>1</v>
      </c>
      <c r="N1507" t="s">
        <v>186</v>
      </c>
      <c r="O1507" t="s">
        <v>186</v>
      </c>
      <c r="R1507" t="s">
        <v>2713</v>
      </c>
      <c r="S1507" t="str">
        <f>Table_TRM_Fixtures[[#This Row],[Description  (TRM Data)]]</f>
        <v>Mercury Vapor, Self-Ballasted, (1) 160W self-ballasted lamp</v>
      </c>
      <c r="T1507" t="str">
        <f>Table_TRM_Fixtures[[#This Row],[Fixture code  (TRM Data)]]</f>
        <v>MV160/1</v>
      </c>
      <c r="U1507" t="s">
        <v>2882</v>
      </c>
      <c r="V1507" t="s">
        <v>186</v>
      </c>
      <c r="W1507" t="s">
        <v>3120</v>
      </c>
      <c r="X1507" t="s">
        <v>186</v>
      </c>
      <c r="Y1507" t="str">
        <f>_xlfn.CONCAT(Table_TRM_Fixtures[[#This Row],[Combined Lighting/Ballast Types]],":",Table_TRM_Fixtures[[#This Row],[No. of Lamps]], ":", Table_TRM_Fixtures[[#This Row],[Lamp Watts  (TRM Data)]])</f>
        <v>Mercury Vapor:1:160</v>
      </c>
      <c r="Z1507"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Mercury Vapor:1:160</v>
      </c>
      <c r="AA1507">
        <f>IF(Table_TRM_Fixtures[[#This Row],[Pre-EISA Baseline]]="Nominal", Table_TRM_Fixtures[[#This Row],[Fixture Watts  (TRM Data)]], Table_TRM_Fixtures[[#This Row],[Modified Baseline Fixture Watts]])</f>
        <v>160</v>
      </c>
    </row>
    <row r="1508" spans="1:27" x14ac:dyDescent="0.2">
      <c r="A1508" t="s">
        <v>2725</v>
      </c>
      <c r="B1508" t="s">
        <v>6023</v>
      </c>
      <c r="C1508" t="s">
        <v>2724</v>
      </c>
      <c r="D1508" t="s">
        <v>6024</v>
      </c>
      <c r="F1508">
        <v>1</v>
      </c>
      <c r="G1508">
        <v>175</v>
      </c>
      <c r="H1508">
        <v>205</v>
      </c>
      <c r="J1508" s="110">
        <v>1506</v>
      </c>
      <c r="K1508" t="s">
        <v>2713</v>
      </c>
      <c r="L1508">
        <f>IF(Table_TRM_Fixtures[[#This Row],[Technology]]="LED", Table_TRM_Fixtures[[#This Row],[Fixture Watts  (TRM Data)]], Table_TRM_Fixtures[[#This Row],[Lamp Watts  (TRM Data)]])</f>
        <v>175</v>
      </c>
      <c r="M1508">
        <f>Table_TRM_Fixtures[[#This Row],[No. of Lamps  (TRM Data)]]</f>
        <v>1</v>
      </c>
      <c r="N1508" t="s">
        <v>186</v>
      </c>
      <c r="O1508" t="s">
        <v>186</v>
      </c>
      <c r="R1508" t="s">
        <v>2713</v>
      </c>
      <c r="S1508" t="str">
        <f>Table_TRM_Fixtures[[#This Row],[Description  (TRM Data)]]</f>
        <v>Mercury Vapor, (1) 175W lamp</v>
      </c>
      <c r="T1508" t="str">
        <f>Table_TRM_Fixtures[[#This Row],[Fixture code  (TRM Data)]]</f>
        <v>MV175/1</v>
      </c>
      <c r="U1508" t="s">
        <v>2882</v>
      </c>
      <c r="V1508" t="s">
        <v>186</v>
      </c>
      <c r="W1508" t="s">
        <v>3120</v>
      </c>
      <c r="X1508" t="s">
        <v>186</v>
      </c>
      <c r="Y1508" t="str">
        <f>_xlfn.CONCAT(Table_TRM_Fixtures[[#This Row],[Combined Lighting/Ballast Types]],":",Table_TRM_Fixtures[[#This Row],[No. of Lamps]], ":", Table_TRM_Fixtures[[#This Row],[Lamp Watts  (TRM Data)]])</f>
        <v>Mercury Vapor:1:175</v>
      </c>
      <c r="Z1508"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Mercury Vapor:1:175</v>
      </c>
      <c r="AA1508">
        <f>IF(Table_TRM_Fixtures[[#This Row],[Pre-EISA Baseline]]="Nominal", Table_TRM_Fixtures[[#This Row],[Fixture Watts  (TRM Data)]], Table_TRM_Fixtures[[#This Row],[Modified Baseline Fixture Watts]])</f>
        <v>205</v>
      </c>
    </row>
    <row r="1509" spans="1:27" x14ac:dyDescent="0.2">
      <c r="A1509" t="s">
        <v>2727</v>
      </c>
      <c r="B1509" t="s">
        <v>6025</v>
      </c>
      <c r="C1509" t="s">
        <v>2726</v>
      </c>
      <c r="D1509" t="s">
        <v>6026</v>
      </c>
      <c r="F1509">
        <v>1</v>
      </c>
      <c r="G1509">
        <v>250</v>
      </c>
      <c r="H1509">
        <v>290</v>
      </c>
      <c r="J1509" s="110">
        <v>1507</v>
      </c>
      <c r="K1509" t="s">
        <v>2713</v>
      </c>
      <c r="L1509">
        <f>IF(Table_TRM_Fixtures[[#This Row],[Technology]]="LED", Table_TRM_Fixtures[[#This Row],[Fixture Watts  (TRM Data)]], Table_TRM_Fixtures[[#This Row],[Lamp Watts  (TRM Data)]])</f>
        <v>250</v>
      </c>
      <c r="M1509">
        <f>Table_TRM_Fixtures[[#This Row],[No. of Lamps  (TRM Data)]]</f>
        <v>1</v>
      </c>
      <c r="N1509" t="s">
        <v>186</v>
      </c>
      <c r="O1509" t="s">
        <v>186</v>
      </c>
      <c r="R1509" t="s">
        <v>2713</v>
      </c>
      <c r="S1509" t="str">
        <f>Table_TRM_Fixtures[[#This Row],[Description  (TRM Data)]]</f>
        <v>Mercury Vapor, (1) 250W lamp</v>
      </c>
      <c r="T1509" t="str">
        <f>Table_TRM_Fixtures[[#This Row],[Fixture code  (TRM Data)]]</f>
        <v>MV250/1</v>
      </c>
      <c r="U1509" t="s">
        <v>2882</v>
      </c>
      <c r="V1509" t="s">
        <v>186</v>
      </c>
      <c r="W1509" t="s">
        <v>3120</v>
      </c>
      <c r="X1509" t="s">
        <v>186</v>
      </c>
      <c r="Y1509" t="str">
        <f>_xlfn.CONCAT(Table_TRM_Fixtures[[#This Row],[Combined Lighting/Ballast Types]],":",Table_TRM_Fixtures[[#This Row],[No. of Lamps]], ":", Table_TRM_Fixtures[[#This Row],[Lamp Watts  (TRM Data)]])</f>
        <v>Mercury Vapor:1:250</v>
      </c>
      <c r="Z1509"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Mercury Vapor:1:250</v>
      </c>
      <c r="AA1509">
        <f>IF(Table_TRM_Fixtures[[#This Row],[Pre-EISA Baseline]]="Nominal", Table_TRM_Fixtures[[#This Row],[Fixture Watts  (TRM Data)]], Table_TRM_Fixtures[[#This Row],[Modified Baseline Fixture Watts]])</f>
        <v>290</v>
      </c>
    </row>
    <row r="1510" spans="1:27" x14ac:dyDescent="0.2">
      <c r="A1510" t="s">
        <v>2729</v>
      </c>
      <c r="B1510" t="s">
        <v>6027</v>
      </c>
      <c r="C1510" t="s">
        <v>2728</v>
      </c>
      <c r="D1510" t="s">
        <v>6028</v>
      </c>
      <c r="F1510">
        <v>1</v>
      </c>
      <c r="G1510">
        <v>400</v>
      </c>
      <c r="H1510">
        <v>455</v>
      </c>
      <c r="J1510" s="110">
        <v>1508</v>
      </c>
      <c r="K1510" t="s">
        <v>2713</v>
      </c>
      <c r="L1510">
        <f>IF(Table_TRM_Fixtures[[#This Row],[Technology]]="LED", Table_TRM_Fixtures[[#This Row],[Fixture Watts  (TRM Data)]], Table_TRM_Fixtures[[#This Row],[Lamp Watts  (TRM Data)]])</f>
        <v>400</v>
      </c>
      <c r="M1510">
        <f>Table_TRM_Fixtures[[#This Row],[No. of Lamps  (TRM Data)]]</f>
        <v>1</v>
      </c>
      <c r="N1510" t="s">
        <v>186</v>
      </c>
      <c r="O1510" t="s">
        <v>186</v>
      </c>
      <c r="R1510" t="s">
        <v>2713</v>
      </c>
      <c r="S1510" t="str">
        <f>Table_TRM_Fixtures[[#This Row],[Description  (TRM Data)]]</f>
        <v>Mercury Vapor, (1) 400W lamp</v>
      </c>
      <c r="T1510" t="str">
        <f>Table_TRM_Fixtures[[#This Row],[Fixture code  (TRM Data)]]</f>
        <v>MV400/1</v>
      </c>
      <c r="U1510" t="s">
        <v>2882</v>
      </c>
      <c r="V1510" t="s">
        <v>186</v>
      </c>
      <c r="W1510" t="s">
        <v>3120</v>
      </c>
      <c r="X1510" t="s">
        <v>186</v>
      </c>
      <c r="Y1510" t="str">
        <f>_xlfn.CONCAT(Table_TRM_Fixtures[[#This Row],[Combined Lighting/Ballast Types]],":",Table_TRM_Fixtures[[#This Row],[No. of Lamps]], ":", Table_TRM_Fixtures[[#This Row],[Lamp Watts  (TRM Data)]])</f>
        <v>Mercury Vapor:1:400</v>
      </c>
      <c r="Z1510"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Mercury Vapor:1:400</v>
      </c>
      <c r="AA1510">
        <f>IF(Table_TRM_Fixtures[[#This Row],[Pre-EISA Baseline]]="Nominal", Table_TRM_Fixtures[[#This Row],[Fixture Watts  (TRM Data)]], Table_TRM_Fixtures[[#This Row],[Modified Baseline Fixture Watts]])</f>
        <v>455</v>
      </c>
    </row>
    <row r="1511" spans="1:27" x14ac:dyDescent="0.2">
      <c r="A1511" t="s">
        <v>2731</v>
      </c>
      <c r="B1511" t="s">
        <v>6029</v>
      </c>
      <c r="C1511" t="s">
        <v>2730</v>
      </c>
      <c r="D1511" t="s">
        <v>6030</v>
      </c>
      <c r="F1511">
        <v>1</v>
      </c>
      <c r="G1511">
        <v>700</v>
      </c>
      <c r="H1511">
        <v>780</v>
      </c>
      <c r="J1511" s="110">
        <v>1509</v>
      </c>
      <c r="K1511" t="s">
        <v>2713</v>
      </c>
      <c r="L1511">
        <f>IF(Table_TRM_Fixtures[[#This Row],[Technology]]="LED", Table_TRM_Fixtures[[#This Row],[Fixture Watts  (TRM Data)]], Table_TRM_Fixtures[[#This Row],[Lamp Watts  (TRM Data)]])</f>
        <v>700</v>
      </c>
      <c r="M1511">
        <f>Table_TRM_Fixtures[[#This Row],[No. of Lamps  (TRM Data)]]</f>
        <v>1</v>
      </c>
      <c r="N1511" t="s">
        <v>186</v>
      </c>
      <c r="O1511" t="s">
        <v>186</v>
      </c>
      <c r="R1511" t="s">
        <v>2713</v>
      </c>
      <c r="S1511" t="str">
        <f>Table_TRM_Fixtures[[#This Row],[Description  (TRM Data)]]</f>
        <v>Mercury Vapor, (1) 700W lamp</v>
      </c>
      <c r="T1511" t="str">
        <f>Table_TRM_Fixtures[[#This Row],[Fixture code  (TRM Data)]]</f>
        <v>MV700/1</v>
      </c>
      <c r="U1511" t="s">
        <v>2882</v>
      </c>
      <c r="V1511" t="s">
        <v>186</v>
      </c>
      <c r="W1511" t="s">
        <v>3120</v>
      </c>
      <c r="X1511" t="s">
        <v>186</v>
      </c>
      <c r="Y1511" t="str">
        <f>_xlfn.CONCAT(Table_TRM_Fixtures[[#This Row],[Combined Lighting/Ballast Types]],":",Table_TRM_Fixtures[[#This Row],[No. of Lamps]], ":", Table_TRM_Fixtures[[#This Row],[Lamp Watts  (TRM Data)]])</f>
        <v>Mercury Vapor:1:700</v>
      </c>
      <c r="Z1511"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Mercury Vapor:1:700</v>
      </c>
      <c r="AA1511">
        <f>IF(Table_TRM_Fixtures[[#This Row],[Pre-EISA Baseline]]="Nominal", Table_TRM_Fixtures[[#This Row],[Fixture Watts  (TRM Data)]], Table_TRM_Fixtures[[#This Row],[Modified Baseline Fixture Watts]])</f>
        <v>780</v>
      </c>
    </row>
    <row r="1512" spans="1:27" x14ac:dyDescent="0.2">
      <c r="A1512" t="s">
        <v>2733</v>
      </c>
      <c r="B1512" t="s">
        <v>6031</v>
      </c>
      <c r="C1512" t="s">
        <v>2732</v>
      </c>
      <c r="D1512" t="s">
        <v>6032</v>
      </c>
      <c r="F1512">
        <v>1</v>
      </c>
      <c r="G1512">
        <v>1000</v>
      </c>
      <c r="H1512">
        <v>1075</v>
      </c>
      <c r="J1512" s="110">
        <v>1510</v>
      </c>
      <c r="K1512" t="s">
        <v>2713</v>
      </c>
      <c r="L1512">
        <f>IF(Table_TRM_Fixtures[[#This Row],[Technology]]="LED", Table_TRM_Fixtures[[#This Row],[Fixture Watts  (TRM Data)]], Table_TRM_Fixtures[[#This Row],[Lamp Watts  (TRM Data)]])</f>
        <v>1000</v>
      </c>
      <c r="M1512">
        <f>Table_TRM_Fixtures[[#This Row],[No. of Lamps  (TRM Data)]]</f>
        <v>1</v>
      </c>
      <c r="N1512" t="s">
        <v>186</v>
      </c>
      <c r="O1512" t="s">
        <v>186</v>
      </c>
      <c r="R1512" t="s">
        <v>2713</v>
      </c>
      <c r="S1512" t="str">
        <f>Table_TRM_Fixtures[[#This Row],[Description  (TRM Data)]]</f>
        <v>Mercury Vapor, (1) 1000W lamp</v>
      </c>
      <c r="T1512" t="str">
        <f>Table_TRM_Fixtures[[#This Row],[Fixture code  (TRM Data)]]</f>
        <v>MV1000/1</v>
      </c>
      <c r="U1512" t="s">
        <v>2882</v>
      </c>
      <c r="V1512" t="s">
        <v>186</v>
      </c>
      <c r="W1512" t="s">
        <v>3120</v>
      </c>
      <c r="X1512" t="s">
        <v>186</v>
      </c>
      <c r="Y1512" t="str">
        <f>_xlfn.CONCAT(Table_TRM_Fixtures[[#This Row],[Combined Lighting/Ballast Types]],":",Table_TRM_Fixtures[[#This Row],[No. of Lamps]], ":", Table_TRM_Fixtures[[#This Row],[Lamp Watts  (TRM Data)]])</f>
        <v>Mercury Vapor:1:1000</v>
      </c>
      <c r="Z1512"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Mercury Vapor:1:1000</v>
      </c>
      <c r="AA1512">
        <f>IF(Table_TRM_Fixtures[[#This Row],[Pre-EISA Baseline]]="Nominal", Table_TRM_Fixtures[[#This Row],[Fixture Watts  (TRM Data)]], Table_TRM_Fixtures[[#This Row],[Modified Baseline Fixture Watts]])</f>
        <v>1075</v>
      </c>
    </row>
    <row r="1513" spans="1:27" x14ac:dyDescent="0.2">
      <c r="A1513" t="s">
        <v>6033</v>
      </c>
      <c r="B1513" t="s">
        <v>6033</v>
      </c>
      <c r="C1513" t="s">
        <v>6034</v>
      </c>
      <c r="D1513" t="s">
        <v>6035</v>
      </c>
      <c r="F1513">
        <v>1</v>
      </c>
      <c r="G1513">
        <v>20</v>
      </c>
      <c r="H1513">
        <v>20</v>
      </c>
      <c r="J1513" s="110">
        <v>1524</v>
      </c>
      <c r="K1513" t="s">
        <v>2946</v>
      </c>
      <c r="L1513">
        <f>IF(Table_TRM_Fixtures[[#This Row],[Technology]]="LED", Table_TRM_Fixtures[[#This Row],[Fixture Watts  (TRM Data)]], Table_TRM_Fixtures[[#This Row],[Lamp Watts  (TRM Data)]])</f>
        <v>20</v>
      </c>
      <c r="M1513">
        <f>Table_TRM_Fixtures[[#This Row],[No. of Lamps  (TRM Data)]]</f>
        <v>1</v>
      </c>
      <c r="N1513" t="s">
        <v>186</v>
      </c>
      <c r="O1513" t="s">
        <v>186</v>
      </c>
      <c r="R1513" t="s">
        <v>2946</v>
      </c>
      <c r="S1513" t="str">
        <f>Table_TRM_Fixtures[[#This Row],[Description  (TRM Data)]]</f>
        <v>Halogen/Incandescent, (1) 20W lamp</v>
      </c>
      <c r="T1513" t="str">
        <f>Table_TRM_Fixtures[[#This Row],[Fixture code  (TRM Data)]]</f>
        <v>H20/1</v>
      </c>
      <c r="U1513" t="s">
        <v>2882</v>
      </c>
      <c r="V1513" t="s">
        <v>186</v>
      </c>
      <c r="W1513" t="s">
        <v>3120</v>
      </c>
      <c r="X1513" t="s">
        <v>186</v>
      </c>
      <c r="Y1513" t="str">
        <f>_xlfn.CONCAT(Table_TRM_Fixtures[[#This Row],[Combined Lighting/Ballast Types]],":",Table_TRM_Fixtures[[#This Row],[No. of Lamps]], ":", Table_TRM_Fixtures[[#This Row],[Lamp Watts  (TRM Data)]])</f>
        <v>Halogen/Incandescent:1:20</v>
      </c>
      <c r="Z1513"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Halogen/Incandescent:1:20</v>
      </c>
      <c r="AA1513">
        <f>IF(Table_TRM_Fixtures[[#This Row],[Pre-EISA Baseline]]="Nominal", Table_TRM_Fixtures[[#This Row],[Fixture Watts  (TRM Data)]], Table_TRM_Fixtures[[#This Row],[Modified Baseline Fixture Watts]])</f>
        <v>20</v>
      </c>
    </row>
    <row r="1514" spans="1:27" x14ac:dyDescent="0.2">
      <c r="A1514" t="s">
        <v>6036</v>
      </c>
      <c r="B1514" t="s">
        <v>6036</v>
      </c>
      <c r="C1514" t="s">
        <v>6037</v>
      </c>
      <c r="D1514" t="s">
        <v>6038</v>
      </c>
      <c r="F1514">
        <v>1</v>
      </c>
      <c r="G1514">
        <v>21</v>
      </c>
      <c r="H1514">
        <v>21</v>
      </c>
      <c r="J1514" s="110">
        <v>1525</v>
      </c>
      <c r="K1514" t="s">
        <v>2946</v>
      </c>
      <c r="L1514">
        <f>IF(Table_TRM_Fixtures[[#This Row],[Technology]]="LED", Table_TRM_Fixtures[[#This Row],[Fixture Watts  (TRM Data)]], Table_TRM_Fixtures[[#This Row],[Lamp Watts  (TRM Data)]])</f>
        <v>21</v>
      </c>
      <c r="M1514">
        <f>Table_TRM_Fixtures[[#This Row],[No. of Lamps  (TRM Data)]]</f>
        <v>1</v>
      </c>
      <c r="N1514" t="s">
        <v>186</v>
      </c>
      <c r="O1514" t="s">
        <v>186</v>
      </c>
      <c r="R1514" t="s">
        <v>2946</v>
      </c>
      <c r="S1514" t="str">
        <f>Table_TRM_Fixtures[[#This Row],[Description  (TRM Data)]]</f>
        <v>Halogen/Incandescent, (1) 21W lamp</v>
      </c>
      <c r="T1514" t="str">
        <f>Table_TRM_Fixtures[[#This Row],[Fixture code  (TRM Data)]]</f>
        <v>H21/1</v>
      </c>
      <c r="U1514" t="s">
        <v>2882</v>
      </c>
      <c r="V1514" t="s">
        <v>186</v>
      </c>
      <c r="W1514" t="s">
        <v>3120</v>
      </c>
      <c r="X1514" t="s">
        <v>186</v>
      </c>
      <c r="Y1514" t="str">
        <f>_xlfn.CONCAT(Table_TRM_Fixtures[[#This Row],[Combined Lighting/Ballast Types]],":",Table_TRM_Fixtures[[#This Row],[No. of Lamps]], ":", Table_TRM_Fixtures[[#This Row],[Lamp Watts  (TRM Data)]])</f>
        <v>Halogen/Incandescent:1:21</v>
      </c>
      <c r="Z1514"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Halogen/Incandescent:1:21</v>
      </c>
      <c r="AA1514">
        <f>IF(Table_TRM_Fixtures[[#This Row],[Pre-EISA Baseline]]="Nominal", Table_TRM_Fixtures[[#This Row],[Fixture Watts  (TRM Data)]], Table_TRM_Fixtures[[#This Row],[Modified Baseline Fixture Watts]])</f>
        <v>21</v>
      </c>
    </row>
    <row r="1515" spans="1:27" x14ac:dyDescent="0.2">
      <c r="A1515" t="s">
        <v>6039</v>
      </c>
      <c r="B1515" t="s">
        <v>6039</v>
      </c>
      <c r="C1515" t="s">
        <v>6040</v>
      </c>
      <c r="D1515" t="s">
        <v>6041</v>
      </c>
      <c r="F1515">
        <v>1</v>
      </c>
      <c r="G1515">
        <v>22</v>
      </c>
      <c r="H1515">
        <v>22</v>
      </c>
      <c r="J1515" s="110">
        <v>1526</v>
      </c>
      <c r="K1515" t="s">
        <v>2946</v>
      </c>
      <c r="L1515">
        <f>IF(Table_TRM_Fixtures[[#This Row],[Technology]]="LED", Table_TRM_Fixtures[[#This Row],[Fixture Watts  (TRM Data)]], Table_TRM_Fixtures[[#This Row],[Lamp Watts  (TRM Data)]])</f>
        <v>22</v>
      </c>
      <c r="M1515">
        <f>Table_TRM_Fixtures[[#This Row],[No. of Lamps  (TRM Data)]]</f>
        <v>1</v>
      </c>
      <c r="N1515" t="s">
        <v>186</v>
      </c>
      <c r="O1515" t="s">
        <v>186</v>
      </c>
      <c r="R1515" t="s">
        <v>2946</v>
      </c>
      <c r="S1515" t="str">
        <f>Table_TRM_Fixtures[[#This Row],[Description  (TRM Data)]]</f>
        <v>Halogen/Incandescent, (1) 22W lamp</v>
      </c>
      <c r="T1515" t="str">
        <f>Table_TRM_Fixtures[[#This Row],[Fixture code  (TRM Data)]]</f>
        <v>H22/1</v>
      </c>
      <c r="U1515" t="s">
        <v>2882</v>
      </c>
      <c r="V1515" t="s">
        <v>186</v>
      </c>
      <c r="W1515" t="s">
        <v>3120</v>
      </c>
      <c r="X1515" t="s">
        <v>186</v>
      </c>
      <c r="Y1515" t="str">
        <f>_xlfn.CONCAT(Table_TRM_Fixtures[[#This Row],[Combined Lighting/Ballast Types]],":",Table_TRM_Fixtures[[#This Row],[No. of Lamps]], ":", Table_TRM_Fixtures[[#This Row],[Lamp Watts  (TRM Data)]])</f>
        <v>Halogen/Incandescent:1:22</v>
      </c>
      <c r="Z1515"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Halogen/Incandescent:1:22</v>
      </c>
      <c r="AA1515">
        <f>IF(Table_TRM_Fixtures[[#This Row],[Pre-EISA Baseline]]="Nominal", Table_TRM_Fixtures[[#This Row],[Fixture Watts  (TRM Data)]], Table_TRM_Fixtures[[#This Row],[Modified Baseline Fixture Watts]])</f>
        <v>22</v>
      </c>
    </row>
    <row r="1516" spans="1:27" x14ac:dyDescent="0.2">
      <c r="A1516" t="s">
        <v>6042</v>
      </c>
      <c r="B1516" t="s">
        <v>6042</v>
      </c>
      <c r="C1516" t="s">
        <v>6043</v>
      </c>
      <c r="D1516" t="s">
        <v>6044</v>
      </c>
      <c r="F1516">
        <v>1</v>
      </c>
      <c r="G1516">
        <v>23</v>
      </c>
      <c r="H1516">
        <v>23</v>
      </c>
      <c r="J1516" s="110">
        <v>1527</v>
      </c>
      <c r="K1516" t="s">
        <v>2946</v>
      </c>
      <c r="L1516">
        <f>IF(Table_TRM_Fixtures[[#This Row],[Technology]]="LED", Table_TRM_Fixtures[[#This Row],[Fixture Watts  (TRM Data)]], Table_TRM_Fixtures[[#This Row],[Lamp Watts  (TRM Data)]])</f>
        <v>23</v>
      </c>
      <c r="M1516">
        <f>Table_TRM_Fixtures[[#This Row],[No. of Lamps  (TRM Data)]]</f>
        <v>1</v>
      </c>
      <c r="N1516" t="s">
        <v>186</v>
      </c>
      <c r="O1516" t="s">
        <v>186</v>
      </c>
      <c r="R1516" t="s">
        <v>2946</v>
      </c>
      <c r="S1516" t="str">
        <f>Table_TRM_Fixtures[[#This Row],[Description  (TRM Data)]]</f>
        <v>Halogen/Incandescent, (1) 23W lamp</v>
      </c>
      <c r="T1516" t="str">
        <f>Table_TRM_Fixtures[[#This Row],[Fixture code  (TRM Data)]]</f>
        <v>H23/1</v>
      </c>
      <c r="U1516" t="s">
        <v>2882</v>
      </c>
      <c r="V1516" t="s">
        <v>186</v>
      </c>
      <c r="W1516" t="s">
        <v>3120</v>
      </c>
      <c r="X1516" t="s">
        <v>186</v>
      </c>
      <c r="Y1516" t="str">
        <f>_xlfn.CONCAT(Table_TRM_Fixtures[[#This Row],[Combined Lighting/Ballast Types]],":",Table_TRM_Fixtures[[#This Row],[No. of Lamps]], ":", Table_TRM_Fixtures[[#This Row],[Lamp Watts  (TRM Data)]])</f>
        <v>Halogen/Incandescent:1:23</v>
      </c>
      <c r="Z1516"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Halogen/Incandescent:1:23</v>
      </c>
      <c r="AA1516">
        <f>IF(Table_TRM_Fixtures[[#This Row],[Pre-EISA Baseline]]="Nominal", Table_TRM_Fixtures[[#This Row],[Fixture Watts  (TRM Data)]], Table_TRM_Fixtures[[#This Row],[Modified Baseline Fixture Watts]])</f>
        <v>23</v>
      </c>
    </row>
    <row r="1517" spans="1:27" x14ac:dyDescent="0.2">
      <c r="A1517" t="s">
        <v>6045</v>
      </c>
      <c r="B1517" t="s">
        <v>6045</v>
      </c>
      <c r="C1517" t="s">
        <v>6046</v>
      </c>
      <c r="D1517" t="s">
        <v>6047</v>
      </c>
      <c r="F1517">
        <v>1</v>
      </c>
      <c r="G1517">
        <v>24</v>
      </c>
      <c r="H1517">
        <v>24</v>
      </c>
      <c r="J1517" s="110">
        <v>1528</v>
      </c>
      <c r="K1517" t="s">
        <v>2946</v>
      </c>
      <c r="L1517">
        <f>IF(Table_TRM_Fixtures[[#This Row],[Technology]]="LED", Table_TRM_Fixtures[[#This Row],[Fixture Watts  (TRM Data)]], Table_TRM_Fixtures[[#This Row],[Lamp Watts  (TRM Data)]])</f>
        <v>24</v>
      </c>
      <c r="M1517">
        <f>Table_TRM_Fixtures[[#This Row],[No. of Lamps  (TRM Data)]]</f>
        <v>1</v>
      </c>
      <c r="N1517" t="s">
        <v>186</v>
      </c>
      <c r="O1517" t="s">
        <v>186</v>
      </c>
      <c r="R1517" t="s">
        <v>2946</v>
      </c>
      <c r="S1517" t="str">
        <f>Table_TRM_Fixtures[[#This Row],[Description  (TRM Data)]]</f>
        <v>Halogen/Incandescent, (1) 24W lamp</v>
      </c>
      <c r="T1517" t="str">
        <f>Table_TRM_Fixtures[[#This Row],[Fixture code  (TRM Data)]]</f>
        <v>H24/1</v>
      </c>
      <c r="U1517" t="s">
        <v>2882</v>
      </c>
      <c r="V1517" t="s">
        <v>186</v>
      </c>
      <c r="W1517" t="s">
        <v>3120</v>
      </c>
      <c r="X1517" t="s">
        <v>186</v>
      </c>
      <c r="Y1517" t="str">
        <f>_xlfn.CONCAT(Table_TRM_Fixtures[[#This Row],[Combined Lighting/Ballast Types]],":",Table_TRM_Fixtures[[#This Row],[No. of Lamps]], ":", Table_TRM_Fixtures[[#This Row],[Lamp Watts  (TRM Data)]])</f>
        <v>Halogen/Incandescent:1:24</v>
      </c>
      <c r="Z1517"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Halogen/Incandescent:1:24</v>
      </c>
      <c r="AA1517">
        <f>IF(Table_TRM_Fixtures[[#This Row],[Pre-EISA Baseline]]="Nominal", Table_TRM_Fixtures[[#This Row],[Fixture Watts  (TRM Data)]], Table_TRM_Fixtures[[#This Row],[Modified Baseline Fixture Watts]])</f>
        <v>24</v>
      </c>
    </row>
    <row r="1518" spans="1:27" x14ac:dyDescent="0.2">
      <c r="A1518" t="s">
        <v>6048</v>
      </c>
      <c r="B1518" t="s">
        <v>6048</v>
      </c>
      <c r="C1518" t="s">
        <v>6049</v>
      </c>
      <c r="D1518" t="s">
        <v>6050</v>
      </c>
      <c r="F1518">
        <v>1</v>
      </c>
      <c r="G1518">
        <v>25</v>
      </c>
      <c r="H1518">
        <v>25</v>
      </c>
      <c r="J1518" s="110">
        <v>1529</v>
      </c>
      <c r="K1518" t="s">
        <v>2946</v>
      </c>
      <c r="L1518">
        <f>IF(Table_TRM_Fixtures[[#This Row],[Technology]]="LED", Table_TRM_Fixtures[[#This Row],[Fixture Watts  (TRM Data)]], Table_TRM_Fixtures[[#This Row],[Lamp Watts  (TRM Data)]])</f>
        <v>25</v>
      </c>
      <c r="M1518">
        <f>Table_TRM_Fixtures[[#This Row],[No. of Lamps  (TRM Data)]]</f>
        <v>1</v>
      </c>
      <c r="N1518" t="s">
        <v>186</v>
      </c>
      <c r="O1518" t="s">
        <v>186</v>
      </c>
      <c r="R1518" t="s">
        <v>2946</v>
      </c>
      <c r="S1518" t="str">
        <f>Table_TRM_Fixtures[[#This Row],[Description  (TRM Data)]]</f>
        <v>Halogen/Incandescent, (1) 25W lamp</v>
      </c>
      <c r="T1518" t="str">
        <f>Table_TRM_Fixtures[[#This Row],[Fixture code  (TRM Data)]]</f>
        <v>H25/1</v>
      </c>
      <c r="U1518" t="s">
        <v>2882</v>
      </c>
      <c r="V1518" t="s">
        <v>186</v>
      </c>
      <c r="W1518" t="s">
        <v>3120</v>
      </c>
      <c r="X1518" t="s">
        <v>186</v>
      </c>
      <c r="Y1518" t="str">
        <f>_xlfn.CONCAT(Table_TRM_Fixtures[[#This Row],[Combined Lighting/Ballast Types]],":",Table_TRM_Fixtures[[#This Row],[No. of Lamps]], ":", Table_TRM_Fixtures[[#This Row],[Lamp Watts  (TRM Data)]])</f>
        <v>Halogen/Incandescent:1:25</v>
      </c>
      <c r="Z1518"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Halogen/Incandescent:1:25</v>
      </c>
      <c r="AA1518">
        <f>IF(Table_TRM_Fixtures[[#This Row],[Pre-EISA Baseline]]="Nominal", Table_TRM_Fixtures[[#This Row],[Fixture Watts  (TRM Data)]], Table_TRM_Fixtures[[#This Row],[Modified Baseline Fixture Watts]])</f>
        <v>25</v>
      </c>
    </row>
    <row r="1519" spans="1:27" x14ac:dyDescent="0.2">
      <c r="A1519" t="s">
        <v>6051</v>
      </c>
      <c r="B1519" t="s">
        <v>6051</v>
      </c>
      <c r="C1519" t="s">
        <v>6052</v>
      </c>
      <c r="D1519" t="s">
        <v>6053</v>
      </c>
      <c r="F1519">
        <v>1</v>
      </c>
      <c r="G1519">
        <v>26</v>
      </c>
      <c r="H1519">
        <v>26</v>
      </c>
      <c r="J1519" s="110">
        <v>1530</v>
      </c>
      <c r="K1519" t="s">
        <v>2946</v>
      </c>
      <c r="L1519">
        <f>IF(Table_TRM_Fixtures[[#This Row],[Technology]]="LED", Table_TRM_Fixtures[[#This Row],[Fixture Watts  (TRM Data)]], Table_TRM_Fixtures[[#This Row],[Lamp Watts  (TRM Data)]])</f>
        <v>26</v>
      </c>
      <c r="M1519">
        <f>Table_TRM_Fixtures[[#This Row],[No. of Lamps  (TRM Data)]]</f>
        <v>1</v>
      </c>
      <c r="N1519" t="s">
        <v>186</v>
      </c>
      <c r="O1519" t="s">
        <v>186</v>
      </c>
      <c r="R1519" t="s">
        <v>2946</v>
      </c>
      <c r="S1519" t="str">
        <f>Table_TRM_Fixtures[[#This Row],[Description  (TRM Data)]]</f>
        <v>Halogen/Incandescent, (1) 26W lamp</v>
      </c>
      <c r="T1519" t="str">
        <f>Table_TRM_Fixtures[[#This Row],[Fixture code  (TRM Data)]]</f>
        <v>H26/1</v>
      </c>
      <c r="U1519" t="s">
        <v>2882</v>
      </c>
      <c r="V1519" t="s">
        <v>186</v>
      </c>
      <c r="W1519" t="s">
        <v>3120</v>
      </c>
      <c r="X1519" t="s">
        <v>186</v>
      </c>
      <c r="Y1519" t="str">
        <f>_xlfn.CONCAT(Table_TRM_Fixtures[[#This Row],[Combined Lighting/Ballast Types]],":",Table_TRM_Fixtures[[#This Row],[No. of Lamps]], ":", Table_TRM_Fixtures[[#This Row],[Lamp Watts  (TRM Data)]])</f>
        <v>Halogen/Incandescent:1:26</v>
      </c>
      <c r="Z1519"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Halogen/Incandescent:1:26</v>
      </c>
      <c r="AA1519">
        <f>IF(Table_TRM_Fixtures[[#This Row],[Pre-EISA Baseline]]="Nominal", Table_TRM_Fixtures[[#This Row],[Fixture Watts  (TRM Data)]], Table_TRM_Fixtures[[#This Row],[Modified Baseline Fixture Watts]])</f>
        <v>26</v>
      </c>
    </row>
    <row r="1520" spans="1:27" x14ac:dyDescent="0.2">
      <c r="A1520" t="s">
        <v>6054</v>
      </c>
      <c r="B1520" t="s">
        <v>6054</v>
      </c>
      <c r="C1520" t="s">
        <v>6055</v>
      </c>
      <c r="D1520" t="s">
        <v>6056</v>
      </c>
      <c r="F1520">
        <v>1</v>
      </c>
      <c r="G1520">
        <v>27</v>
      </c>
      <c r="H1520">
        <v>27</v>
      </c>
      <c r="J1520" s="110">
        <v>1531</v>
      </c>
      <c r="K1520" t="s">
        <v>2946</v>
      </c>
      <c r="L1520">
        <f>IF(Table_TRM_Fixtures[[#This Row],[Technology]]="LED", Table_TRM_Fixtures[[#This Row],[Fixture Watts  (TRM Data)]], Table_TRM_Fixtures[[#This Row],[Lamp Watts  (TRM Data)]])</f>
        <v>27</v>
      </c>
      <c r="M1520">
        <f>Table_TRM_Fixtures[[#This Row],[No. of Lamps  (TRM Data)]]</f>
        <v>1</v>
      </c>
      <c r="N1520" t="s">
        <v>186</v>
      </c>
      <c r="O1520" t="s">
        <v>186</v>
      </c>
      <c r="R1520" t="s">
        <v>2946</v>
      </c>
      <c r="S1520" t="str">
        <f>Table_TRM_Fixtures[[#This Row],[Description  (TRM Data)]]</f>
        <v>Halogen/Incandescent, (1) 27W lamp</v>
      </c>
      <c r="T1520" t="str">
        <f>Table_TRM_Fixtures[[#This Row],[Fixture code  (TRM Data)]]</f>
        <v>H27/1</v>
      </c>
      <c r="U1520" t="s">
        <v>2882</v>
      </c>
      <c r="V1520" t="s">
        <v>186</v>
      </c>
      <c r="W1520" t="s">
        <v>3120</v>
      </c>
      <c r="X1520" t="s">
        <v>186</v>
      </c>
      <c r="Y1520" t="str">
        <f>_xlfn.CONCAT(Table_TRM_Fixtures[[#This Row],[Combined Lighting/Ballast Types]],":",Table_TRM_Fixtures[[#This Row],[No. of Lamps]], ":", Table_TRM_Fixtures[[#This Row],[Lamp Watts  (TRM Data)]])</f>
        <v>Halogen/Incandescent:1:27</v>
      </c>
      <c r="Z1520"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Halogen/Incandescent:1:27</v>
      </c>
      <c r="AA1520">
        <f>IF(Table_TRM_Fixtures[[#This Row],[Pre-EISA Baseline]]="Nominal", Table_TRM_Fixtures[[#This Row],[Fixture Watts  (TRM Data)]], Table_TRM_Fixtures[[#This Row],[Modified Baseline Fixture Watts]])</f>
        <v>27</v>
      </c>
    </row>
    <row r="1521" spans="1:27" x14ac:dyDescent="0.2">
      <c r="A1521" t="s">
        <v>6057</v>
      </c>
      <c r="B1521" t="s">
        <v>6057</v>
      </c>
      <c r="C1521" t="s">
        <v>6058</v>
      </c>
      <c r="D1521" t="s">
        <v>6059</v>
      </c>
      <c r="F1521">
        <v>1</v>
      </c>
      <c r="G1521">
        <v>28</v>
      </c>
      <c r="H1521">
        <v>28</v>
      </c>
      <c r="J1521" s="110">
        <v>1532</v>
      </c>
      <c r="K1521" t="s">
        <v>2946</v>
      </c>
      <c r="L1521">
        <f>IF(Table_TRM_Fixtures[[#This Row],[Technology]]="LED", Table_TRM_Fixtures[[#This Row],[Fixture Watts  (TRM Data)]], Table_TRM_Fixtures[[#This Row],[Lamp Watts  (TRM Data)]])</f>
        <v>28</v>
      </c>
      <c r="M1521">
        <f>Table_TRM_Fixtures[[#This Row],[No. of Lamps  (TRM Data)]]</f>
        <v>1</v>
      </c>
      <c r="N1521" t="s">
        <v>186</v>
      </c>
      <c r="O1521" t="s">
        <v>186</v>
      </c>
      <c r="R1521" t="s">
        <v>2946</v>
      </c>
      <c r="S1521" t="str">
        <f>Table_TRM_Fixtures[[#This Row],[Description  (TRM Data)]]</f>
        <v>Halogen/Incandescent, (1) 28W lamp</v>
      </c>
      <c r="T1521" t="str">
        <f>Table_TRM_Fixtures[[#This Row],[Fixture code  (TRM Data)]]</f>
        <v>H28/1</v>
      </c>
      <c r="U1521" t="s">
        <v>2882</v>
      </c>
      <c r="V1521" t="s">
        <v>186</v>
      </c>
      <c r="W1521" t="s">
        <v>3120</v>
      </c>
      <c r="X1521" t="s">
        <v>186</v>
      </c>
      <c r="Y1521" t="str">
        <f>_xlfn.CONCAT(Table_TRM_Fixtures[[#This Row],[Combined Lighting/Ballast Types]],":",Table_TRM_Fixtures[[#This Row],[No. of Lamps]], ":", Table_TRM_Fixtures[[#This Row],[Lamp Watts  (TRM Data)]])</f>
        <v>Halogen/Incandescent:1:28</v>
      </c>
      <c r="Z1521"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Halogen/Incandescent:1:28</v>
      </c>
      <c r="AA1521">
        <f>IF(Table_TRM_Fixtures[[#This Row],[Pre-EISA Baseline]]="Nominal", Table_TRM_Fixtures[[#This Row],[Fixture Watts  (TRM Data)]], Table_TRM_Fixtures[[#This Row],[Modified Baseline Fixture Watts]])</f>
        <v>28</v>
      </c>
    </row>
    <row r="1522" spans="1:27" x14ac:dyDescent="0.2">
      <c r="A1522" t="s">
        <v>6060</v>
      </c>
      <c r="B1522" t="s">
        <v>6060</v>
      </c>
      <c r="C1522" t="s">
        <v>6061</v>
      </c>
      <c r="D1522" t="s">
        <v>6062</v>
      </c>
      <c r="F1522">
        <v>1</v>
      </c>
      <c r="G1522">
        <v>29</v>
      </c>
      <c r="H1522">
        <v>29</v>
      </c>
      <c r="J1522" s="110">
        <v>1533</v>
      </c>
      <c r="K1522" t="s">
        <v>2946</v>
      </c>
      <c r="L1522">
        <f>IF(Table_TRM_Fixtures[[#This Row],[Technology]]="LED", Table_TRM_Fixtures[[#This Row],[Fixture Watts  (TRM Data)]], Table_TRM_Fixtures[[#This Row],[Lamp Watts  (TRM Data)]])</f>
        <v>29</v>
      </c>
      <c r="M1522">
        <f>Table_TRM_Fixtures[[#This Row],[No. of Lamps  (TRM Data)]]</f>
        <v>1</v>
      </c>
      <c r="N1522" t="s">
        <v>186</v>
      </c>
      <c r="O1522" t="s">
        <v>186</v>
      </c>
      <c r="R1522" t="s">
        <v>2946</v>
      </c>
      <c r="S1522" t="str">
        <f>Table_TRM_Fixtures[[#This Row],[Description  (TRM Data)]]</f>
        <v>Halogen/Incandescent, (1) 29W lamp</v>
      </c>
      <c r="T1522" t="str">
        <f>Table_TRM_Fixtures[[#This Row],[Fixture code  (TRM Data)]]</f>
        <v>H29/1</v>
      </c>
      <c r="U1522" t="s">
        <v>2882</v>
      </c>
      <c r="V1522" t="s">
        <v>186</v>
      </c>
      <c r="W1522" t="s">
        <v>3120</v>
      </c>
      <c r="X1522" t="s">
        <v>186</v>
      </c>
      <c r="Y1522" t="str">
        <f>_xlfn.CONCAT(Table_TRM_Fixtures[[#This Row],[Combined Lighting/Ballast Types]],":",Table_TRM_Fixtures[[#This Row],[No. of Lamps]], ":", Table_TRM_Fixtures[[#This Row],[Lamp Watts  (TRM Data)]])</f>
        <v>Halogen/Incandescent:1:29</v>
      </c>
      <c r="Z1522"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Halogen/Incandescent:1:29</v>
      </c>
      <c r="AA1522">
        <f>IF(Table_TRM_Fixtures[[#This Row],[Pre-EISA Baseline]]="Nominal", Table_TRM_Fixtures[[#This Row],[Fixture Watts  (TRM Data)]], Table_TRM_Fixtures[[#This Row],[Modified Baseline Fixture Watts]])</f>
        <v>29</v>
      </c>
    </row>
    <row r="1523" spans="1:27" x14ac:dyDescent="0.2">
      <c r="A1523" t="s">
        <v>6063</v>
      </c>
      <c r="B1523" t="s">
        <v>6063</v>
      </c>
      <c r="C1523" t="s">
        <v>6064</v>
      </c>
      <c r="D1523" t="s">
        <v>6065</v>
      </c>
      <c r="F1523">
        <v>1</v>
      </c>
      <c r="G1523">
        <v>30</v>
      </c>
      <c r="H1523">
        <v>30</v>
      </c>
      <c r="J1523" s="110">
        <v>1534</v>
      </c>
      <c r="K1523" t="s">
        <v>2946</v>
      </c>
      <c r="L1523">
        <f>IF(Table_TRM_Fixtures[[#This Row],[Technology]]="LED", Table_TRM_Fixtures[[#This Row],[Fixture Watts  (TRM Data)]], Table_TRM_Fixtures[[#This Row],[Lamp Watts  (TRM Data)]])</f>
        <v>30</v>
      </c>
      <c r="M1523">
        <f>Table_TRM_Fixtures[[#This Row],[No. of Lamps  (TRM Data)]]</f>
        <v>1</v>
      </c>
      <c r="N1523" t="s">
        <v>186</v>
      </c>
      <c r="O1523" t="s">
        <v>186</v>
      </c>
      <c r="R1523" t="s">
        <v>2946</v>
      </c>
      <c r="S1523" t="str">
        <f>Table_TRM_Fixtures[[#This Row],[Description  (TRM Data)]]</f>
        <v>Halogen/Incandescent, (1) 30W lamp</v>
      </c>
      <c r="T1523" t="str">
        <f>Table_TRM_Fixtures[[#This Row],[Fixture code  (TRM Data)]]</f>
        <v>H30/1</v>
      </c>
      <c r="U1523" t="s">
        <v>2882</v>
      </c>
      <c r="V1523" t="s">
        <v>186</v>
      </c>
      <c r="W1523" t="s">
        <v>3120</v>
      </c>
      <c r="X1523" t="s">
        <v>186</v>
      </c>
      <c r="Y1523" t="str">
        <f>_xlfn.CONCAT(Table_TRM_Fixtures[[#This Row],[Combined Lighting/Ballast Types]],":",Table_TRM_Fixtures[[#This Row],[No. of Lamps]], ":", Table_TRM_Fixtures[[#This Row],[Lamp Watts  (TRM Data)]])</f>
        <v>Halogen/Incandescent:1:30</v>
      </c>
      <c r="Z1523"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Halogen/Incandescent:1:30</v>
      </c>
      <c r="AA1523">
        <f>IF(Table_TRM_Fixtures[[#This Row],[Pre-EISA Baseline]]="Nominal", Table_TRM_Fixtures[[#This Row],[Fixture Watts  (TRM Data)]], Table_TRM_Fixtures[[#This Row],[Modified Baseline Fixture Watts]])</f>
        <v>30</v>
      </c>
    </row>
    <row r="1524" spans="1:27" x14ac:dyDescent="0.2">
      <c r="A1524" t="s">
        <v>6066</v>
      </c>
      <c r="B1524" t="s">
        <v>6066</v>
      </c>
      <c r="C1524" t="s">
        <v>6067</v>
      </c>
      <c r="D1524" t="s">
        <v>6068</v>
      </c>
      <c r="F1524">
        <v>1</v>
      </c>
      <c r="G1524">
        <v>31</v>
      </c>
      <c r="H1524">
        <v>31</v>
      </c>
      <c r="J1524" s="110">
        <v>1535</v>
      </c>
      <c r="K1524" t="s">
        <v>2946</v>
      </c>
      <c r="L1524">
        <f>IF(Table_TRM_Fixtures[[#This Row],[Technology]]="LED", Table_TRM_Fixtures[[#This Row],[Fixture Watts  (TRM Data)]], Table_TRM_Fixtures[[#This Row],[Lamp Watts  (TRM Data)]])</f>
        <v>31</v>
      </c>
      <c r="M1524">
        <f>Table_TRM_Fixtures[[#This Row],[No. of Lamps  (TRM Data)]]</f>
        <v>1</v>
      </c>
      <c r="N1524" t="s">
        <v>186</v>
      </c>
      <c r="O1524" t="s">
        <v>186</v>
      </c>
      <c r="R1524" t="s">
        <v>2946</v>
      </c>
      <c r="S1524" t="str">
        <f>Table_TRM_Fixtures[[#This Row],[Description  (TRM Data)]]</f>
        <v>Halogen/Incandescent, (1) 31W lamp</v>
      </c>
      <c r="T1524" t="str">
        <f>Table_TRM_Fixtures[[#This Row],[Fixture code  (TRM Data)]]</f>
        <v>H31/1</v>
      </c>
      <c r="U1524" t="s">
        <v>2882</v>
      </c>
      <c r="V1524" t="s">
        <v>186</v>
      </c>
      <c r="W1524" t="s">
        <v>3120</v>
      </c>
      <c r="X1524" t="s">
        <v>186</v>
      </c>
      <c r="Y1524" t="str">
        <f>_xlfn.CONCAT(Table_TRM_Fixtures[[#This Row],[Combined Lighting/Ballast Types]],":",Table_TRM_Fixtures[[#This Row],[No. of Lamps]], ":", Table_TRM_Fixtures[[#This Row],[Lamp Watts  (TRM Data)]])</f>
        <v>Halogen/Incandescent:1:31</v>
      </c>
      <c r="Z1524"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Halogen/Incandescent:1:31</v>
      </c>
      <c r="AA1524">
        <f>IF(Table_TRM_Fixtures[[#This Row],[Pre-EISA Baseline]]="Nominal", Table_TRM_Fixtures[[#This Row],[Fixture Watts  (TRM Data)]], Table_TRM_Fixtures[[#This Row],[Modified Baseline Fixture Watts]])</f>
        <v>31</v>
      </c>
    </row>
    <row r="1525" spans="1:27" x14ac:dyDescent="0.2">
      <c r="A1525" t="s">
        <v>6069</v>
      </c>
      <c r="B1525" t="s">
        <v>6069</v>
      </c>
      <c r="C1525" t="s">
        <v>6070</v>
      </c>
      <c r="D1525" t="s">
        <v>6071</v>
      </c>
      <c r="F1525">
        <v>1</v>
      </c>
      <c r="G1525">
        <v>32</v>
      </c>
      <c r="H1525">
        <v>32</v>
      </c>
      <c r="J1525" s="110">
        <v>1536</v>
      </c>
      <c r="K1525" t="s">
        <v>2946</v>
      </c>
      <c r="L1525">
        <f>IF(Table_TRM_Fixtures[[#This Row],[Technology]]="LED", Table_TRM_Fixtures[[#This Row],[Fixture Watts  (TRM Data)]], Table_TRM_Fixtures[[#This Row],[Lamp Watts  (TRM Data)]])</f>
        <v>32</v>
      </c>
      <c r="M1525">
        <f>Table_TRM_Fixtures[[#This Row],[No. of Lamps  (TRM Data)]]</f>
        <v>1</v>
      </c>
      <c r="N1525" t="s">
        <v>186</v>
      </c>
      <c r="O1525" t="s">
        <v>186</v>
      </c>
      <c r="R1525" t="s">
        <v>2946</v>
      </c>
      <c r="S1525" t="str">
        <f>Table_TRM_Fixtures[[#This Row],[Description  (TRM Data)]]</f>
        <v>Halogen/Incandescent, (1) 32W lamp</v>
      </c>
      <c r="T1525" t="str">
        <f>Table_TRM_Fixtures[[#This Row],[Fixture code  (TRM Data)]]</f>
        <v>H32/1</v>
      </c>
      <c r="U1525" t="s">
        <v>2882</v>
      </c>
      <c r="V1525" t="s">
        <v>186</v>
      </c>
      <c r="W1525" t="s">
        <v>3120</v>
      </c>
      <c r="X1525" t="s">
        <v>186</v>
      </c>
      <c r="Y1525" t="str">
        <f>_xlfn.CONCAT(Table_TRM_Fixtures[[#This Row],[Combined Lighting/Ballast Types]],":",Table_TRM_Fixtures[[#This Row],[No. of Lamps]], ":", Table_TRM_Fixtures[[#This Row],[Lamp Watts  (TRM Data)]])</f>
        <v>Halogen/Incandescent:1:32</v>
      </c>
      <c r="Z1525"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Halogen/Incandescent:1:32</v>
      </c>
      <c r="AA1525">
        <f>IF(Table_TRM_Fixtures[[#This Row],[Pre-EISA Baseline]]="Nominal", Table_TRM_Fixtures[[#This Row],[Fixture Watts  (TRM Data)]], Table_TRM_Fixtures[[#This Row],[Modified Baseline Fixture Watts]])</f>
        <v>32</v>
      </c>
    </row>
    <row r="1526" spans="1:27" x14ac:dyDescent="0.2">
      <c r="A1526" t="s">
        <v>6072</v>
      </c>
      <c r="B1526" t="s">
        <v>6072</v>
      </c>
      <c r="C1526" t="s">
        <v>6073</v>
      </c>
      <c r="D1526" t="s">
        <v>6074</v>
      </c>
      <c r="F1526">
        <v>1</v>
      </c>
      <c r="G1526">
        <v>33</v>
      </c>
      <c r="H1526">
        <v>33</v>
      </c>
      <c r="J1526" s="110">
        <v>1537</v>
      </c>
      <c r="K1526" t="s">
        <v>2946</v>
      </c>
      <c r="L1526">
        <f>IF(Table_TRM_Fixtures[[#This Row],[Technology]]="LED", Table_TRM_Fixtures[[#This Row],[Fixture Watts  (TRM Data)]], Table_TRM_Fixtures[[#This Row],[Lamp Watts  (TRM Data)]])</f>
        <v>33</v>
      </c>
      <c r="M1526">
        <f>Table_TRM_Fixtures[[#This Row],[No. of Lamps  (TRM Data)]]</f>
        <v>1</v>
      </c>
      <c r="N1526" t="s">
        <v>186</v>
      </c>
      <c r="O1526" t="s">
        <v>186</v>
      </c>
      <c r="R1526" t="s">
        <v>2946</v>
      </c>
      <c r="S1526" t="str">
        <f>Table_TRM_Fixtures[[#This Row],[Description  (TRM Data)]]</f>
        <v>Halogen/Incandescent, (1) 33W lamp</v>
      </c>
      <c r="T1526" t="str">
        <f>Table_TRM_Fixtures[[#This Row],[Fixture code  (TRM Data)]]</f>
        <v>H33/1</v>
      </c>
      <c r="U1526" t="s">
        <v>2882</v>
      </c>
      <c r="V1526" t="s">
        <v>186</v>
      </c>
      <c r="W1526" t="s">
        <v>3120</v>
      </c>
      <c r="X1526" t="s">
        <v>186</v>
      </c>
      <c r="Y1526" t="str">
        <f>_xlfn.CONCAT(Table_TRM_Fixtures[[#This Row],[Combined Lighting/Ballast Types]],":",Table_TRM_Fixtures[[#This Row],[No. of Lamps]], ":", Table_TRM_Fixtures[[#This Row],[Lamp Watts  (TRM Data)]])</f>
        <v>Halogen/Incandescent:1:33</v>
      </c>
      <c r="Z1526"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Halogen/Incandescent:1:33</v>
      </c>
      <c r="AA1526">
        <f>IF(Table_TRM_Fixtures[[#This Row],[Pre-EISA Baseline]]="Nominal", Table_TRM_Fixtures[[#This Row],[Fixture Watts  (TRM Data)]], Table_TRM_Fixtures[[#This Row],[Modified Baseline Fixture Watts]])</f>
        <v>33</v>
      </c>
    </row>
    <row r="1527" spans="1:27" x14ac:dyDescent="0.2">
      <c r="A1527" t="s">
        <v>6075</v>
      </c>
      <c r="B1527" t="s">
        <v>6075</v>
      </c>
      <c r="C1527" t="s">
        <v>6076</v>
      </c>
      <c r="D1527" t="s">
        <v>6077</v>
      </c>
      <c r="F1527">
        <v>1</v>
      </c>
      <c r="G1527">
        <v>34</v>
      </c>
      <c r="H1527">
        <v>34</v>
      </c>
      <c r="J1527" s="110">
        <v>1538</v>
      </c>
      <c r="K1527" t="s">
        <v>2946</v>
      </c>
      <c r="L1527">
        <f>IF(Table_TRM_Fixtures[[#This Row],[Technology]]="LED", Table_TRM_Fixtures[[#This Row],[Fixture Watts  (TRM Data)]], Table_TRM_Fixtures[[#This Row],[Lamp Watts  (TRM Data)]])</f>
        <v>34</v>
      </c>
      <c r="M1527">
        <f>Table_TRM_Fixtures[[#This Row],[No. of Lamps  (TRM Data)]]</f>
        <v>1</v>
      </c>
      <c r="N1527" t="s">
        <v>186</v>
      </c>
      <c r="O1527" t="s">
        <v>186</v>
      </c>
      <c r="R1527" t="s">
        <v>2946</v>
      </c>
      <c r="S1527" t="str">
        <f>Table_TRM_Fixtures[[#This Row],[Description  (TRM Data)]]</f>
        <v>Halogen/Incandescent, (1) 34W lamp</v>
      </c>
      <c r="T1527" t="str">
        <f>Table_TRM_Fixtures[[#This Row],[Fixture code  (TRM Data)]]</f>
        <v>H34/1</v>
      </c>
      <c r="U1527" t="s">
        <v>2882</v>
      </c>
      <c r="V1527" t="s">
        <v>186</v>
      </c>
      <c r="W1527" t="s">
        <v>3120</v>
      </c>
      <c r="X1527" t="s">
        <v>186</v>
      </c>
      <c r="Y1527" t="str">
        <f>_xlfn.CONCAT(Table_TRM_Fixtures[[#This Row],[Combined Lighting/Ballast Types]],":",Table_TRM_Fixtures[[#This Row],[No. of Lamps]], ":", Table_TRM_Fixtures[[#This Row],[Lamp Watts  (TRM Data)]])</f>
        <v>Halogen/Incandescent:1:34</v>
      </c>
      <c r="Z1527"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Halogen/Incandescent:1:34</v>
      </c>
      <c r="AA1527">
        <f>IF(Table_TRM_Fixtures[[#This Row],[Pre-EISA Baseline]]="Nominal", Table_TRM_Fixtures[[#This Row],[Fixture Watts  (TRM Data)]], Table_TRM_Fixtures[[#This Row],[Modified Baseline Fixture Watts]])</f>
        <v>34</v>
      </c>
    </row>
    <row r="1528" spans="1:27" x14ac:dyDescent="0.2">
      <c r="A1528" t="s">
        <v>6078</v>
      </c>
      <c r="B1528" t="s">
        <v>6078</v>
      </c>
      <c r="C1528" t="s">
        <v>6079</v>
      </c>
      <c r="D1528" t="s">
        <v>6080</v>
      </c>
      <c r="F1528">
        <v>1</v>
      </c>
      <c r="G1528">
        <v>35</v>
      </c>
      <c r="H1528">
        <v>35</v>
      </c>
      <c r="J1528" s="110">
        <v>1539</v>
      </c>
      <c r="K1528" t="s">
        <v>2946</v>
      </c>
      <c r="L1528">
        <f>IF(Table_TRM_Fixtures[[#This Row],[Technology]]="LED", Table_TRM_Fixtures[[#This Row],[Fixture Watts  (TRM Data)]], Table_TRM_Fixtures[[#This Row],[Lamp Watts  (TRM Data)]])</f>
        <v>35</v>
      </c>
      <c r="M1528">
        <f>Table_TRM_Fixtures[[#This Row],[No. of Lamps  (TRM Data)]]</f>
        <v>1</v>
      </c>
      <c r="N1528" t="s">
        <v>186</v>
      </c>
      <c r="O1528" t="s">
        <v>186</v>
      </c>
      <c r="R1528" t="s">
        <v>2946</v>
      </c>
      <c r="S1528" t="str">
        <f>Table_TRM_Fixtures[[#This Row],[Description  (TRM Data)]]</f>
        <v>Halogen/Incandescent, (1) 35W lamp</v>
      </c>
      <c r="T1528" t="str">
        <f>Table_TRM_Fixtures[[#This Row],[Fixture code  (TRM Data)]]</f>
        <v>H35/1</v>
      </c>
      <c r="U1528" t="s">
        <v>2882</v>
      </c>
      <c r="V1528" t="s">
        <v>186</v>
      </c>
      <c r="W1528" t="s">
        <v>3120</v>
      </c>
      <c r="X1528" t="s">
        <v>186</v>
      </c>
      <c r="Y1528" t="str">
        <f>_xlfn.CONCAT(Table_TRM_Fixtures[[#This Row],[Combined Lighting/Ballast Types]],":",Table_TRM_Fixtures[[#This Row],[No. of Lamps]], ":", Table_TRM_Fixtures[[#This Row],[Lamp Watts  (TRM Data)]])</f>
        <v>Halogen/Incandescent:1:35</v>
      </c>
      <c r="Z1528"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Halogen/Incandescent:1:35</v>
      </c>
      <c r="AA1528">
        <f>IF(Table_TRM_Fixtures[[#This Row],[Pre-EISA Baseline]]="Nominal", Table_TRM_Fixtures[[#This Row],[Fixture Watts  (TRM Data)]], Table_TRM_Fixtures[[#This Row],[Modified Baseline Fixture Watts]])</f>
        <v>35</v>
      </c>
    </row>
    <row r="1529" spans="1:27" x14ac:dyDescent="0.2">
      <c r="A1529" t="s">
        <v>6081</v>
      </c>
      <c r="B1529" t="s">
        <v>6081</v>
      </c>
      <c r="C1529" t="s">
        <v>6082</v>
      </c>
      <c r="D1529" t="s">
        <v>6083</v>
      </c>
      <c r="F1529">
        <v>1</v>
      </c>
      <c r="G1529">
        <v>36</v>
      </c>
      <c r="H1529">
        <v>36</v>
      </c>
      <c r="J1529" s="110">
        <v>1540</v>
      </c>
      <c r="K1529" t="s">
        <v>2946</v>
      </c>
      <c r="L1529">
        <f>IF(Table_TRM_Fixtures[[#This Row],[Technology]]="LED", Table_TRM_Fixtures[[#This Row],[Fixture Watts  (TRM Data)]], Table_TRM_Fixtures[[#This Row],[Lamp Watts  (TRM Data)]])</f>
        <v>36</v>
      </c>
      <c r="M1529">
        <f>Table_TRM_Fixtures[[#This Row],[No. of Lamps  (TRM Data)]]</f>
        <v>1</v>
      </c>
      <c r="N1529" t="s">
        <v>186</v>
      </c>
      <c r="O1529" t="s">
        <v>186</v>
      </c>
      <c r="R1529" t="s">
        <v>2946</v>
      </c>
      <c r="S1529" t="str">
        <f>Table_TRM_Fixtures[[#This Row],[Description  (TRM Data)]]</f>
        <v>Halogen/Incandescent, (1) 36W lamp</v>
      </c>
      <c r="T1529" t="str">
        <f>Table_TRM_Fixtures[[#This Row],[Fixture code  (TRM Data)]]</f>
        <v>H36/1</v>
      </c>
      <c r="U1529" t="s">
        <v>2882</v>
      </c>
      <c r="V1529" t="s">
        <v>186</v>
      </c>
      <c r="W1529" t="s">
        <v>3120</v>
      </c>
      <c r="X1529" t="s">
        <v>186</v>
      </c>
      <c r="Y1529" t="str">
        <f>_xlfn.CONCAT(Table_TRM_Fixtures[[#This Row],[Combined Lighting/Ballast Types]],":",Table_TRM_Fixtures[[#This Row],[No. of Lamps]], ":", Table_TRM_Fixtures[[#This Row],[Lamp Watts  (TRM Data)]])</f>
        <v>Halogen/Incandescent:1:36</v>
      </c>
      <c r="Z1529"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Halogen/Incandescent:1:36</v>
      </c>
      <c r="AA1529">
        <f>IF(Table_TRM_Fixtures[[#This Row],[Pre-EISA Baseline]]="Nominal", Table_TRM_Fixtures[[#This Row],[Fixture Watts  (TRM Data)]], Table_TRM_Fixtures[[#This Row],[Modified Baseline Fixture Watts]])</f>
        <v>36</v>
      </c>
    </row>
    <row r="1530" spans="1:27" x14ac:dyDescent="0.2">
      <c r="A1530" t="s">
        <v>6084</v>
      </c>
      <c r="B1530" t="s">
        <v>6084</v>
      </c>
      <c r="C1530" t="s">
        <v>6085</v>
      </c>
      <c r="D1530" t="s">
        <v>6086</v>
      </c>
      <c r="F1530">
        <v>1</v>
      </c>
      <c r="G1530">
        <v>37</v>
      </c>
      <c r="H1530">
        <v>37</v>
      </c>
      <c r="J1530" s="110">
        <v>1541</v>
      </c>
      <c r="K1530" t="s">
        <v>2946</v>
      </c>
      <c r="L1530">
        <f>IF(Table_TRM_Fixtures[[#This Row],[Technology]]="LED", Table_TRM_Fixtures[[#This Row],[Fixture Watts  (TRM Data)]], Table_TRM_Fixtures[[#This Row],[Lamp Watts  (TRM Data)]])</f>
        <v>37</v>
      </c>
      <c r="M1530">
        <f>Table_TRM_Fixtures[[#This Row],[No. of Lamps  (TRM Data)]]</f>
        <v>1</v>
      </c>
      <c r="N1530" t="s">
        <v>186</v>
      </c>
      <c r="O1530" t="s">
        <v>186</v>
      </c>
      <c r="R1530" t="s">
        <v>2946</v>
      </c>
      <c r="S1530" t="str">
        <f>Table_TRM_Fixtures[[#This Row],[Description  (TRM Data)]]</f>
        <v>Halogen/Incandescent, (1) 37W lamp</v>
      </c>
      <c r="T1530" t="str">
        <f>Table_TRM_Fixtures[[#This Row],[Fixture code  (TRM Data)]]</f>
        <v>H37/1</v>
      </c>
      <c r="U1530" t="s">
        <v>2882</v>
      </c>
      <c r="V1530" t="s">
        <v>186</v>
      </c>
      <c r="W1530" t="s">
        <v>3120</v>
      </c>
      <c r="X1530" t="s">
        <v>186</v>
      </c>
      <c r="Y1530" t="str">
        <f>_xlfn.CONCAT(Table_TRM_Fixtures[[#This Row],[Combined Lighting/Ballast Types]],":",Table_TRM_Fixtures[[#This Row],[No. of Lamps]], ":", Table_TRM_Fixtures[[#This Row],[Lamp Watts  (TRM Data)]])</f>
        <v>Halogen/Incandescent:1:37</v>
      </c>
      <c r="Z1530"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Halogen/Incandescent:1:37</v>
      </c>
      <c r="AA1530">
        <f>IF(Table_TRM_Fixtures[[#This Row],[Pre-EISA Baseline]]="Nominal", Table_TRM_Fixtures[[#This Row],[Fixture Watts  (TRM Data)]], Table_TRM_Fixtures[[#This Row],[Modified Baseline Fixture Watts]])</f>
        <v>37</v>
      </c>
    </row>
    <row r="1531" spans="1:27" x14ac:dyDescent="0.2">
      <c r="A1531" t="s">
        <v>6087</v>
      </c>
      <c r="B1531" t="s">
        <v>6087</v>
      </c>
      <c r="C1531" t="s">
        <v>6088</v>
      </c>
      <c r="D1531" t="s">
        <v>6089</v>
      </c>
      <c r="F1531">
        <v>1</v>
      </c>
      <c r="G1531">
        <v>38</v>
      </c>
      <c r="H1531">
        <v>38</v>
      </c>
      <c r="J1531" s="110">
        <v>1542</v>
      </c>
      <c r="K1531" t="s">
        <v>2946</v>
      </c>
      <c r="L1531">
        <f>IF(Table_TRM_Fixtures[[#This Row],[Technology]]="LED", Table_TRM_Fixtures[[#This Row],[Fixture Watts  (TRM Data)]], Table_TRM_Fixtures[[#This Row],[Lamp Watts  (TRM Data)]])</f>
        <v>38</v>
      </c>
      <c r="M1531">
        <f>Table_TRM_Fixtures[[#This Row],[No. of Lamps  (TRM Data)]]</f>
        <v>1</v>
      </c>
      <c r="N1531" t="s">
        <v>186</v>
      </c>
      <c r="O1531" t="s">
        <v>186</v>
      </c>
      <c r="R1531" t="s">
        <v>2946</v>
      </c>
      <c r="S1531" t="str">
        <f>Table_TRM_Fixtures[[#This Row],[Description  (TRM Data)]]</f>
        <v>Halogen/Incandescent, (1) 38W lamp</v>
      </c>
      <c r="T1531" t="str">
        <f>Table_TRM_Fixtures[[#This Row],[Fixture code  (TRM Data)]]</f>
        <v>H38/1</v>
      </c>
      <c r="U1531" t="s">
        <v>2882</v>
      </c>
      <c r="V1531" t="s">
        <v>186</v>
      </c>
      <c r="W1531" t="s">
        <v>3120</v>
      </c>
      <c r="X1531" t="s">
        <v>186</v>
      </c>
      <c r="Y1531" t="str">
        <f>_xlfn.CONCAT(Table_TRM_Fixtures[[#This Row],[Combined Lighting/Ballast Types]],":",Table_TRM_Fixtures[[#This Row],[No. of Lamps]], ":", Table_TRM_Fixtures[[#This Row],[Lamp Watts  (TRM Data)]])</f>
        <v>Halogen/Incandescent:1:38</v>
      </c>
      <c r="Z1531"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Halogen/Incandescent:1:38</v>
      </c>
      <c r="AA1531">
        <f>IF(Table_TRM_Fixtures[[#This Row],[Pre-EISA Baseline]]="Nominal", Table_TRM_Fixtures[[#This Row],[Fixture Watts  (TRM Data)]], Table_TRM_Fixtures[[#This Row],[Modified Baseline Fixture Watts]])</f>
        <v>38</v>
      </c>
    </row>
    <row r="1532" spans="1:27" x14ac:dyDescent="0.2">
      <c r="A1532" t="s">
        <v>6090</v>
      </c>
      <c r="B1532" t="s">
        <v>6090</v>
      </c>
      <c r="C1532" t="s">
        <v>6091</v>
      </c>
      <c r="D1532" t="s">
        <v>6092</v>
      </c>
      <c r="F1532">
        <v>1</v>
      </c>
      <c r="G1532">
        <v>39</v>
      </c>
      <c r="H1532">
        <v>39</v>
      </c>
      <c r="J1532" s="110">
        <v>1543</v>
      </c>
      <c r="K1532" t="s">
        <v>2946</v>
      </c>
      <c r="L1532">
        <f>IF(Table_TRM_Fixtures[[#This Row],[Technology]]="LED", Table_TRM_Fixtures[[#This Row],[Fixture Watts  (TRM Data)]], Table_TRM_Fixtures[[#This Row],[Lamp Watts  (TRM Data)]])</f>
        <v>39</v>
      </c>
      <c r="M1532">
        <f>Table_TRM_Fixtures[[#This Row],[No. of Lamps  (TRM Data)]]</f>
        <v>1</v>
      </c>
      <c r="N1532" t="s">
        <v>186</v>
      </c>
      <c r="O1532" t="s">
        <v>186</v>
      </c>
      <c r="R1532" t="s">
        <v>2946</v>
      </c>
      <c r="S1532" t="str">
        <f>Table_TRM_Fixtures[[#This Row],[Description  (TRM Data)]]</f>
        <v>Halogen/Incandescent, (1) 39W lamp</v>
      </c>
      <c r="T1532" t="str">
        <f>Table_TRM_Fixtures[[#This Row],[Fixture code  (TRM Data)]]</f>
        <v>H39/1</v>
      </c>
      <c r="U1532" t="s">
        <v>2882</v>
      </c>
      <c r="V1532" t="s">
        <v>186</v>
      </c>
      <c r="W1532" t="s">
        <v>3120</v>
      </c>
      <c r="X1532" t="s">
        <v>186</v>
      </c>
      <c r="Y1532" t="str">
        <f>_xlfn.CONCAT(Table_TRM_Fixtures[[#This Row],[Combined Lighting/Ballast Types]],":",Table_TRM_Fixtures[[#This Row],[No. of Lamps]], ":", Table_TRM_Fixtures[[#This Row],[Lamp Watts  (TRM Data)]])</f>
        <v>Halogen/Incandescent:1:39</v>
      </c>
      <c r="Z1532"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Halogen/Incandescent:1:39</v>
      </c>
      <c r="AA1532">
        <f>IF(Table_TRM_Fixtures[[#This Row],[Pre-EISA Baseline]]="Nominal", Table_TRM_Fixtures[[#This Row],[Fixture Watts  (TRM Data)]], Table_TRM_Fixtures[[#This Row],[Modified Baseline Fixture Watts]])</f>
        <v>39</v>
      </c>
    </row>
    <row r="1533" spans="1:27" x14ac:dyDescent="0.2">
      <c r="A1533" t="s">
        <v>6093</v>
      </c>
      <c r="B1533" t="s">
        <v>6093</v>
      </c>
      <c r="C1533" t="s">
        <v>6094</v>
      </c>
      <c r="D1533" t="s">
        <v>6095</v>
      </c>
      <c r="F1533">
        <v>1</v>
      </c>
      <c r="G1533">
        <v>40</v>
      </c>
      <c r="H1533">
        <v>40</v>
      </c>
      <c r="J1533" s="110">
        <v>1544</v>
      </c>
      <c r="K1533" t="s">
        <v>2946</v>
      </c>
      <c r="L1533">
        <f>IF(Table_TRM_Fixtures[[#This Row],[Technology]]="LED", Table_TRM_Fixtures[[#This Row],[Fixture Watts  (TRM Data)]], Table_TRM_Fixtures[[#This Row],[Lamp Watts  (TRM Data)]])</f>
        <v>40</v>
      </c>
      <c r="M1533">
        <f>Table_TRM_Fixtures[[#This Row],[No. of Lamps  (TRM Data)]]</f>
        <v>1</v>
      </c>
      <c r="N1533" t="s">
        <v>186</v>
      </c>
      <c r="O1533" t="s">
        <v>186</v>
      </c>
      <c r="R1533" t="s">
        <v>2946</v>
      </c>
      <c r="S1533" t="str">
        <f>Table_TRM_Fixtures[[#This Row],[Description  (TRM Data)]]</f>
        <v>Halogen/Incandescent, (1) 40W lamp</v>
      </c>
      <c r="T1533" t="str">
        <f>Table_TRM_Fixtures[[#This Row],[Fixture code  (TRM Data)]]</f>
        <v>H40/1</v>
      </c>
      <c r="U1533" t="s">
        <v>2882</v>
      </c>
      <c r="V1533" t="s">
        <v>186</v>
      </c>
      <c r="W1533" t="s">
        <v>3120</v>
      </c>
      <c r="X1533" t="s">
        <v>186</v>
      </c>
      <c r="Y1533" t="str">
        <f>_xlfn.CONCAT(Table_TRM_Fixtures[[#This Row],[Combined Lighting/Ballast Types]],":",Table_TRM_Fixtures[[#This Row],[No. of Lamps]], ":", Table_TRM_Fixtures[[#This Row],[Lamp Watts  (TRM Data)]])</f>
        <v>Halogen/Incandescent:1:40</v>
      </c>
      <c r="Z1533"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Halogen/Incandescent:1:40</v>
      </c>
      <c r="AA1533">
        <f>IF(Table_TRM_Fixtures[[#This Row],[Pre-EISA Baseline]]="Nominal", Table_TRM_Fixtures[[#This Row],[Fixture Watts  (TRM Data)]], Table_TRM_Fixtures[[#This Row],[Modified Baseline Fixture Watts]])</f>
        <v>40</v>
      </c>
    </row>
    <row r="1534" spans="1:27" x14ac:dyDescent="0.2">
      <c r="A1534" t="s">
        <v>6096</v>
      </c>
      <c r="B1534" t="s">
        <v>6096</v>
      </c>
      <c r="C1534" t="s">
        <v>6097</v>
      </c>
      <c r="D1534" t="s">
        <v>6098</v>
      </c>
      <c r="F1534">
        <v>1</v>
      </c>
      <c r="G1534">
        <v>41</v>
      </c>
      <c r="H1534">
        <v>41</v>
      </c>
      <c r="J1534" s="110">
        <v>1545</v>
      </c>
      <c r="K1534" t="s">
        <v>2946</v>
      </c>
      <c r="L1534">
        <f>IF(Table_TRM_Fixtures[[#This Row],[Technology]]="LED", Table_TRM_Fixtures[[#This Row],[Fixture Watts  (TRM Data)]], Table_TRM_Fixtures[[#This Row],[Lamp Watts  (TRM Data)]])</f>
        <v>41</v>
      </c>
      <c r="M1534">
        <f>Table_TRM_Fixtures[[#This Row],[No. of Lamps  (TRM Data)]]</f>
        <v>1</v>
      </c>
      <c r="N1534" t="s">
        <v>186</v>
      </c>
      <c r="O1534" t="s">
        <v>186</v>
      </c>
      <c r="R1534" t="s">
        <v>2946</v>
      </c>
      <c r="S1534" t="str">
        <f>Table_TRM_Fixtures[[#This Row],[Description  (TRM Data)]]</f>
        <v>Halogen/Incandescent, (1) 41W lamp</v>
      </c>
      <c r="T1534" t="str">
        <f>Table_TRM_Fixtures[[#This Row],[Fixture code  (TRM Data)]]</f>
        <v>H41/1</v>
      </c>
      <c r="U1534" t="s">
        <v>2882</v>
      </c>
      <c r="V1534" t="s">
        <v>186</v>
      </c>
      <c r="W1534" t="s">
        <v>3120</v>
      </c>
      <c r="X1534" t="s">
        <v>186</v>
      </c>
      <c r="Y1534" t="str">
        <f>_xlfn.CONCAT(Table_TRM_Fixtures[[#This Row],[Combined Lighting/Ballast Types]],":",Table_TRM_Fixtures[[#This Row],[No. of Lamps]], ":", Table_TRM_Fixtures[[#This Row],[Lamp Watts  (TRM Data)]])</f>
        <v>Halogen/Incandescent:1:41</v>
      </c>
      <c r="Z1534"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Halogen/Incandescent:1:41</v>
      </c>
      <c r="AA1534">
        <f>IF(Table_TRM_Fixtures[[#This Row],[Pre-EISA Baseline]]="Nominal", Table_TRM_Fixtures[[#This Row],[Fixture Watts  (TRM Data)]], Table_TRM_Fixtures[[#This Row],[Modified Baseline Fixture Watts]])</f>
        <v>41</v>
      </c>
    </row>
    <row r="1535" spans="1:27" x14ac:dyDescent="0.2">
      <c r="A1535" t="s">
        <v>6099</v>
      </c>
      <c r="B1535" t="s">
        <v>6099</v>
      </c>
      <c r="C1535" t="s">
        <v>6100</v>
      </c>
      <c r="D1535" t="s">
        <v>6101</v>
      </c>
      <c r="F1535">
        <v>1</v>
      </c>
      <c r="G1535">
        <v>42</v>
      </c>
      <c r="H1535">
        <v>42</v>
      </c>
      <c r="J1535" s="110">
        <v>1546</v>
      </c>
      <c r="K1535" t="s">
        <v>2946</v>
      </c>
      <c r="L1535">
        <f>IF(Table_TRM_Fixtures[[#This Row],[Technology]]="LED", Table_TRM_Fixtures[[#This Row],[Fixture Watts  (TRM Data)]], Table_TRM_Fixtures[[#This Row],[Lamp Watts  (TRM Data)]])</f>
        <v>42</v>
      </c>
      <c r="M1535">
        <f>Table_TRM_Fixtures[[#This Row],[No. of Lamps  (TRM Data)]]</f>
        <v>1</v>
      </c>
      <c r="N1535" t="s">
        <v>186</v>
      </c>
      <c r="O1535" t="s">
        <v>186</v>
      </c>
      <c r="R1535" t="s">
        <v>2946</v>
      </c>
      <c r="S1535" t="str">
        <f>Table_TRM_Fixtures[[#This Row],[Description  (TRM Data)]]</f>
        <v>Halogen/Incandescent, (1) 42W lamp</v>
      </c>
      <c r="T1535" t="str">
        <f>Table_TRM_Fixtures[[#This Row],[Fixture code  (TRM Data)]]</f>
        <v>H42/1</v>
      </c>
      <c r="U1535" t="s">
        <v>2882</v>
      </c>
      <c r="V1535" t="s">
        <v>186</v>
      </c>
      <c r="W1535" t="s">
        <v>3120</v>
      </c>
      <c r="X1535" t="s">
        <v>186</v>
      </c>
      <c r="Y1535" t="str">
        <f>_xlfn.CONCAT(Table_TRM_Fixtures[[#This Row],[Combined Lighting/Ballast Types]],":",Table_TRM_Fixtures[[#This Row],[No. of Lamps]], ":", Table_TRM_Fixtures[[#This Row],[Lamp Watts  (TRM Data)]])</f>
        <v>Halogen/Incandescent:1:42</v>
      </c>
      <c r="Z1535"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Halogen/Incandescent:1:42</v>
      </c>
      <c r="AA1535">
        <f>IF(Table_TRM_Fixtures[[#This Row],[Pre-EISA Baseline]]="Nominal", Table_TRM_Fixtures[[#This Row],[Fixture Watts  (TRM Data)]], Table_TRM_Fixtures[[#This Row],[Modified Baseline Fixture Watts]])</f>
        <v>42</v>
      </c>
    </row>
    <row r="1536" spans="1:27" x14ac:dyDescent="0.2">
      <c r="A1536" t="s">
        <v>6102</v>
      </c>
      <c r="B1536" t="s">
        <v>6102</v>
      </c>
      <c r="C1536" t="s">
        <v>6103</v>
      </c>
      <c r="D1536" t="s">
        <v>6104</v>
      </c>
      <c r="F1536">
        <v>1</v>
      </c>
      <c r="G1536">
        <v>43</v>
      </c>
      <c r="H1536">
        <v>43</v>
      </c>
      <c r="J1536" s="110">
        <v>1547</v>
      </c>
      <c r="K1536" t="s">
        <v>2946</v>
      </c>
      <c r="L1536">
        <f>IF(Table_TRM_Fixtures[[#This Row],[Technology]]="LED", Table_TRM_Fixtures[[#This Row],[Fixture Watts  (TRM Data)]], Table_TRM_Fixtures[[#This Row],[Lamp Watts  (TRM Data)]])</f>
        <v>43</v>
      </c>
      <c r="M1536">
        <f>Table_TRM_Fixtures[[#This Row],[No. of Lamps  (TRM Data)]]</f>
        <v>1</v>
      </c>
      <c r="N1536" t="s">
        <v>186</v>
      </c>
      <c r="O1536" t="s">
        <v>186</v>
      </c>
      <c r="R1536" t="s">
        <v>2946</v>
      </c>
      <c r="S1536" t="str">
        <f>Table_TRM_Fixtures[[#This Row],[Description  (TRM Data)]]</f>
        <v>Halogen/Incandescent, (1) 43W lamp</v>
      </c>
      <c r="T1536" t="str">
        <f>Table_TRM_Fixtures[[#This Row],[Fixture code  (TRM Data)]]</f>
        <v>H43/1</v>
      </c>
      <c r="U1536" t="s">
        <v>2882</v>
      </c>
      <c r="V1536" t="s">
        <v>186</v>
      </c>
      <c r="W1536" t="s">
        <v>3120</v>
      </c>
      <c r="X1536" t="s">
        <v>186</v>
      </c>
      <c r="Y1536" t="str">
        <f>_xlfn.CONCAT(Table_TRM_Fixtures[[#This Row],[Combined Lighting/Ballast Types]],":",Table_TRM_Fixtures[[#This Row],[No. of Lamps]], ":", Table_TRM_Fixtures[[#This Row],[Lamp Watts  (TRM Data)]])</f>
        <v>Halogen/Incandescent:1:43</v>
      </c>
      <c r="Z1536"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Halogen/Incandescent:1:43</v>
      </c>
      <c r="AA1536">
        <f>IF(Table_TRM_Fixtures[[#This Row],[Pre-EISA Baseline]]="Nominal", Table_TRM_Fixtures[[#This Row],[Fixture Watts  (TRM Data)]], Table_TRM_Fixtures[[#This Row],[Modified Baseline Fixture Watts]])</f>
        <v>43</v>
      </c>
    </row>
    <row r="1537" spans="1:27" x14ac:dyDescent="0.2">
      <c r="A1537" t="s">
        <v>6105</v>
      </c>
      <c r="B1537" t="s">
        <v>6105</v>
      </c>
      <c r="C1537" t="s">
        <v>6106</v>
      </c>
      <c r="D1537" t="s">
        <v>6107</v>
      </c>
      <c r="F1537">
        <v>1</v>
      </c>
      <c r="G1537">
        <v>44</v>
      </c>
      <c r="H1537">
        <v>44</v>
      </c>
      <c r="J1537" s="110">
        <v>1548</v>
      </c>
      <c r="K1537" t="s">
        <v>2946</v>
      </c>
      <c r="L1537">
        <f>IF(Table_TRM_Fixtures[[#This Row],[Technology]]="LED", Table_TRM_Fixtures[[#This Row],[Fixture Watts  (TRM Data)]], Table_TRM_Fixtures[[#This Row],[Lamp Watts  (TRM Data)]])</f>
        <v>44</v>
      </c>
      <c r="M1537">
        <f>Table_TRM_Fixtures[[#This Row],[No. of Lamps  (TRM Data)]]</f>
        <v>1</v>
      </c>
      <c r="N1537" t="s">
        <v>186</v>
      </c>
      <c r="O1537" t="s">
        <v>186</v>
      </c>
      <c r="R1537" t="s">
        <v>2946</v>
      </c>
      <c r="S1537" t="str">
        <f>Table_TRM_Fixtures[[#This Row],[Description  (TRM Data)]]</f>
        <v>Halogen/Incandescent, (1) 44W lamp</v>
      </c>
      <c r="T1537" t="str">
        <f>Table_TRM_Fixtures[[#This Row],[Fixture code  (TRM Data)]]</f>
        <v>H44/1</v>
      </c>
      <c r="U1537" t="s">
        <v>2882</v>
      </c>
      <c r="V1537" t="s">
        <v>186</v>
      </c>
      <c r="W1537" t="s">
        <v>3120</v>
      </c>
      <c r="X1537" t="s">
        <v>186</v>
      </c>
      <c r="Y1537" t="str">
        <f>_xlfn.CONCAT(Table_TRM_Fixtures[[#This Row],[Combined Lighting/Ballast Types]],":",Table_TRM_Fixtures[[#This Row],[No. of Lamps]], ":", Table_TRM_Fixtures[[#This Row],[Lamp Watts  (TRM Data)]])</f>
        <v>Halogen/Incandescent:1:44</v>
      </c>
      <c r="Z1537"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Halogen/Incandescent:1:44</v>
      </c>
      <c r="AA1537">
        <f>IF(Table_TRM_Fixtures[[#This Row],[Pre-EISA Baseline]]="Nominal", Table_TRM_Fixtures[[#This Row],[Fixture Watts  (TRM Data)]], Table_TRM_Fixtures[[#This Row],[Modified Baseline Fixture Watts]])</f>
        <v>44</v>
      </c>
    </row>
    <row r="1538" spans="1:27" x14ac:dyDescent="0.2">
      <c r="A1538" t="s">
        <v>6108</v>
      </c>
      <c r="B1538" t="s">
        <v>6108</v>
      </c>
      <c r="C1538" t="s">
        <v>6109</v>
      </c>
      <c r="D1538" t="s">
        <v>6110</v>
      </c>
      <c r="F1538">
        <v>1</v>
      </c>
      <c r="G1538">
        <v>45</v>
      </c>
      <c r="H1538">
        <v>45</v>
      </c>
      <c r="J1538" s="110">
        <v>1549</v>
      </c>
      <c r="K1538" t="s">
        <v>2946</v>
      </c>
      <c r="L1538">
        <f>IF(Table_TRM_Fixtures[[#This Row],[Technology]]="LED", Table_TRM_Fixtures[[#This Row],[Fixture Watts  (TRM Data)]], Table_TRM_Fixtures[[#This Row],[Lamp Watts  (TRM Data)]])</f>
        <v>45</v>
      </c>
      <c r="M1538">
        <f>Table_TRM_Fixtures[[#This Row],[No. of Lamps  (TRM Data)]]</f>
        <v>1</v>
      </c>
      <c r="N1538" t="s">
        <v>186</v>
      </c>
      <c r="O1538" t="s">
        <v>186</v>
      </c>
      <c r="R1538" t="s">
        <v>2946</v>
      </c>
      <c r="S1538" t="str">
        <f>Table_TRM_Fixtures[[#This Row],[Description  (TRM Data)]]</f>
        <v>Halogen/Incandescent, (1) 45W lamp</v>
      </c>
      <c r="T1538" t="str">
        <f>Table_TRM_Fixtures[[#This Row],[Fixture code  (TRM Data)]]</f>
        <v>H45/1</v>
      </c>
      <c r="U1538" t="s">
        <v>2882</v>
      </c>
      <c r="V1538" t="s">
        <v>186</v>
      </c>
      <c r="W1538" t="s">
        <v>3120</v>
      </c>
      <c r="X1538" t="s">
        <v>186</v>
      </c>
      <c r="Y1538" t="str">
        <f>_xlfn.CONCAT(Table_TRM_Fixtures[[#This Row],[Combined Lighting/Ballast Types]],":",Table_TRM_Fixtures[[#This Row],[No. of Lamps]], ":", Table_TRM_Fixtures[[#This Row],[Lamp Watts  (TRM Data)]])</f>
        <v>Halogen/Incandescent:1:45</v>
      </c>
      <c r="Z1538"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Halogen/Incandescent:1:45</v>
      </c>
      <c r="AA1538">
        <f>IF(Table_TRM_Fixtures[[#This Row],[Pre-EISA Baseline]]="Nominal", Table_TRM_Fixtures[[#This Row],[Fixture Watts  (TRM Data)]], Table_TRM_Fixtures[[#This Row],[Modified Baseline Fixture Watts]])</f>
        <v>45</v>
      </c>
    </row>
    <row r="1539" spans="1:27" x14ac:dyDescent="0.2">
      <c r="A1539" t="s">
        <v>6111</v>
      </c>
      <c r="B1539" t="s">
        <v>6111</v>
      </c>
      <c r="C1539" t="s">
        <v>6112</v>
      </c>
      <c r="D1539" t="s">
        <v>6113</v>
      </c>
      <c r="F1539">
        <v>1</v>
      </c>
      <c r="G1539">
        <v>46</v>
      </c>
      <c r="H1539">
        <v>46</v>
      </c>
      <c r="J1539" s="110">
        <v>1550</v>
      </c>
      <c r="K1539" t="s">
        <v>2946</v>
      </c>
      <c r="L1539">
        <f>IF(Table_TRM_Fixtures[[#This Row],[Technology]]="LED", Table_TRM_Fixtures[[#This Row],[Fixture Watts  (TRM Data)]], Table_TRM_Fixtures[[#This Row],[Lamp Watts  (TRM Data)]])</f>
        <v>46</v>
      </c>
      <c r="M1539">
        <f>Table_TRM_Fixtures[[#This Row],[No. of Lamps  (TRM Data)]]</f>
        <v>1</v>
      </c>
      <c r="N1539" t="s">
        <v>186</v>
      </c>
      <c r="O1539" t="s">
        <v>186</v>
      </c>
      <c r="R1539" t="s">
        <v>2946</v>
      </c>
      <c r="S1539" t="str">
        <f>Table_TRM_Fixtures[[#This Row],[Description  (TRM Data)]]</f>
        <v>Halogen/Incandescent, (1) 46W lamp</v>
      </c>
      <c r="T1539" t="str">
        <f>Table_TRM_Fixtures[[#This Row],[Fixture code  (TRM Data)]]</f>
        <v>H46/1</v>
      </c>
      <c r="U1539" t="s">
        <v>2882</v>
      </c>
      <c r="V1539" t="s">
        <v>186</v>
      </c>
      <c r="W1539" t="s">
        <v>3120</v>
      </c>
      <c r="X1539" t="s">
        <v>186</v>
      </c>
      <c r="Y1539" t="str">
        <f>_xlfn.CONCAT(Table_TRM_Fixtures[[#This Row],[Combined Lighting/Ballast Types]],":",Table_TRM_Fixtures[[#This Row],[No. of Lamps]], ":", Table_TRM_Fixtures[[#This Row],[Lamp Watts  (TRM Data)]])</f>
        <v>Halogen/Incandescent:1:46</v>
      </c>
      <c r="Z1539"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Halogen/Incandescent:1:46</v>
      </c>
      <c r="AA1539">
        <f>IF(Table_TRM_Fixtures[[#This Row],[Pre-EISA Baseline]]="Nominal", Table_TRM_Fixtures[[#This Row],[Fixture Watts  (TRM Data)]], Table_TRM_Fixtures[[#This Row],[Modified Baseline Fixture Watts]])</f>
        <v>46</v>
      </c>
    </row>
    <row r="1540" spans="1:27" x14ac:dyDescent="0.2">
      <c r="A1540" t="s">
        <v>6114</v>
      </c>
      <c r="B1540" t="s">
        <v>6114</v>
      </c>
      <c r="C1540" t="s">
        <v>6115</v>
      </c>
      <c r="D1540" t="s">
        <v>6116</v>
      </c>
      <c r="F1540">
        <v>1</v>
      </c>
      <c r="G1540">
        <v>47</v>
      </c>
      <c r="H1540">
        <v>47</v>
      </c>
      <c r="J1540" s="110">
        <v>1551</v>
      </c>
      <c r="K1540" t="s">
        <v>2946</v>
      </c>
      <c r="L1540">
        <f>IF(Table_TRM_Fixtures[[#This Row],[Technology]]="LED", Table_TRM_Fixtures[[#This Row],[Fixture Watts  (TRM Data)]], Table_TRM_Fixtures[[#This Row],[Lamp Watts  (TRM Data)]])</f>
        <v>47</v>
      </c>
      <c r="M1540">
        <f>Table_TRM_Fixtures[[#This Row],[No. of Lamps  (TRM Data)]]</f>
        <v>1</v>
      </c>
      <c r="N1540" t="s">
        <v>186</v>
      </c>
      <c r="O1540" t="s">
        <v>186</v>
      </c>
      <c r="R1540" t="s">
        <v>2946</v>
      </c>
      <c r="S1540" t="str">
        <f>Table_TRM_Fixtures[[#This Row],[Description  (TRM Data)]]</f>
        <v>Halogen/Incandescent, (1) 47W lamp</v>
      </c>
      <c r="T1540" t="str">
        <f>Table_TRM_Fixtures[[#This Row],[Fixture code  (TRM Data)]]</f>
        <v>H47/1</v>
      </c>
      <c r="U1540" t="s">
        <v>2882</v>
      </c>
      <c r="V1540" t="s">
        <v>186</v>
      </c>
      <c r="W1540" t="s">
        <v>3120</v>
      </c>
      <c r="X1540" t="s">
        <v>186</v>
      </c>
      <c r="Y1540" t="str">
        <f>_xlfn.CONCAT(Table_TRM_Fixtures[[#This Row],[Combined Lighting/Ballast Types]],":",Table_TRM_Fixtures[[#This Row],[No. of Lamps]], ":", Table_TRM_Fixtures[[#This Row],[Lamp Watts  (TRM Data)]])</f>
        <v>Halogen/Incandescent:1:47</v>
      </c>
      <c r="Z1540"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Halogen/Incandescent:1:47</v>
      </c>
      <c r="AA1540">
        <f>IF(Table_TRM_Fixtures[[#This Row],[Pre-EISA Baseline]]="Nominal", Table_TRM_Fixtures[[#This Row],[Fixture Watts  (TRM Data)]], Table_TRM_Fixtures[[#This Row],[Modified Baseline Fixture Watts]])</f>
        <v>47</v>
      </c>
    </row>
    <row r="1541" spans="1:27" x14ac:dyDescent="0.2">
      <c r="A1541" t="s">
        <v>6117</v>
      </c>
      <c r="B1541" t="s">
        <v>6117</v>
      </c>
      <c r="C1541" t="s">
        <v>6118</v>
      </c>
      <c r="D1541" t="s">
        <v>6119</v>
      </c>
      <c r="F1541">
        <v>1</v>
      </c>
      <c r="G1541">
        <v>48</v>
      </c>
      <c r="H1541">
        <v>48</v>
      </c>
      <c r="J1541" s="110">
        <v>1552</v>
      </c>
      <c r="K1541" t="s">
        <v>2946</v>
      </c>
      <c r="L1541">
        <f>IF(Table_TRM_Fixtures[[#This Row],[Technology]]="LED", Table_TRM_Fixtures[[#This Row],[Fixture Watts  (TRM Data)]], Table_TRM_Fixtures[[#This Row],[Lamp Watts  (TRM Data)]])</f>
        <v>48</v>
      </c>
      <c r="M1541">
        <f>Table_TRM_Fixtures[[#This Row],[No. of Lamps  (TRM Data)]]</f>
        <v>1</v>
      </c>
      <c r="N1541" t="s">
        <v>186</v>
      </c>
      <c r="O1541" t="s">
        <v>186</v>
      </c>
      <c r="R1541" t="s">
        <v>2946</v>
      </c>
      <c r="S1541" t="str">
        <f>Table_TRM_Fixtures[[#This Row],[Description  (TRM Data)]]</f>
        <v>Halogen/Incandescent, (1) 48W lamp</v>
      </c>
      <c r="T1541" t="str">
        <f>Table_TRM_Fixtures[[#This Row],[Fixture code  (TRM Data)]]</f>
        <v>H48/1</v>
      </c>
      <c r="U1541" t="s">
        <v>2882</v>
      </c>
      <c r="V1541" t="s">
        <v>186</v>
      </c>
      <c r="W1541" t="s">
        <v>3120</v>
      </c>
      <c r="X1541" t="s">
        <v>186</v>
      </c>
      <c r="Y1541" t="str">
        <f>_xlfn.CONCAT(Table_TRM_Fixtures[[#This Row],[Combined Lighting/Ballast Types]],":",Table_TRM_Fixtures[[#This Row],[No. of Lamps]], ":", Table_TRM_Fixtures[[#This Row],[Lamp Watts  (TRM Data)]])</f>
        <v>Halogen/Incandescent:1:48</v>
      </c>
      <c r="Z1541"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Halogen/Incandescent:1:48</v>
      </c>
      <c r="AA1541">
        <f>IF(Table_TRM_Fixtures[[#This Row],[Pre-EISA Baseline]]="Nominal", Table_TRM_Fixtures[[#This Row],[Fixture Watts  (TRM Data)]], Table_TRM_Fixtures[[#This Row],[Modified Baseline Fixture Watts]])</f>
        <v>48</v>
      </c>
    </row>
    <row r="1542" spans="1:27" x14ac:dyDescent="0.2">
      <c r="A1542" t="s">
        <v>6120</v>
      </c>
      <c r="B1542" t="s">
        <v>6120</v>
      </c>
      <c r="C1542" t="s">
        <v>6121</v>
      </c>
      <c r="D1542" t="s">
        <v>6122</v>
      </c>
      <c r="F1542">
        <v>1</v>
      </c>
      <c r="G1542">
        <v>49</v>
      </c>
      <c r="H1542">
        <v>49</v>
      </c>
      <c r="J1542" s="110">
        <v>1553</v>
      </c>
      <c r="K1542" t="s">
        <v>2946</v>
      </c>
      <c r="L1542">
        <f>IF(Table_TRM_Fixtures[[#This Row],[Technology]]="LED", Table_TRM_Fixtures[[#This Row],[Fixture Watts  (TRM Data)]], Table_TRM_Fixtures[[#This Row],[Lamp Watts  (TRM Data)]])</f>
        <v>49</v>
      </c>
      <c r="M1542">
        <f>Table_TRM_Fixtures[[#This Row],[No. of Lamps  (TRM Data)]]</f>
        <v>1</v>
      </c>
      <c r="N1542" t="s">
        <v>186</v>
      </c>
      <c r="O1542" t="s">
        <v>186</v>
      </c>
      <c r="R1542" t="s">
        <v>2946</v>
      </c>
      <c r="S1542" t="str">
        <f>Table_TRM_Fixtures[[#This Row],[Description  (TRM Data)]]</f>
        <v>Halogen/Incandescent, (1) 49W lamp</v>
      </c>
      <c r="T1542" t="str">
        <f>Table_TRM_Fixtures[[#This Row],[Fixture code  (TRM Data)]]</f>
        <v>H49/1</v>
      </c>
      <c r="U1542" t="s">
        <v>2882</v>
      </c>
      <c r="V1542" t="s">
        <v>186</v>
      </c>
      <c r="W1542" t="s">
        <v>3120</v>
      </c>
      <c r="X1542" t="s">
        <v>186</v>
      </c>
      <c r="Y1542" t="str">
        <f>_xlfn.CONCAT(Table_TRM_Fixtures[[#This Row],[Combined Lighting/Ballast Types]],":",Table_TRM_Fixtures[[#This Row],[No. of Lamps]], ":", Table_TRM_Fixtures[[#This Row],[Lamp Watts  (TRM Data)]])</f>
        <v>Halogen/Incandescent:1:49</v>
      </c>
      <c r="Z1542"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Halogen/Incandescent:1:49</v>
      </c>
      <c r="AA1542">
        <f>IF(Table_TRM_Fixtures[[#This Row],[Pre-EISA Baseline]]="Nominal", Table_TRM_Fixtures[[#This Row],[Fixture Watts  (TRM Data)]], Table_TRM_Fixtures[[#This Row],[Modified Baseline Fixture Watts]])</f>
        <v>49</v>
      </c>
    </row>
    <row r="1543" spans="1:27" x14ac:dyDescent="0.2">
      <c r="A1543" t="s">
        <v>6123</v>
      </c>
      <c r="B1543" t="s">
        <v>6123</v>
      </c>
      <c r="C1543" t="s">
        <v>6124</v>
      </c>
      <c r="D1543" t="s">
        <v>6125</v>
      </c>
      <c r="F1543">
        <v>1</v>
      </c>
      <c r="G1543">
        <v>50</v>
      </c>
      <c r="H1543">
        <v>50</v>
      </c>
      <c r="J1543" s="110">
        <v>1554</v>
      </c>
      <c r="K1543" t="s">
        <v>2946</v>
      </c>
      <c r="L1543">
        <f>IF(Table_TRM_Fixtures[[#This Row],[Technology]]="LED", Table_TRM_Fixtures[[#This Row],[Fixture Watts  (TRM Data)]], Table_TRM_Fixtures[[#This Row],[Lamp Watts  (TRM Data)]])</f>
        <v>50</v>
      </c>
      <c r="M1543">
        <f>Table_TRM_Fixtures[[#This Row],[No. of Lamps  (TRM Data)]]</f>
        <v>1</v>
      </c>
      <c r="N1543" t="s">
        <v>186</v>
      </c>
      <c r="O1543" t="s">
        <v>186</v>
      </c>
      <c r="R1543" t="s">
        <v>2946</v>
      </c>
      <c r="S1543" t="str">
        <f>Table_TRM_Fixtures[[#This Row],[Description  (TRM Data)]]</f>
        <v>Halogen/Incandescent, (1) 50W lamp</v>
      </c>
      <c r="T1543" t="str">
        <f>Table_TRM_Fixtures[[#This Row],[Fixture code  (TRM Data)]]</f>
        <v>H50/1</v>
      </c>
      <c r="U1543" t="s">
        <v>2882</v>
      </c>
      <c r="V1543" t="s">
        <v>186</v>
      </c>
      <c r="W1543" t="s">
        <v>3120</v>
      </c>
      <c r="X1543" t="s">
        <v>186</v>
      </c>
      <c r="Y1543" t="str">
        <f>_xlfn.CONCAT(Table_TRM_Fixtures[[#This Row],[Combined Lighting/Ballast Types]],":",Table_TRM_Fixtures[[#This Row],[No. of Lamps]], ":", Table_TRM_Fixtures[[#This Row],[Lamp Watts  (TRM Data)]])</f>
        <v>Halogen/Incandescent:1:50</v>
      </c>
      <c r="Z1543"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Halogen/Incandescent:1:50</v>
      </c>
      <c r="AA1543">
        <f>IF(Table_TRM_Fixtures[[#This Row],[Pre-EISA Baseline]]="Nominal", Table_TRM_Fixtures[[#This Row],[Fixture Watts  (TRM Data)]], Table_TRM_Fixtures[[#This Row],[Modified Baseline Fixture Watts]])</f>
        <v>50</v>
      </c>
    </row>
    <row r="1544" spans="1:27" x14ac:dyDescent="0.2">
      <c r="A1544" t="s">
        <v>6126</v>
      </c>
      <c r="B1544" t="s">
        <v>6126</v>
      </c>
      <c r="C1544" t="s">
        <v>6127</v>
      </c>
      <c r="D1544" t="s">
        <v>6128</v>
      </c>
      <c r="F1544">
        <v>1</v>
      </c>
      <c r="G1544">
        <v>51</v>
      </c>
      <c r="H1544">
        <v>51</v>
      </c>
      <c r="J1544" s="110">
        <v>1555</v>
      </c>
      <c r="K1544" t="s">
        <v>2946</v>
      </c>
      <c r="L1544">
        <f>IF(Table_TRM_Fixtures[[#This Row],[Technology]]="LED", Table_TRM_Fixtures[[#This Row],[Fixture Watts  (TRM Data)]], Table_TRM_Fixtures[[#This Row],[Lamp Watts  (TRM Data)]])</f>
        <v>51</v>
      </c>
      <c r="M1544">
        <f>Table_TRM_Fixtures[[#This Row],[No. of Lamps  (TRM Data)]]</f>
        <v>1</v>
      </c>
      <c r="N1544" t="s">
        <v>186</v>
      </c>
      <c r="O1544" t="s">
        <v>186</v>
      </c>
      <c r="R1544" t="s">
        <v>2946</v>
      </c>
      <c r="S1544" t="str">
        <f>Table_TRM_Fixtures[[#This Row],[Description  (TRM Data)]]</f>
        <v>Halogen/Incandescent, (1) 51W lamp</v>
      </c>
      <c r="T1544" t="str">
        <f>Table_TRM_Fixtures[[#This Row],[Fixture code  (TRM Data)]]</f>
        <v>H51/1</v>
      </c>
      <c r="U1544" t="s">
        <v>2882</v>
      </c>
      <c r="V1544" t="s">
        <v>186</v>
      </c>
      <c r="W1544" t="s">
        <v>3120</v>
      </c>
      <c r="X1544" t="s">
        <v>186</v>
      </c>
      <c r="Y1544" t="str">
        <f>_xlfn.CONCAT(Table_TRM_Fixtures[[#This Row],[Combined Lighting/Ballast Types]],":",Table_TRM_Fixtures[[#This Row],[No. of Lamps]], ":", Table_TRM_Fixtures[[#This Row],[Lamp Watts  (TRM Data)]])</f>
        <v>Halogen/Incandescent:1:51</v>
      </c>
      <c r="Z1544"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Halogen/Incandescent:1:51</v>
      </c>
      <c r="AA1544">
        <f>IF(Table_TRM_Fixtures[[#This Row],[Pre-EISA Baseline]]="Nominal", Table_TRM_Fixtures[[#This Row],[Fixture Watts  (TRM Data)]], Table_TRM_Fixtures[[#This Row],[Modified Baseline Fixture Watts]])</f>
        <v>51</v>
      </c>
    </row>
    <row r="1545" spans="1:27" x14ac:dyDescent="0.2">
      <c r="A1545" t="s">
        <v>6129</v>
      </c>
      <c r="B1545" t="s">
        <v>6129</v>
      </c>
      <c r="C1545" t="s">
        <v>6130</v>
      </c>
      <c r="D1545" t="s">
        <v>6131</v>
      </c>
      <c r="F1545">
        <v>1</v>
      </c>
      <c r="G1545">
        <v>52</v>
      </c>
      <c r="H1545">
        <v>52</v>
      </c>
      <c r="J1545" s="110">
        <v>1556</v>
      </c>
      <c r="K1545" t="s">
        <v>2946</v>
      </c>
      <c r="L1545">
        <f>IF(Table_TRM_Fixtures[[#This Row],[Technology]]="LED", Table_TRM_Fixtures[[#This Row],[Fixture Watts  (TRM Data)]], Table_TRM_Fixtures[[#This Row],[Lamp Watts  (TRM Data)]])</f>
        <v>52</v>
      </c>
      <c r="M1545">
        <f>Table_TRM_Fixtures[[#This Row],[No. of Lamps  (TRM Data)]]</f>
        <v>1</v>
      </c>
      <c r="N1545" t="s">
        <v>186</v>
      </c>
      <c r="O1545" t="s">
        <v>186</v>
      </c>
      <c r="R1545" t="s">
        <v>2946</v>
      </c>
      <c r="S1545" t="str">
        <f>Table_TRM_Fixtures[[#This Row],[Description  (TRM Data)]]</f>
        <v>Halogen/Incandescent, (1) 52W lamp</v>
      </c>
      <c r="T1545" t="str">
        <f>Table_TRM_Fixtures[[#This Row],[Fixture code  (TRM Data)]]</f>
        <v>H52/1</v>
      </c>
      <c r="U1545" t="s">
        <v>2882</v>
      </c>
      <c r="V1545" t="s">
        <v>186</v>
      </c>
      <c r="W1545" t="s">
        <v>3120</v>
      </c>
      <c r="X1545" t="s">
        <v>186</v>
      </c>
      <c r="Y1545" t="str">
        <f>_xlfn.CONCAT(Table_TRM_Fixtures[[#This Row],[Combined Lighting/Ballast Types]],":",Table_TRM_Fixtures[[#This Row],[No. of Lamps]], ":", Table_TRM_Fixtures[[#This Row],[Lamp Watts  (TRM Data)]])</f>
        <v>Halogen/Incandescent:1:52</v>
      </c>
      <c r="Z1545"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Halogen/Incandescent:1:52</v>
      </c>
      <c r="AA1545">
        <f>IF(Table_TRM_Fixtures[[#This Row],[Pre-EISA Baseline]]="Nominal", Table_TRM_Fixtures[[#This Row],[Fixture Watts  (TRM Data)]], Table_TRM_Fixtures[[#This Row],[Modified Baseline Fixture Watts]])</f>
        <v>52</v>
      </c>
    </row>
    <row r="1546" spans="1:27" x14ac:dyDescent="0.2">
      <c r="A1546" t="s">
        <v>6132</v>
      </c>
      <c r="B1546" t="s">
        <v>6132</v>
      </c>
      <c r="C1546" t="s">
        <v>6133</v>
      </c>
      <c r="D1546" t="s">
        <v>6134</v>
      </c>
      <c r="F1546">
        <v>1</v>
      </c>
      <c r="G1546">
        <v>53</v>
      </c>
      <c r="H1546">
        <v>53</v>
      </c>
      <c r="J1546" s="110">
        <v>1557</v>
      </c>
      <c r="K1546" t="s">
        <v>2946</v>
      </c>
      <c r="L1546">
        <f>IF(Table_TRM_Fixtures[[#This Row],[Technology]]="LED", Table_TRM_Fixtures[[#This Row],[Fixture Watts  (TRM Data)]], Table_TRM_Fixtures[[#This Row],[Lamp Watts  (TRM Data)]])</f>
        <v>53</v>
      </c>
      <c r="M1546">
        <f>Table_TRM_Fixtures[[#This Row],[No. of Lamps  (TRM Data)]]</f>
        <v>1</v>
      </c>
      <c r="N1546" t="s">
        <v>186</v>
      </c>
      <c r="O1546" t="s">
        <v>186</v>
      </c>
      <c r="R1546" t="s">
        <v>2946</v>
      </c>
      <c r="S1546" t="str">
        <f>Table_TRM_Fixtures[[#This Row],[Description  (TRM Data)]]</f>
        <v>Halogen/Incandescent, (1) 53W lamp</v>
      </c>
      <c r="T1546" t="str">
        <f>Table_TRM_Fixtures[[#This Row],[Fixture code  (TRM Data)]]</f>
        <v>H53/1</v>
      </c>
      <c r="U1546" t="s">
        <v>2882</v>
      </c>
      <c r="V1546" t="s">
        <v>186</v>
      </c>
      <c r="W1546" t="s">
        <v>3120</v>
      </c>
      <c r="X1546" t="s">
        <v>186</v>
      </c>
      <c r="Y1546" t="str">
        <f>_xlfn.CONCAT(Table_TRM_Fixtures[[#This Row],[Combined Lighting/Ballast Types]],":",Table_TRM_Fixtures[[#This Row],[No. of Lamps]], ":", Table_TRM_Fixtures[[#This Row],[Lamp Watts  (TRM Data)]])</f>
        <v>Halogen/Incandescent:1:53</v>
      </c>
      <c r="Z1546"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Halogen/Incandescent:1:53</v>
      </c>
      <c r="AA1546">
        <f>IF(Table_TRM_Fixtures[[#This Row],[Pre-EISA Baseline]]="Nominal", Table_TRM_Fixtures[[#This Row],[Fixture Watts  (TRM Data)]], Table_TRM_Fixtures[[#This Row],[Modified Baseline Fixture Watts]])</f>
        <v>53</v>
      </c>
    </row>
    <row r="1547" spans="1:27" x14ac:dyDescent="0.2">
      <c r="A1547" t="s">
        <v>6135</v>
      </c>
      <c r="B1547" t="s">
        <v>6135</v>
      </c>
      <c r="C1547" t="s">
        <v>6136</v>
      </c>
      <c r="D1547" t="s">
        <v>6137</v>
      </c>
      <c r="F1547">
        <v>1</v>
      </c>
      <c r="G1547">
        <v>54</v>
      </c>
      <c r="H1547">
        <v>54</v>
      </c>
      <c r="J1547" s="110">
        <v>1558</v>
      </c>
      <c r="K1547" t="s">
        <v>2946</v>
      </c>
      <c r="L1547">
        <f>IF(Table_TRM_Fixtures[[#This Row],[Technology]]="LED", Table_TRM_Fixtures[[#This Row],[Fixture Watts  (TRM Data)]], Table_TRM_Fixtures[[#This Row],[Lamp Watts  (TRM Data)]])</f>
        <v>54</v>
      </c>
      <c r="M1547">
        <f>Table_TRM_Fixtures[[#This Row],[No. of Lamps  (TRM Data)]]</f>
        <v>1</v>
      </c>
      <c r="N1547" t="s">
        <v>186</v>
      </c>
      <c r="O1547" t="s">
        <v>186</v>
      </c>
      <c r="R1547" t="s">
        <v>2946</v>
      </c>
      <c r="S1547" t="str">
        <f>Table_TRM_Fixtures[[#This Row],[Description  (TRM Data)]]</f>
        <v>Halogen/Incandescent, (1) 54W lamp</v>
      </c>
      <c r="T1547" t="str">
        <f>Table_TRM_Fixtures[[#This Row],[Fixture code  (TRM Data)]]</f>
        <v>H54/1</v>
      </c>
      <c r="U1547" t="s">
        <v>2882</v>
      </c>
      <c r="V1547" t="s">
        <v>186</v>
      </c>
      <c r="W1547" t="s">
        <v>3120</v>
      </c>
      <c r="X1547" t="s">
        <v>186</v>
      </c>
      <c r="Y1547" t="str">
        <f>_xlfn.CONCAT(Table_TRM_Fixtures[[#This Row],[Combined Lighting/Ballast Types]],":",Table_TRM_Fixtures[[#This Row],[No. of Lamps]], ":", Table_TRM_Fixtures[[#This Row],[Lamp Watts  (TRM Data)]])</f>
        <v>Halogen/Incandescent:1:54</v>
      </c>
      <c r="Z1547"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Halogen/Incandescent:1:54</v>
      </c>
      <c r="AA1547">
        <f>IF(Table_TRM_Fixtures[[#This Row],[Pre-EISA Baseline]]="Nominal", Table_TRM_Fixtures[[#This Row],[Fixture Watts  (TRM Data)]], Table_TRM_Fixtures[[#This Row],[Modified Baseline Fixture Watts]])</f>
        <v>54</v>
      </c>
    </row>
    <row r="1548" spans="1:27" x14ac:dyDescent="0.2">
      <c r="A1548" t="s">
        <v>6138</v>
      </c>
      <c r="B1548" t="s">
        <v>6138</v>
      </c>
      <c r="C1548" t="s">
        <v>6139</v>
      </c>
      <c r="D1548" t="s">
        <v>6140</v>
      </c>
      <c r="F1548">
        <v>1</v>
      </c>
      <c r="G1548">
        <v>55</v>
      </c>
      <c r="H1548">
        <v>55</v>
      </c>
      <c r="J1548" s="110">
        <v>1559</v>
      </c>
      <c r="K1548" t="s">
        <v>2946</v>
      </c>
      <c r="L1548">
        <f>IF(Table_TRM_Fixtures[[#This Row],[Technology]]="LED", Table_TRM_Fixtures[[#This Row],[Fixture Watts  (TRM Data)]], Table_TRM_Fixtures[[#This Row],[Lamp Watts  (TRM Data)]])</f>
        <v>55</v>
      </c>
      <c r="M1548">
        <f>Table_TRM_Fixtures[[#This Row],[No. of Lamps  (TRM Data)]]</f>
        <v>1</v>
      </c>
      <c r="N1548" t="s">
        <v>186</v>
      </c>
      <c r="O1548" t="s">
        <v>186</v>
      </c>
      <c r="R1548" t="s">
        <v>2946</v>
      </c>
      <c r="S1548" t="str">
        <f>Table_TRM_Fixtures[[#This Row],[Description  (TRM Data)]]</f>
        <v>Halogen/Incandescent, (1) 55W lamp</v>
      </c>
      <c r="T1548" t="str">
        <f>Table_TRM_Fixtures[[#This Row],[Fixture code  (TRM Data)]]</f>
        <v>H55/1</v>
      </c>
      <c r="U1548" t="s">
        <v>2882</v>
      </c>
      <c r="V1548" t="s">
        <v>186</v>
      </c>
      <c r="W1548" t="s">
        <v>3120</v>
      </c>
      <c r="X1548" t="s">
        <v>186</v>
      </c>
      <c r="Y1548" t="str">
        <f>_xlfn.CONCAT(Table_TRM_Fixtures[[#This Row],[Combined Lighting/Ballast Types]],":",Table_TRM_Fixtures[[#This Row],[No. of Lamps]], ":", Table_TRM_Fixtures[[#This Row],[Lamp Watts  (TRM Data)]])</f>
        <v>Halogen/Incandescent:1:55</v>
      </c>
      <c r="Z1548"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Halogen/Incandescent:1:55</v>
      </c>
      <c r="AA1548">
        <f>IF(Table_TRM_Fixtures[[#This Row],[Pre-EISA Baseline]]="Nominal", Table_TRM_Fixtures[[#This Row],[Fixture Watts  (TRM Data)]], Table_TRM_Fixtures[[#This Row],[Modified Baseline Fixture Watts]])</f>
        <v>55</v>
      </c>
    </row>
    <row r="1549" spans="1:27" x14ac:dyDescent="0.2">
      <c r="A1549" t="s">
        <v>6141</v>
      </c>
      <c r="B1549" t="s">
        <v>6141</v>
      </c>
      <c r="C1549" t="s">
        <v>6142</v>
      </c>
      <c r="D1549" t="s">
        <v>6143</v>
      </c>
      <c r="F1549">
        <v>1</v>
      </c>
      <c r="G1549">
        <v>56</v>
      </c>
      <c r="H1549">
        <v>56</v>
      </c>
      <c r="J1549" s="110">
        <v>1560</v>
      </c>
      <c r="K1549" t="s">
        <v>2946</v>
      </c>
      <c r="L1549">
        <f>IF(Table_TRM_Fixtures[[#This Row],[Technology]]="LED", Table_TRM_Fixtures[[#This Row],[Fixture Watts  (TRM Data)]], Table_TRM_Fixtures[[#This Row],[Lamp Watts  (TRM Data)]])</f>
        <v>56</v>
      </c>
      <c r="M1549">
        <f>Table_TRM_Fixtures[[#This Row],[No. of Lamps  (TRM Data)]]</f>
        <v>1</v>
      </c>
      <c r="N1549" t="s">
        <v>186</v>
      </c>
      <c r="O1549" t="s">
        <v>186</v>
      </c>
      <c r="R1549" t="s">
        <v>2946</v>
      </c>
      <c r="S1549" t="str">
        <f>Table_TRM_Fixtures[[#This Row],[Description  (TRM Data)]]</f>
        <v>Halogen/Incandescent, (1) 56W lamp</v>
      </c>
      <c r="T1549" t="str">
        <f>Table_TRM_Fixtures[[#This Row],[Fixture code  (TRM Data)]]</f>
        <v>H56/1</v>
      </c>
      <c r="U1549" t="s">
        <v>2882</v>
      </c>
      <c r="V1549" t="s">
        <v>186</v>
      </c>
      <c r="W1549" t="s">
        <v>3120</v>
      </c>
      <c r="X1549" t="s">
        <v>186</v>
      </c>
      <c r="Y1549" t="str">
        <f>_xlfn.CONCAT(Table_TRM_Fixtures[[#This Row],[Combined Lighting/Ballast Types]],":",Table_TRM_Fixtures[[#This Row],[No. of Lamps]], ":", Table_TRM_Fixtures[[#This Row],[Lamp Watts  (TRM Data)]])</f>
        <v>Halogen/Incandescent:1:56</v>
      </c>
      <c r="Z1549"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Halogen/Incandescent:1:56</v>
      </c>
      <c r="AA1549">
        <f>IF(Table_TRM_Fixtures[[#This Row],[Pre-EISA Baseline]]="Nominal", Table_TRM_Fixtures[[#This Row],[Fixture Watts  (TRM Data)]], Table_TRM_Fixtures[[#This Row],[Modified Baseline Fixture Watts]])</f>
        <v>56</v>
      </c>
    </row>
    <row r="1550" spans="1:27" x14ac:dyDescent="0.2">
      <c r="A1550" t="s">
        <v>6144</v>
      </c>
      <c r="B1550" t="s">
        <v>6144</v>
      </c>
      <c r="C1550" t="s">
        <v>6145</v>
      </c>
      <c r="D1550" t="s">
        <v>6146</v>
      </c>
      <c r="F1550">
        <v>1</v>
      </c>
      <c r="G1550">
        <v>57</v>
      </c>
      <c r="H1550">
        <v>57</v>
      </c>
      <c r="J1550" s="110">
        <v>1561</v>
      </c>
      <c r="K1550" t="s">
        <v>2946</v>
      </c>
      <c r="L1550">
        <f>IF(Table_TRM_Fixtures[[#This Row],[Technology]]="LED", Table_TRM_Fixtures[[#This Row],[Fixture Watts  (TRM Data)]], Table_TRM_Fixtures[[#This Row],[Lamp Watts  (TRM Data)]])</f>
        <v>57</v>
      </c>
      <c r="M1550">
        <f>Table_TRM_Fixtures[[#This Row],[No. of Lamps  (TRM Data)]]</f>
        <v>1</v>
      </c>
      <c r="N1550" t="s">
        <v>186</v>
      </c>
      <c r="O1550" t="s">
        <v>186</v>
      </c>
      <c r="R1550" t="s">
        <v>2946</v>
      </c>
      <c r="S1550" t="str">
        <f>Table_TRM_Fixtures[[#This Row],[Description  (TRM Data)]]</f>
        <v>Halogen/Incandescent, (1) 57W lamp</v>
      </c>
      <c r="T1550" t="str">
        <f>Table_TRM_Fixtures[[#This Row],[Fixture code  (TRM Data)]]</f>
        <v>H57/1</v>
      </c>
      <c r="U1550" t="s">
        <v>2882</v>
      </c>
      <c r="V1550" t="s">
        <v>186</v>
      </c>
      <c r="W1550" t="s">
        <v>3120</v>
      </c>
      <c r="X1550" t="s">
        <v>186</v>
      </c>
      <c r="Y1550" t="str">
        <f>_xlfn.CONCAT(Table_TRM_Fixtures[[#This Row],[Combined Lighting/Ballast Types]],":",Table_TRM_Fixtures[[#This Row],[No. of Lamps]], ":", Table_TRM_Fixtures[[#This Row],[Lamp Watts  (TRM Data)]])</f>
        <v>Halogen/Incandescent:1:57</v>
      </c>
      <c r="Z1550"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Halogen/Incandescent:1:57</v>
      </c>
      <c r="AA1550">
        <f>IF(Table_TRM_Fixtures[[#This Row],[Pre-EISA Baseline]]="Nominal", Table_TRM_Fixtures[[#This Row],[Fixture Watts  (TRM Data)]], Table_TRM_Fixtures[[#This Row],[Modified Baseline Fixture Watts]])</f>
        <v>57</v>
      </c>
    </row>
    <row r="1551" spans="1:27" x14ac:dyDescent="0.2">
      <c r="A1551" t="s">
        <v>6147</v>
      </c>
      <c r="B1551" t="s">
        <v>6147</v>
      </c>
      <c r="C1551" t="s">
        <v>6148</v>
      </c>
      <c r="D1551" t="s">
        <v>6149</v>
      </c>
      <c r="F1551">
        <v>1</v>
      </c>
      <c r="G1551">
        <v>58</v>
      </c>
      <c r="H1551">
        <v>58</v>
      </c>
      <c r="J1551" s="110">
        <v>1562</v>
      </c>
      <c r="K1551" t="s">
        <v>2946</v>
      </c>
      <c r="L1551">
        <f>IF(Table_TRM_Fixtures[[#This Row],[Technology]]="LED", Table_TRM_Fixtures[[#This Row],[Fixture Watts  (TRM Data)]], Table_TRM_Fixtures[[#This Row],[Lamp Watts  (TRM Data)]])</f>
        <v>58</v>
      </c>
      <c r="M1551">
        <f>Table_TRM_Fixtures[[#This Row],[No. of Lamps  (TRM Data)]]</f>
        <v>1</v>
      </c>
      <c r="N1551" t="s">
        <v>186</v>
      </c>
      <c r="O1551" t="s">
        <v>186</v>
      </c>
      <c r="R1551" t="s">
        <v>2946</v>
      </c>
      <c r="S1551" t="str">
        <f>Table_TRM_Fixtures[[#This Row],[Description  (TRM Data)]]</f>
        <v>Halogen/Incandescent, (1) 58W lamp</v>
      </c>
      <c r="T1551" t="str">
        <f>Table_TRM_Fixtures[[#This Row],[Fixture code  (TRM Data)]]</f>
        <v>H58/1</v>
      </c>
      <c r="U1551" t="s">
        <v>2882</v>
      </c>
      <c r="V1551" t="s">
        <v>186</v>
      </c>
      <c r="W1551" t="s">
        <v>3120</v>
      </c>
      <c r="X1551" t="s">
        <v>186</v>
      </c>
      <c r="Y1551" t="str">
        <f>_xlfn.CONCAT(Table_TRM_Fixtures[[#This Row],[Combined Lighting/Ballast Types]],":",Table_TRM_Fixtures[[#This Row],[No. of Lamps]], ":", Table_TRM_Fixtures[[#This Row],[Lamp Watts  (TRM Data)]])</f>
        <v>Halogen/Incandescent:1:58</v>
      </c>
      <c r="Z1551"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Halogen/Incandescent:1:58</v>
      </c>
      <c r="AA1551">
        <f>IF(Table_TRM_Fixtures[[#This Row],[Pre-EISA Baseline]]="Nominal", Table_TRM_Fixtures[[#This Row],[Fixture Watts  (TRM Data)]], Table_TRM_Fixtures[[#This Row],[Modified Baseline Fixture Watts]])</f>
        <v>58</v>
      </c>
    </row>
    <row r="1552" spans="1:27" x14ac:dyDescent="0.2">
      <c r="A1552" t="s">
        <v>6150</v>
      </c>
      <c r="B1552" t="s">
        <v>6150</v>
      </c>
      <c r="C1552" t="s">
        <v>6151</v>
      </c>
      <c r="D1552" t="s">
        <v>6152</v>
      </c>
      <c r="F1552">
        <v>1</v>
      </c>
      <c r="G1552">
        <v>59</v>
      </c>
      <c r="H1552">
        <v>59</v>
      </c>
      <c r="J1552" s="110">
        <v>1563</v>
      </c>
      <c r="K1552" t="s">
        <v>2946</v>
      </c>
      <c r="L1552">
        <f>IF(Table_TRM_Fixtures[[#This Row],[Technology]]="LED", Table_TRM_Fixtures[[#This Row],[Fixture Watts  (TRM Data)]], Table_TRM_Fixtures[[#This Row],[Lamp Watts  (TRM Data)]])</f>
        <v>59</v>
      </c>
      <c r="M1552">
        <f>Table_TRM_Fixtures[[#This Row],[No. of Lamps  (TRM Data)]]</f>
        <v>1</v>
      </c>
      <c r="N1552" t="s">
        <v>186</v>
      </c>
      <c r="O1552" t="s">
        <v>186</v>
      </c>
      <c r="R1552" t="s">
        <v>2946</v>
      </c>
      <c r="S1552" t="str">
        <f>Table_TRM_Fixtures[[#This Row],[Description  (TRM Data)]]</f>
        <v>Halogen/Incandescent, (1) 59W lamp</v>
      </c>
      <c r="T1552" t="str">
        <f>Table_TRM_Fixtures[[#This Row],[Fixture code  (TRM Data)]]</f>
        <v>H59/1</v>
      </c>
      <c r="U1552" t="s">
        <v>2882</v>
      </c>
      <c r="V1552" t="s">
        <v>186</v>
      </c>
      <c r="W1552" t="s">
        <v>3120</v>
      </c>
      <c r="X1552" t="s">
        <v>186</v>
      </c>
      <c r="Y1552" t="str">
        <f>_xlfn.CONCAT(Table_TRM_Fixtures[[#This Row],[Combined Lighting/Ballast Types]],":",Table_TRM_Fixtures[[#This Row],[No. of Lamps]], ":", Table_TRM_Fixtures[[#This Row],[Lamp Watts  (TRM Data)]])</f>
        <v>Halogen/Incandescent:1:59</v>
      </c>
      <c r="Z1552"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Halogen/Incandescent:1:59</v>
      </c>
      <c r="AA1552">
        <f>IF(Table_TRM_Fixtures[[#This Row],[Pre-EISA Baseline]]="Nominal", Table_TRM_Fixtures[[#This Row],[Fixture Watts  (TRM Data)]], Table_TRM_Fixtures[[#This Row],[Modified Baseline Fixture Watts]])</f>
        <v>59</v>
      </c>
    </row>
    <row r="1553" spans="1:27" x14ac:dyDescent="0.2">
      <c r="A1553" t="s">
        <v>6153</v>
      </c>
      <c r="B1553" t="s">
        <v>6153</v>
      </c>
      <c r="C1553" t="s">
        <v>6154</v>
      </c>
      <c r="D1553" t="s">
        <v>6155</v>
      </c>
      <c r="F1553">
        <v>1</v>
      </c>
      <c r="G1553">
        <v>60</v>
      </c>
      <c r="H1553">
        <v>60</v>
      </c>
      <c r="J1553" s="110">
        <v>1564</v>
      </c>
      <c r="K1553" t="s">
        <v>2946</v>
      </c>
      <c r="L1553">
        <f>IF(Table_TRM_Fixtures[[#This Row],[Technology]]="LED", Table_TRM_Fixtures[[#This Row],[Fixture Watts  (TRM Data)]], Table_TRM_Fixtures[[#This Row],[Lamp Watts  (TRM Data)]])</f>
        <v>60</v>
      </c>
      <c r="M1553">
        <f>Table_TRM_Fixtures[[#This Row],[No. of Lamps  (TRM Data)]]</f>
        <v>1</v>
      </c>
      <c r="N1553" t="s">
        <v>186</v>
      </c>
      <c r="O1553" t="s">
        <v>186</v>
      </c>
      <c r="R1553" t="s">
        <v>2946</v>
      </c>
      <c r="S1553" t="str">
        <f>Table_TRM_Fixtures[[#This Row],[Description  (TRM Data)]]</f>
        <v>Halogen/Incandescent, (1) 60W lamp</v>
      </c>
      <c r="T1553" t="str">
        <f>Table_TRM_Fixtures[[#This Row],[Fixture code  (TRM Data)]]</f>
        <v>H60/1</v>
      </c>
      <c r="U1553" t="s">
        <v>2882</v>
      </c>
      <c r="V1553" t="s">
        <v>186</v>
      </c>
      <c r="W1553" t="s">
        <v>3120</v>
      </c>
      <c r="X1553" t="s">
        <v>186</v>
      </c>
      <c r="Y1553" t="str">
        <f>_xlfn.CONCAT(Table_TRM_Fixtures[[#This Row],[Combined Lighting/Ballast Types]],":",Table_TRM_Fixtures[[#This Row],[No. of Lamps]], ":", Table_TRM_Fixtures[[#This Row],[Lamp Watts  (TRM Data)]])</f>
        <v>Halogen/Incandescent:1:60</v>
      </c>
      <c r="Z1553"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Halogen/Incandescent:1:60</v>
      </c>
      <c r="AA1553">
        <f>IF(Table_TRM_Fixtures[[#This Row],[Pre-EISA Baseline]]="Nominal", Table_TRM_Fixtures[[#This Row],[Fixture Watts  (TRM Data)]], Table_TRM_Fixtures[[#This Row],[Modified Baseline Fixture Watts]])</f>
        <v>60</v>
      </c>
    </row>
    <row r="1554" spans="1:27" x14ac:dyDescent="0.2">
      <c r="A1554" t="s">
        <v>6156</v>
      </c>
      <c r="B1554" t="s">
        <v>6156</v>
      </c>
      <c r="C1554" t="s">
        <v>6157</v>
      </c>
      <c r="D1554" t="s">
        <v>6158</v>
      </c>
      <c r="F1554">
        <v>1</v>
      </c>
      <c r="G1554">
        <v>61</v>
      </c>
      <c r="H1554">
        <v>61</v>
      </c>
      <c r="J1554" s="110">
        <v>1565</v>
      </c>
      <c r="K1554" t="s">
        <v>2946</v>
      </c>
      <c r="L1554">
        <f>IF(Table_TRM_Fixtures[[#This Row],[Technology]]="LED", Table_TRM_Fixtures[[#This Row],[Fixture Watts  (TRM Data)]], Table_TRM_Fixtures[[#This Row],[Lamp Watts  (TRM Data)]])</f>
        <v>61</v>
      </c>
      <c r="M1554">
        <f>Table_TRM_Fixtures[[#This Row],[No. of Lamps  (TRM Data)]]</f>
        <v>1</v>
      </c>
      <c r="N1554" t="s">
        <v>186</v>
      </c>
      <c r="O1554" t="s">
        <v>186</v>
      </c>
      <c r="R1554" t="s">
        <v>2946</v>
      </c>
      <c r="S1554" t="str">
        <f>Table_TRM_Fixtures[[#This Row],[Description  (TRM Data)]]</f>
        <v>Halogen/Incandescent, (1) 61W lamp</v>
      </c>
      <c r="T1554" t="str">
        <f>Table_TRM_Fixtures[[#This Row],[Fixture code  (TRM Data)]]</f>
        <v>H61/1</v>
      </c>
      <c r="U1554" t="s">
        <v>2882</v>
      </c>
      <c r="V1554" t="s">
        <v>186</v>
      </c>
      <c r="W1554" t="s">
        <v>3120</v>
      </c>
      <c r="X1554" t="s">
        <v>186</v>
      </c>
      <c r="Y1554" t="str">
        <f>_xlfn.CONCAT(Table_TRM_Fixtures[[#This Row],[Combined Lighting/Ballast Types]],":",Table_TRM_Fixtures[[#This Row],[No. of Lamps]], ":", Table_TRM_Fixtures[[#This Row],[Lamp Watts  (TRM Data)]])</f>
        <v>Halogen/Incandescent:1:61</v>
      </c>
      <c r="Z1554"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Halogen/Incandescent:1:61</v>
      </c>
      <c r="AA1554">
        <f>IF(Table_TRM_Fixtures[[#This Row],[Pre-EISA Baseline]]="Nominal", Table_TRM_Fixtures[[#This Row],[Fixture Watts  (TRM Data)]], Table_TRM_Fixtures[[#This Row],[Modified Baseline Fixture Watts]])</f>
        <v>61</v>
      </c>
    </row>
    <row r="1555" spans="1:27" x14ac:dyDescent="0.2">
      <c r="A1555" t="s">
        <v>6159</v>
      </c>
      <c r="B1555" t="s">
        <v>6159</v>
      </c>
      <c r="C1555" t="s">
        <v>6160</v>
      </c>
      <c r="D1555" t="s">
        <v>6161</v>
      </c>
      <c r="F1555">
        <v>1</v>
      </c>
      <c r="G1555">
        <v>62</v>
      </c>
      <c r="H1555">
        <v>62</v>
      </c>
      <c r="J1555" s="110">
        <v>1566</v>
      </c>
      <c r="K1555" t="s">
        <v>2946</v>
      </c>
      <c r="L1555">
        <f>IF(Table_TRM_Fixtures[[#This Row],[Technology]]="LED", Table_TRM_Fixtures[[#This Row],[Fixture Watts  (TRM Data)]], Table_TRM_Fixtures[[#This Row],[Lamp Watts  (TRM Data)]])</f>
        <v>62</v>
      </c>
      <c r="M1555">
        <f>Table_TRM_Fixtures[[#This Row],[No. of Lamps  (TRM Data)]]</f>
        <v>1</v>
      </c>
      <c r="N1555" t="s">
        <v>186</v>
      </c>
      <c r="O1555" t="s">
        <v>186</v>
      </c>
      <c r="R1555" t="s">
        <v>2946</v>
      </c>
      <c r="S1555" t="str">
        <f>Table_TRM_Fixtures[[#This Row],[Description  (TRM Data)]]</f>
        <v>Halogen/Incandescent, (1) 62W lamp</v>
      </c>
      <c r="T1555" t="str">
        <f>Table_TRM_Fixtures[[#This Row],[Fixture code  (TRM Data)]]</f>
        <v>H62/1</v>
      </c>
      <c r="U1555" t="s">
        <v>2882</v>
      </c>
      <c r="V1555" t="s">
        <v>186</v>
      </c>
      <c r="W1555" t="s">
        <v>3120</v>
      </c>
      <c r="X1555" t="s">
        <v>186</v>
      </c>
      <c r="Y1555" t="str">
        <f>_xlfn.CONCAT(Table_TRM_Fixtures[[#This Row],[Combined Lighting/Ballast Types]],":",Table_TRM_Fixtures[[#This Row],[No. of Lamps]], ":", Table_TRM_Fixtures[[#This Row],[Lamp Watts  (TRM Data)]])</f>
        <v>Halogen/Incandescent:1:62</v>
      </c>
      <c r="Z1555"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Halogen/Incandescent:1:62</v>
      </c>
      <c r="AA1555">
        <f>IF(Table_TRM_Fixtures[[#This Row],[Pre-EISA Baseline]]="Nominal", Table_TRM_Fixtures[[#This Row],[Fixture Watts  (TRM Data)]], Table_TRM_Fixtures[[#This Row],[Modified Baseline Fixture Watts]])</f>
        <v>62</v>
      </c>
    </row>
    <row r="1556" spans="1:27" x14ac:dyDescent="0.2">
      <c r="A1556" t="s">
        <v>6162</v>
      </c>
      <c r="B1556" t="s">
        <v>6162</v>
      </c>
      <c r="C1556" t="s">
        <v>6163</v>
      </c>
      <c r="D1556" t="s">
        <v>6164</v>
      </c>
      <c r="F1556">
        <v>1</v>
      </c>
      <c r="G1556">
        <v>63</v>
      </c>
      <c r="H1556">
        <v>63</v>
      </c>
      <c r="J1556" s="110">
        <v>1567</v>
      </c>
      <c r="K1556" t="s">
        <v>2946</v>
      </c>
      <c r="L1556">
        <f>IF(Table_TRM_Fixtures[[#This Row],[Technology]]="LED", Table_TRM_Fixtures[[#This Row],[Fixture Watts  (TRM Data)]], Table_TRM_Fixtures[[#This Row],[Lamp Watts  (TRM Data)]])</f>
        <v>63</v>
      </c>
      <c r="M1556">
        <f>Table_TRM_Fixtures[[#This Row],[No. of Lamps  (TRM Data)]]</f>
        <v>1</v>
      </c>
      <c r="N1556" t="s">
        <v>186</v>
      </c>
      <c r="O1556" t="s">
        <v>186</v>
      </c>
      <c r="R1556" t="s">
        <v>2946</v>
      </c>
      <c r="S1556" t="str">
        <f>Table_TRM_Fixtures[[#This Row],[Description  (TRM Data)]]</f>
        <v>Halogen/Incandescent, (1) 63W lamp</v>
      </c>
      <c r="T1556" t="str">
        <f>Table_TRM_Fixtures[[#This Row],[Fixture code  (TRM Data)]]</f>
        <v>H63/1</v>
      </c>
      <c r="U1556" t="s">
        <v>2882</v>
      </c>
      <c r="V1556" t="s">
        <v>186</v>
      </c>
      <c r="W1556" t="s">
        <v>3120</v>
      </c>
      <c r="X1556" t="s">
        <v>186</v>
      </c>
      <c r="Y1556" t="str">
        <f>_xlfn.CONCAT(Table_TRM_Fixtures[[#This Row],[Combined Lighting/Ballast Types]],":",Table_TRM_Fixtures[[#This Row],[No. of Lamps]], ":", Table_TRM_Fixtures[[#This Row],[Lamp Watts  (TRM Data)]])</f>
        <v>Halogen/Incandescent:1:63</v>
      </c>
      <c r="Z1556"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Halogen/Incandescent:1:63</v>
      </c>
      <c r="AA1556">
        <f>IF(Table_TRM_Fixtures[[#This Row],[Pre-EISA Baseline]]="Nominal", Table_TRM_Fixtures[[#This Row],[Fixture Watts  (TRM Data)]], Table_TRM_Fixtures[[#This Row],[Modified Baseline Fixture Watts]])</f>
        <v>63</v>
      </c>
    </row>
    <row r="1557" spans="1:27" x14ac:dyDescent="0.2">
      <c r="A1557" t="s">
        <v>6165</v>
      </c>
      <c r="B1557" t="s">
        <v>6165</v>
      </c>
      <c r="C1557" t="s">
        <v>6166</v>
      </c>
      <c r="D1557" t="s">
        <v>6167</v>
      </c>
      <c r="F1557">
        <v>1</v>
      </c>
      <c r="G1557">
        <v>64</v>
      </c>
      <c r="H1557">
        <v>64</v>
      </c>
      <c r="J1557" s="110">
        <v>1568</v>
      </c>
      <c r="K1557" t="s">
        <v>2946</v>
      </c>
      <c r="L1557">
        <f>IF(Table_TRM_Fixtures[[#This Row],[Technology]]="LED", Table_TRM_Fixtures[[#This Row],[Fixture Watts  (TRM Data)]], Table_TRM_Fixtures[[#This Row],[Lamp Watts  (TRM Data)]])</f>
        <v>64</v>
      </c>
      <c r="M1557">
        <f>Table_TRM_Fixtures[[#This Row],[No. of Lamps  (TRM Data)]]</f>
        <v>1</v>
      </c>
      <c r="N1557" t="s">
        <v>186</v>
      </c>
      <c r="O1557" t="s">
        <v>186</v>
      </c>
      <c r="R1557" t="s">
        <v>2946</v>
      </c>
      <c r="S1557" t="str">
        <f>Table_TRM_Fixtures[[#This Row],[Description  (TRM Data)]]</f>
        <v>Halogen/Incandescent, (1) 64W lamp</v>
      </c>
      <c r="T1557" t="str">
        <f>Table_TRM_Fixtures[[#This Row],[Fixture code  (TRM Data)]]</f>
        <v>H64/1</v>
      </c>
      <c r="U1557" t="s">
        <v>2882</v>
      </c>
      <c r="V1557" t="s">
        <v>186</v>
      </c>
      <c r="W1557" t="s">
        <v>3120</v>
      </c>
      <c r="X1557" t="s">
        <v>186</v>
      </c>
      <c r="Y1557" t="str">
        <f>_xlfn.CONCAT(Table_TRM_Fixtures[[#This Row],[Combined Lighting/Ballast Types]],":",Table_TRM_Fixtures[[#This Row],[No. of Lamps]], ":", Table_TRM_Fixtures[[#This Row],[Lamp Watts  (TRM Data)]])</f>
        <v>Halogen/Incandescent:1:64</v>
      </c>
      <c r="Z1557"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Halogen/Incandescent:1:64</v>
      </c>
      <c r="AA1557">
        <f>IF(Table_TRM_Fixtures[[#This Row],[Pre-EISA Baseline]]="Nominal", Table_TRM_Fixtures[[#This Row],[Fixture Watts  (TRM Data)]], Table_TRM_Fixtures[[#This Row],[Modified Baseline Fixture Watts]])</f>
        <v>64</v>
      </c>
    </row>
    <row r="1558" spans="1:27" x14ac:dyDescent="0.2">
      <c r="A1558" t="s">
        <v>6168</v>
      </c>
      <c r="B1558" t="s">
        <v>6168</v>
      </c>
      <c r="C1558" t="s">
        <v>6169</v>
      </c>
      <c r="D1558" t="s">
        <v>6170</v>
      </c>
      <c r="F1558">
        <v>1</v>
      </c>
      <c r="G1558">
        <v>65</v>
      </c>
      <c r="H1558">
        <v>65</v>
      </c>
      <c r="J1558" s="110">
        <v>1569</v>
      </c>
      <c r="K1558" t="s">
        <v>2946</v>
      </c>
      <c r="L1558">
        <f>IF(Table_TRM_Fixtures[[#This Row],[Technology]]="LED", Table_TRM_Fixtures[[#This Row],[Fixture Watts  (TRM Data)]], Table_TRM_Fixtures[[#This Row],[Lamp Watts  (TRM Data)]])</f>
        <v>65</v>
      </c>
      <c r="M1558">
        <f>Table_TRM_Fixtures[[#This Row],[No. of Lamps  (TRM Data)]]</f>
        <v>1</v>
      </c>
      <c r="N1558" t="s">
        <v>186</v>
      </c>
      <c r="O1558" t="s">
        <v>186</v>
      </c>
      <c r="R1558" t="s">
        <v>2946</v>
      </c>
      <c r="S1558" t="str">
        <f>Table_TRM_Fixtures[[#This Row],[Description  (TRM Data)]]</f>
        <v>Halogen/Incandescent, (1) 65W lamp</v>
      </c>
      <c r="T1558" t="str">
        <f>Table_TRM_Fixtures[[#This Row],[Fixture code  (TRM Data)]]</f>
        <v>H65/1</v>
      </c>
      <c r="U1558" t="s">
        <v>2882</v>
      </c>
      <c r="V1558" t="s">
        <v>186</v>
      </c>
      <c r="W1558" t="s">
        <v>3120</v>
      </c>
      <c r="X1558" t="s">
        <v>186</v>
      </c>
      <c r="Y1558" t="str">
        <f>_xlfn.CONCAT(Table_TRM_Fixtures[[#This Row],[Combined Lighting/Ballast Types]],":",Table_TRM_Fixtures[[#This Row],[No. of Lamps]], ":", Table_TRM_Fixtures[[#This Row],[Lamp Watts  (TRM Data)]])</f>
        <v>Halogen/Incandescent:1:65</v>
      </c>
      <c r="Z1558"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Halogen/Incandescent:1:65</v>
      </c>
      <c r="AA1558">
        <f>IF(Table_TRM_Fixtures[[#This Row],[Pre-EISA Baseline]]="Nominal", Table_TRM_Fixtures[[#This Row],[Fixture Watts  (TRM Data)]], Table_TRM_Fixtures[[#This Row],[Modified Baseline Fixture Watts]])</f>
        <v>65</v>
      </c>
    </row>
    <row r="1559" spans="1:27" x14ac:dyDescent="0.2">
      <c r="A1559" t="s">
        <v>6171</v>
      </c>
      <c r="B1559" t="s">
        <v>6171</v>
      </c>
      <c r="C1559" t="s">
        <v>6172</v>
      </c>
      <c r="D1559" t="s">
        <v>6173</v>
      </c>
      <c r="F1559">
        <v>1</v>
      </c>
      <c r="G1559">
        <v>66</v>
      </c>
      <c r="H1559">
        <v>66</v>
      </c>
      <c r="J1559" s="110">
        <v>1570</v>
      </c>
      <c r="K1559" t="s">
        <v>2946</v>
      </c>
      <c r="L1559">
        <f>IF(Table_TRM_Fixtures[[#This Row],[Technology]]="LED", Table_TRM_Fixtures[[#This Row],[Fixture Watts  (TRM Data)]], Table_TRM_Fixtures[[#This Row],[Lamp Watts  (TRM Data)]])</f>
        <v>66</v>
      </c>
      <c r="M1559">
        <f>Table_TRM_Fixtures[[#This Row],[No. of Lamps  (TRM Data)]]</f>
        <v>1</v>
      </c>
      <c r="N1559" t="s">
        <v>186</v>
      </c>
      <c r="O1559" t="s">
        <v>186</v>
      </c>
      <c r="R1559" t="s">
        <v>2946</v>
      </c>
      <c r="S1559" t="str">
        <f>Table_TRM_Fixtures[[#This Row],[Description  (TRM Data)]]</f>
        <v>Halogen/Incandescent, (1) 66W lamp</v>
      </c>
      <c r="T1559" t="str">
        <f>Table_TRM_Fixtures[[#This Row],[Fixture code  (TRM Data)]]</f>
        <v>H66/1</v>
      </c>
      <c r="U1559" t="s">
        <v>2882</v>
      </c>
      <c r="V1559" t="s">
        <v>186</v>
      </c>
      <c r="W1559" t="s">
        <v>3120</v>
      </c>
      <c r="X1559" t="s">
        <v>186</v>
      </c>
      <c r="Y1559" t="str">
        <f>_xlfn.CONCAT(Table_TRM_Fixtures[[#This Row],[Combined Lighting/Ballast Types]],":",Table_TRM_Fixtures[[#This Row],[No. of Lamps]], ":", Table_TRM_Fixtures[[#This Row],[Lamp Watts  (TRM Data)]])</f>
        <v>Halogen/Incandescent:1:66</v>
      </c>
      <c r="Z1559"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Halogen/Incandescent:1:66</v>
      </c>
      <c r="AA1559">
        <f>IF(Table_TRM_Fixtures[[#This Row],[Pre-EISA Baseline]]="Nominal", Table_TRM_Fixtures[[#This Row],[Fixture Watts  (TRM Data)]], Table_TRM_Fixtures[[#This Row],[Modified Baseline Fixture Watts]])</f>
        <v>66</v>
      </c>
    </row>
    <row r="1560" spans="1:27" x14ac:dyDescent="0.2">
      <c r="A1560" t="s">
        <v>6174</v>
      </c>
      <c r="B1560" t="s">
        <v>6174</v>
      </c>
      <c r="C1560" t="s">
        <v>6175</v>
      </c>
      <c r="D1560" t="s">
        <v>6176</v>
      </c>
      <c r="F1560">
        <v>1</v>
      </c>
      <c r="G1560">
        <v>67</v>
      </c>
      <c r="H1560">
        <v>67</v>
      </c>
      <c r="J1560" s="110">
        <v>1571</v>
      </c>
      <c r="K1560" t="s">
        <v>2946</v>
      </c>
      <c r="L1560">
        <f>IF(Table_TRM_Fixtures[[#This Row],[Technology]]="LED", Table_TRM_Fixtures[[#This Row],[Fixture Watts  (TRM Data)]], Table_TRM_Fixtures[[#This Row],[Lamp Watts  (TRM Data)]])</f>
        <v>67</v>
      </c>
      <c r="M1560">
        <f>Table_TRM_Fixtures[[#This Row],[No. of Lamps  (TRM Data)]]</f>
        <v>1</v>
      </c>
      <c r="N1560" t="s">
        <v>186</v>
      </c>
      <c r="O1560" t="s">
        <v>186</v>
      </c>
      <c r="R1560" t="s">
        <v>2946</v>
      </c>
      <c r="S1560" t="str">
        <f>Table_TRM_Fixtures[[#This Row],[Description  (TRM Data)]]</f>
        <v>Halogen/Incandescent, (1) 67W lamp</v>
      </c>
      <c r="T1560" t="str">
        <f>Table_TRM_Fixtures[[#This Row],[Fixture code  (TRM Data)]]</f>
        <v>H67/1</v>
      </c>
      <c r="U1560" t="s">
        <v>2882</v>
      </c>
      <c r="V1560" t="s">
        <v>186</v>
      </c>
      <c r="W1560" t="s">
        <v>3120</v>
      </c>
      <c r="X1560" t="s">
        <v>186</v>
      </c>
      <c r="Y1560" t="str">
        <f>_xlfn.CONCAT(Table_TRM_Fixtures[[#This Row],[Combined Lighting/Ballast Types]],":",Table_TRM_Fixtures[[#This Row],[No. of Lamps]], ":", Table_TRM_Fixtures[[#This Row],[Lamp Watts  (TRM Data)]])</f>
        <v>Halogen/Incandescent:1:67</v>
      </c>
      <c r="Z1560"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Halogen/Incandescent:1:67</v>
      </c>
      <c r="AA1560">
        <f>IF(Table_TRM_Fixtures[[#This Row],[Pre-EISA Baseline]]="Nominal", Table_TRM_Fixtures[[#This Row],[Fixture Watts  (TRM Data)]], Table_TRM_Fixtures[[#This Row],[Modified Baseline Fixture Watts]])</f>
        <v>67</v>
      </c>
    </row>
    <row r="1561" spans="1:27" x14ac:dyDescent="0.2">
      <c r="A1561" t="s">
        <v>6177</v>
      </c>
      <c r="B1561" t="s">
        <v>6177</v>
      </c>
      <c r="C1561" t="s">
        <v>6178</v>
      </c>
      <c r="D1561" t="s">
        <v>6179</v>
      </c>
      <c r="F1561">
        <v>1</v>
      </c>
      <c r="G1561">
        <v>68</v>
      </c>
      <c r="H1561">
        <v>68</v>
      </c>
      <c r="J1561" s="110">
        <v>1572</v>
      </c>
      <c r="K1561" t="s">
        <v>2946</v>
      </c>
      <c r="L1561">
        <f>IF(Table_TRM_Fixtures[[#This Row],[Technology]]="LED", Table_TRM_Fixtures[[#This Row],[Fixture Watts  (TRM Data)]], Table_TRM_Fixtures[[#This Row],[Lamp Watts  (TRM Data)]])</f>
        <v>68</v>
      </c>
      <c r="M1561">
        <f>Table_TRM_Fixtures[[#This Row],[No. of Lamps  (TRM Data)]]</f>
        <v>1</v>
      </c>
      <c r="N1561" t="s">
        <v>186</v>
      </c>
      <c r="O1561" t="s">
        <v>186</v>
      </c>
      <c r="R1561" t="s">
        <v>2946</v>
      </c>
      <c r="S1561" t="str">
        <f>Table_TRM_Fixtures[[#This Row],[Description  (TRM Data)]]</f>
        <v>Halogen/Incandescent, (1) 68W lamp</v>
      </c>
      <c r="T1561" t="str">
        <f>Table_TRM_Fixtures[[#This Row],[Fixture code  (TRM Data)]]</f>
        <v>H68/1</v>
      </c>
      <c r="U1561" t="s">
        <v>2882</v>
      </c>
      <c r="V1561" t="s">
        <v>186</v>
      </c>
      <c r="W1561" t="s">
        <v>3120</v>
      </c>
      <c r="X1561" t="s">
        <v>186</v>
      </c>
      <c r="Y1561" t="str">
        <f>_xlfn.CONCAT(Table_TRM_Fixtures[[#This Row],[Combined Lighting/Ballast Types]],":",Table_TRM_Fixtures[[#This Row],[No. of Lamps]], ":", Table_TRM_Fixtures[[#This Row],[Lamp Watts  (TRM Data)]])</f>
        <v>Halogen/Incandescent:1:68</v>
      </c>
      <c r="Z1561"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Halogen/Incandescent:1:68</v>
      </c>
      <c r="AA1561">
        <f>IF(Table_TRM_Fixtures[[#This Row],[Pre-EISA Baseline]]="Nominal", Table_TRM_Fixtures[[#This Row],[Fixture Watts  (TRM Data)]], Table_TRM_Fixtures[[#This Row],[Modified Baseline Fixture Watts]])</f>
        <v>68</v>
      </c>
    </row>
    <row r="1562" spans="1:27" x14ac:dyDescent="0.2">
      <c r="A1562" t="s">
        <v>6180</v>
      </c>
      <c r="B1562" t="s">
        <v>6180</v>
      </c>
      <c r="C1562" t="s">
        <v>6181</v>
      </c>
      <c r="D1562" t="s">
        <v>6182</v>
      </c>
      <c r="F1562">
        <v>1</v>
      </c>
      <c r="G1562">
        <v>69</v>
      </c>
      <c r="H1562">
        <v>69</v>
      </c>
      <c r="J1562" s="110">
        <v>1573</v>
      </c>
      <c r="K1562" t="s">
        <v>2946</v>
      </c>
      <c r="L1562">
        <f>IF(Table_TRM_Fixtures[[#This Row],[Technology]]="LED", Table_TRM_Fixtures[[#This Row],[Fixture Watts  (TRM Data)]], Table_TRM_Fixtures[[#This Row],[Lamp Watts  (TRM Data)]])</f>
        <v>69</v>
      </c>
      <c r="M1562">
        <f>Table_TRM_Fixtures[[#This Row],[No. of Lamps  (TRM Data)]]</f>
        <v>1</v>
      </c>
      <c r="N1562" t="s">
        <v>186</v>
      </c>
      <c r="O1562" t="s">
        <v>186</v>
      </c>
      <c r="R1562" t="s">
        <v>2946</v>
      </c>
      <c r="S1562" t="str">
        <f>Table_TRM_Fixtures[[#This Row],[Description  (TRM Data)]]</f>
        <v>Halogen/Incandescent, (1) 69W lamp</v>
      </c>
      <c r="T1562" t="str">
        <f>Table_TRM_Fixtures[[#This Row],[Fixture code  (TRM Data)]]</f>
        <v>H69/1</v>
      </c>
      <c r="U1562" t="s">
        <v>2882</v>
      </c>
      <c r="V1562" t="s">
        <v>186</v>
      </c>
      <c r="W1562" t="s">
        <v>3120</v>
      </c>
      <c r="X1562" t="s">
        <v>186</v>
      </c>
      <c r="Y1562" t="str">
        <f>_xlfn.CONCAT(Table_TRM_Fixtures[[#This Row],[Combined Lighting/Ballast Types]],":",Table_TRM_Fixtures[[#This Row],[No. of Lamps]], ":", Table_TRM_Fixtures[[#This Row],[Lamp Watts  (TRM Data)]])</f>
        <v>Halogen/Incandescent:1:69</v>
      </c>
      <c r="Z1562"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Halogen/Incandescent:1:69</v>
      </c>
      <c r="AA1562">
        <f>IF(Table_TRM_Fixtures[[#This Row],[Pre-EISA Baseline]]="Nominal", Table_TRM_Fixtures[[#This Row],[Fixture Watts  (TRM Data)]], Table_TRM_Fixtures[[#This Row],[Modified Baseline Fixture Watts]])</f>
        <v>69</v>
      </c>
    </row>
    <row r="1563" spans="1:27" x14ac:dyDescent="0.2">
      <c r="A1563" t="s">
        <v>6183</v>
      </c>
      <c r="B1563" t="s">
        <v>6183</v>
      </c>
      <c r="C1563" t="s">
        <v>6184</v>
      </c>
      <c r="D1563" t="s">
        <v>6185</v>
      </c>
      <c r="F1563">
        <v>1</v>
      </c>
      <c r="G1563">
        <v>70</v>
      </c>
      <c r="H1563">
        <v>70</v>
      </c>
      <c r="J1563" s="110">
        <v>1574</v>
      </c>
      <c r="K1563" t="s">
        <v>2946</v>
      </c>
      <c r="L1563">
        <f>IF(Table_TRM_Fixtures[[#This Row],[Technology]]="LED", Table_TRM_Fixtures[[#This Row],[Fixture Watts  (TRM Data)]], Table_TRM_Fixtures[[#This Row],[Lamp Watts  (TRM Data)]])</f>
        <v>70</v>
      </c>
      <c r="M1563">
        <f>Table_TRM_Fixtures[[#This Row],[No. of Lamps  (TRM Data)]]</f>
        <v>1</v>
      </c>
      <c r="N1563" t="s">
        <v>186</v>
      </c>
      <c r="O1563" t="s">
        <v>186</v>
      </c>
      <c r="R1563" t="s">
        <v>2946</v>
      </c>
      <c r="S1563" t="str">
        <f>Table_TRM_Fixtures[[#This Row],[Description  (TRM Data)]]</f>
        <v>Halogen/Incandescent, (1) 70W lamp</v>
      </c>
      <c r="T1563" t="str">
        <f>Table_TRM_Fixtures[[#This Row],[Fixture code  (TRM Data)]]</f>
        <v>H70/1</v>
      </c>
      <c r="U1563" t="s">
        <v>2882</v>
      </c>
      <c r="V1563" t="s">
        <v>186</v>
      </c>
      <c r="W1563" t="s">
        <v>3120</v>
      </c>
      <c r="X1563" t="s">
        <v>186</v>
      </c>
      <c r="Y1563" t="str">
        <f>_xlfn.CONCAT(Table_TRM_Fixtures[[#This Row],[Combined Lighting/Ballast Types]],":",Table_TRM_Fixtures[[#This Row],[No. of Lamps]], ":", Table_TRM_Fixtures[[#This Row],[Lamp Watts  (TRM Data)]])</f>
        <v>Halogen/Incandescent:1:70</v>
      </c>
      <c r="Z1563"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Halogen/Incandescent:1:70</v>
      </c>
      <c r="AA1563">
        <f>IF(Table_TRM_Fixtures[[#This Row],[Pre-EISA Baseline]]="Nominal", Table_TRM_Fixtures[[#This Row],[Fixture Watts  (TRM Data)]], Table_TRM_Fixtures[[#This Row],[Modified Baseline Fixture Watts]])</f>
        <v>70</v>
      </c>
    </row>
    <row r="1564" spans="1:27" x14ac:dyDescent="0.2">
      <c r="A1564" t="s">
        <v>6186</v>
      </c>
      <c r="B1564" t="s">
        <v>6186</v>
      </c>
      <c r="C1564" t="s">
        <v>6187</v>
      </c>
      <c r="D1564" t="s">
        <v>6188</v>
      </c>
      <c r="F1564">
        <v>1</v>
      </c>
      <c r="G1564">
        <v>71</v>
      </c>
      <c r="H1564">
        <v>71</v>
      </c>
      <c r="J1564" s="110">
        <v>1575</v>
      </c>
      <c r="K1564" t="s">
        <v>2946</v>
      </c>
      <c r="L1564">
        <f>IF(Table_TRM_Fixtures[[#This Row],[Technology]]="LED", Table_TRM_Fixtures[[#This Row],[Fixture Watts  (TRM Data)]], Table_TRM_Fixtures[[#This Row],[Lamp Watts  (TRM Data)]])</f>
        <v>71</v>
      </c>
      <c r="M1564">
        <f>Table_TRM_Fixtures[[#This Row],[No. of Lamps  (TRM Data)]]</f>
        <v>1</v>
      </c>
      <c r="N1564" t="s">
        <v>186</v>
      </c>
      <c r="O1564" t="s">
        <v>186</v>
      </c>
      <c r="R1564" t="s">
        <v>2946</v>
      </c>
      <c r="S1564" t="str">
        <f>Table_TRM_Fixtures[[#This Row],[Description  (TRM Data)]]</f>
        <v>Halogen/Incandescent, (1) 71W lamp</v>
      </c>
      <c r="T1564" t="str">
        <f>Table_TRM_Fixtures[[#This Row],[Fixture code  (TRM Data)]]</f>
        <v>H71/1</v>
      </c>
      <c r="U1564" t="s">
        <v>2882</v>
      </c>
      <c r="V1564" t="s">
        <v>186</v>
      </c>
      <c r="W1564" t="s">
        <v>3120</v>
      </c>
      <c r="X1564" t="s">
        <v>186</v>
      </c>
      <c r="Y1564" t="str">
        <f>_xlfn.CONCAT(Table_TRM_Fixtures[[#This Row],[Combined Lighting/Ballast Types]],":",Table_TRM_Fixtures[[#This Row],[No. of Lamps]], ":", Table_TRM_Fixtures[[#This Row],[Lamp Watts  (TRM Data)]])</f>
        <v>Halogen/Incandescent:1:71</v>
      </c>
      <c r="Z1564"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Halogen/Incandescent:1:71</v>
      </c>
      <c r="AA1564">
        <f>IF(Table_TRM_Fixtures[[#This Row],[Pre-EISA Baseline]]="Nominal", Table_TRM_Fixtures[[#This Row],[Fixture Watts  (TRM Data)]], Table_TRM_Fixtures[[#This Row],[Modified Baseline Fixture Watts]])</f>
        <v>71</v>
      </c>
    </row>
    <row r="1565" spans="1:27" x14ac:dyDescent="0.2">
      <c r="A1565" t="s">
        <v>6189</v>
      </c>
      <c r="B1565" t="s">
        <v>6189</v>
      </c>
      <c r="C1565" t="s">
        <v>6190</v>
      </c>
      <c r="D1565" t="s">
        <v>6191</v>
      </c>
      <c r="F1565">
        <v>1</v>
      </c>
      <c r="G1565">
        <v>72</v>
      </c>
      <c r="H1565">
        <v>72</v>
      </c>
      <c r="J1565" s="110">
        <v>1576</v>
      </c>
      <c r="K1565" t="s">
        <v>2946</v>
      </c>
      <c r="L1565">
        <f>IF(Table_TRM_Fixtures[[#This Row],[Technology]]="LED", Table_TRM_Fixtures[[#This Row],[Fixture Watts  (TRM Data)]], Table_TRM_Fixtures[[#This Row],[Lamp Watts  (TRM Data)]])</f>
        <v>72</v>
      </c>
      <c r="M1565">
        <f>Table_TRM_Fixtures[[#This Row],[No. of Lamps  (TRM Data)]]</f>
        <v>1</v>
      </c>
      <c r="N1565" t="s">
        <v>186</v>
      </c>
      <c r="O1565" t="s">
        <v>186</v>
      </c>
      <c r="R1565" t="s">
        <v>2946</v>
      </c>
      <c r="S1565" t="str">
        <f>Table_TRM_Fixtures[[#This Row],[Description  (TRM Data)]]</f>
        <v>Halogen/Incandescent, (1) 72W lamp</v>
      </c>
      <c r="T1565" t="str">
        <f>Table_TRM_Fixtures[[#This Row],[Fixture code  (TRM Data)]]</f>
        <v>H72/1</v>
      </c>
      <c r="U1565" t="s">
        <v>2882</v>
      </c>
      <c r="V1565" t="s">
        <v>186</v>
      </c>
      <c r="W1565" t="s">
        <v>3120</v>
      </c>
      <c r="X1565" t="s">
        <v>186</v>
      </c>
      <c r="Y1565" t="str">
        <f>_xlfn.CONCAT(Table_TRM_Fixtures[[#This Row],[Combined Lighting/Ballast Types]],":",Table_TRM_Fixtures[[#This Row],[No. of Lamps]], ":", Table_TRM_Fixtures[[#This Row],[Lamp Watts  (TRM Data)]])</f>
        <v>Halogen/Incandescent:1:72</v>
      </c>
      <c r="Z1565"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Halogen/Incandescent:1:72</v>
      </c>
      <c r="AA1565">
        <f>IF(Table_TRM_Fixtures[[#This Row],[Pre-EISA Baseline]]="Nominal", Table_TRM_Fixtures[[#This Row],[Fixture Watts  (TRM Data)]], Table_TRM_Fixtures[[#This Row],[Modified Baseline Fixture Watts]])</f>
        <v>72</v>
      </c>
    </row>
    <row r="1566" spans="1:27" x14ac:dyDescent="0.2">
      <c r="A1566" t="s">
        <v>6192</v>
      </c>
      <c r="B1566" t="s">
        <v>6192</v>
      </c>
      <c r="C1566" t="s">
        <v>6193</v>
      </c>
      <c r="D1566" t="s">
        <v>6194</v>
      </c>
      <c r="F1566">
        <v>1</v>
      </c>
      <c r="G1566">
        <v>73</v>
      </c>
      <c r="H1566">
        <v>73</v>
      </c>
      <c r="J1566" s="110">
        <v>1577</v>
      </c>
      <c r="K1566" t="s">
        <v>2946</v>
      </c>
      <c r="L1566">
        <f>IF(Table_TRM_Fixtures[[#This Row],[Technology]]="LED", Table_TRM_Fixtures[[#This Row],[Fixture Watts  (TRM Data)]], Table_TRM_Fixtures[[#This Row],[Lamp Watts  (TRM Data)]])</f>
        <v>73</v>
      </c>
      <c r="M1566">
        <f>Table_TRM_Fixtures[[#This Row],[No. of Lamps  (TRM Data)]]</f>
        <v>1</v>
      </c>
      <c r="N1566" t="s">
        <v>186</v>
      </c>
      <c r="O1566" t="s">
        <v>186</v>
      </c>
      <c r="R1566" t="s">
        <v>2946</v>
      </c>
      <c r="S1566" t="str">
        <f>Table_TRM_Fixtures[[#This Row],[Description  (TRM Data)]]</f>
        <v>Halogen/Incandescent, (1) 73W lamp</v>
      </c>
      <c r="T1566" t="str">
        <f>Table_TRM_Fixtures[[#This Row],[Fixture code  (TRM Data)]]</f>
        <v>H73/1</v>
      </c>
      <c r="U1566" t="s">
        <v>2882</v>
      </c>
      <c r="V1566" t="s">
        <v>186</v>
      </c>
      <c r="W1566" t="s">
        <v>3120</v>
      </c>
      <c r="X1566" t="s">
        <v>186</v>
      </c>
      <c r="Y1566" t="str">
        <f>_xlfn.CONCAT(Table_TRM_Fixtures[[#This Row],[Combined Lighting/Ballast Types]],":",Table_TRM_Fixtures[[#This Row],[No. of Lamps]], ":", Table_TRM_Fixtures[[#This Row],[Lamp Watts  (TRM Data)]])</f>
        <v>Halogen/Incandescent:1:73</v>
      </c>
      <c r="Z1566"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Halogen/Incandescent:1:73</v>
      </c>
      <c r="AA1566">
        <f>IF(Table_TRM_Fixtures[[#This Row],[Pre-EISA Baseline]]="Nominal", Table_TRM_Fixtures[[#This Row],[Fixture Watts  (TRM Data)]], Table_TRM_Fixtures[[#This Row],[Modified Baseline Fixture Watts]])</f>
        <v>73</v>
      </c>
    </row>
    <row r="1567" spans="1:27" x14ac:dyDescent="0.2">
      <c r="A1567" t="s">
        <v>6195</v>
      </c>
      <c r="B1567" t="s">
        <v>6195</v>
      </c>
      <c r="C1567" t="s">
        <v>6196</v>
      </c>
      <c r="D1567" t="s">
        <v>6197</v>
      </c>
      <c r="F1567">
        <v>1</v>
      </c>
      <c r="G1567">
        <v>74</v>
      </c>
      <c r="H1567">
        <v>74</v>
      </c>
      <c r="J1567" s="110">
        <v>1578</v>
      </c>
      <c r="K1567" t="s">
        <v>2946</v>
      </c>
      <c r="L1567">
        <f>IF(Table_TRM_Fixtures[[#This Row],[Technology]]="LED", Table_TRM_Fixtures[[#This Row],[Fixture Watts  (TRM Data)]], Table_TRM_Fixtures[[#This Row],[Lamp Watts  (TRM Data)]])</f>
        <v>74</v>
      </c>
      <c r="M1567">
        <f>Table_TRM_Fixtures[[#This Row],[No. of Lamps  (TRM Data)]]</f>
        <v>1</v>
      </c>
      <c r="N1567" t="s">
        <v>186</v>
      </c>
      <c r="O1567" t="s">
        <v>186</v>
      </c>
      <c r="R1567" t="s">
        <v>2946</v>
      </c>
      <c r="S1567" t="str">
        <f>Table_TRM_Fixtures[[#This Row],[Description  (TRM Data)]]</f>
        <v>Halogen/Incandescent, (1) 74W lamp</v>
      </c>
      <c r="T1567" t="str">
        <f>Table_TRM_Fixtures[[#This Row],[Fixture code  (TRM Data)]]</f>
        <v>H74/1</v>
      </c>
      <c r="U1567" t="s">
        <v>2882</v>
      </c>
      <c r="V1567" t="s">
        <v>186</v>
      </c>
      <c r="W1567" t="s">
        <v>3120</v>
      </c>
      <c r="X1567" t="s">
        <v>186</v>
      </c>
      <c r="Y1567" t="str">
        <f>_xlfn.CONCAT(Table_TRM_Fixtures[[#This Row],[Combined Lighting/Ballast Types]],":",Table_TRM_Fixtures[[#This Row],[No. of Lamps]], ":", Table_TRM_Fixtures[[#This Row],[Lamp Watts  (TRM Data)]])</f>
        <v>Halogen/Incandescent:1:74</v>
      </c>
      <c r="Z1567"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Halogen/Incandescent:1:74</v>
      </c>
      <c r="AA1567">
        <f>IF(Table_TRM_Fixtures[[#This Row],[Pre-EISA Baseline]]="Nominal", Table_TRM_Fixtures[[#This Row],[Fixture Watts  (TRM Data)]], Table_TRM_Fixtures[[#This Row],[Modified Baseline Fixture Watts]])</f>
        <v>74</v>
      </c>
    </row>
    <row r="1568" spans="1:27" x14ac:dyDescent="0.2">
      <c r="A1568" t="s">
        <v>6198</v>
      </c>
      <c r="B1568" t="s">
        <v>6198</v>
      </c>
      <c r="C1568" t="s">
        <v>6199</v>
      </c>
      <c r="D1568" t="s">
        <v>6200</v>
      </c>
      <c r="F1568">
        <v>1</v>
      </c>
      <c r="G1568">
        <v>75</v>
      </c>
      <c r="H1568">
        <v>75</v>
      </c>
      <c r="J1568" s="110">
        <v>1579</v>
      </c>
      <c r="K1568" t="s">
        <v>2946</v>
      </c>
      <c r="L1568">
        <f>IF(Table_TRM_Fixtures[[#This Row],[Technology]]="LED", Table_TRM_Fixtures[[#This Row],[Fixture Watts  (TRM Data)]], Table_TRM_Fixtures[[#This Row],[Lamp Watts  (TRM Data)]])</f>
        <v>75</v>
      </c>
      <c r="M1568">
        <f>Table_TRM_Fixtures[[#This Row],[No. of Lamps  (TRM Data)]]</f>
        <v>1</v>
      </c>
      <c r="N1568" t="s">
        <v>186</v>
      </c>
      <c r="O1568" t="s">
        <v>186</v>
      </c>
      <c r="R1568" t="s">
        <v>2946</v>
      </c>
      <c r="S1568" t="str">
        <f>Table_TRM_Fixtures[[#This Row],[Description  (TRM Data)]]</f>
        <v>Halogen/Incandescent, (1) 75W lamp</v>
      </c>
      <c r="T1568" t="str">
        <f>Table_TRM_Fixtures[[#This Row],[Fixture code  (TRM Data)]]</f>
        <v>H75/1</v>
      </c>
      <c r="U1568" t="s">
        <v>2882</v>
      </c>
      <c r="V1568" t="s">
        <v>186</v>
      </c>
      <c r="W1568" t="s">
        <v>3120</v>
      </c>
      <c r="X1568" t="s">
        <v>186</v>
      </c>
      <c r="Y1568" t="str">
        <f>_xlfn.CONCAT(Table_TRM_Fixtures[[#This Row],[Combined Lighting/Ballast Types]],":",Table_TRM_Fixtures[[#This Row],[No. of Lamps]], ":", Table_TRM_Fixtures[[#This Row],[Lamp Watts  (TRM Data)]])</f>
        <v>Halogen/Incandescent:1:75</v>
      </c>
      <c r="Z1568"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Halogen/Incandescent:1:75</v>
      </c>
      <c r="AA1568">
        <f>IF(Table_TRM_Fixtures[[#This Row],[Pre-EISA Baseline]]="Nominal", Table_TRM_Fixtures[[#This Row],[Fixture Watts  (TRM Data)]], Table_TRM_Fixtures[[#This Row],[Modified Baseline Fixture Watts]])</f>
        <v>75</v>
      </c>
    </row>
    <row r="1569" spans="1:27" x14ac:dyDescent="0.2">
      <c r="A1569" t="s">
        <v>6201</v>
      </c>
      <c r="B1569" t="s">
        <v>6201</v>
      </c>
      <c r="C1569" t="s">
        <v>6202</v>
      </c>
      <c r="D1569" t="s">
        <v>6203</v>
      </c>
      <c r="F1569">
        <v>1</v>
      </c>
      <c r="G1569">
        <v>80</v>
      </c>
      <c r="H1569">
        <v>80</v>
      </c>
      <c r="J1569" s="110">
        <v>1580</v>
      </c>
      <c r="K1569" t="s">
        <v>2946</v>
      </c>
      <c r="L1569">
        <f>IF(Table_TRM_Fixtures[[#This Row],[Technology]]="LED", Table_TRM_Fixtures[[#This Row],[Fixture Watts  (TRM Data)]], Table_TRM_Fixtures[[#This Row],[Lamp Watts  (TRM Data)]])</f>
        <v>80</v>
      </c>
      <c r="M1569">
        <f>Table_TRM_Fixtures[[#This Row],[No. of Lamps  (TRM Data)]]</f>
        <v>1</v>
      </c>
      <c r="N1569" t="s">
        <v>186</v>
      </c>
      <c r="O1569" t="s">
        <v>186</v>
      </c>
      <c r="R1569" t="s">
        <v>2946</v>
      </c>
      <c r="S1569" t="str">
        <f>Table_TRM_Fixtures[[#This Row],[Description  (TRM Data)]]</f>
        <v>Halogen/Incandescent, (1) 80W lamp</v>
      </c>
      <c r="T1569" t="str">
        <f>Table_TRM_Fixtures[[#This Row],[Fixture code  (TRM Data)]]</f>
        <v>H80/1</v>
      </c>
      <c r="U1569" t="s">
        <v>2882</v>
      </c>
      <c r="V1569" t="s">
        <v>186</v>
      </c>
      <c r="W1569" t="s">
        <v>3120</v>
      </c>
      <c r="X1569" t="s">
        <v>186</v>
      </c>
      <c r="Y1569" t="str">
        <f>_xlfn.CONCAT(Table_TRM_Fixtures[[#This Row],[Combined Lighting/Ballast Types]],":",Table_TRM_Fixtures[[#This Row],[No. of Lamps]], ":", Table_TRM_Fixtures[[#This Row],[Lamp Watts  (TRM Data)]])</f>
        <v>Halogen/Incandescent:1:80</v>
      </c>
      <c r="Z1569"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Halogen/Incandescent:1:80</v>
      </c>
      <c r="AA1569">
        <f>IF(Table_TRM_Fixtures[[#This Row],[Pre-EISA Baseline]]="Nominal", Table_TRM_Fixtures[[#This Row],[Fixture Watts  (TRM Data)]], Table_TRM_Fixtures[[#This Row],[Modified Baseline Fixture Watts]])</f>
        <v>80</v>
      </c>
    </row>
    <row r="1570" spans="1:27" x14ac:dyDescent="0.2">
      <c r="A1570" t="s">
        <v>6204</v>
      </c>
      <c r="B1570" t="s">
        <v>6204</v>
      </c>
      <c r="C1570" t="s">
        <v>6205</v>
      </c>
      <c r="D1570" t="s">
        <v>6206</v>
      </c>
      <c r="F1570">
        <v>1</v>
      </c>
      <c r="G1570">
        <v>90</v>
      </c>
      <c r="H1570">
        <v>90</v>
      </c>
      <c r="J1570" s="110">
        <v>1581</v>
      </c>
      <c r="K1570" t="s">
        <v>2946</v>
      </c>
      <c r="L1570">
        <f>IF(Table_TRM_Fixtures[[#This Row],[Technology]]="LED", Table_TRM_Fixtures[[#This Row],[Fixture Watts  (TRM Data)]], Table_TRM_Fixtures[[#This Row],[Lamp Watts  (TRM Data)]])</f>
        <v>90</v>
      </c>
      <c r="M1570">
        <f>Table_TRM_Fixtures[[#This Row],[No. of Lamps  (TRM Data)]]</f>
        <v>1</v>
      </c>
      <c r="N1570" t="s">
        <v>186</v>
      </c>
      <c r="O1570" t="s">
        <v>186</v>
      </c>
      <c r="R1570" t="s">
        <v>2946</v>
      </c>
      <c r="S1570" t="str">
        <f>Table_TRM_Fixtures[[#This Row],[Description  (TRM Data)]]</f>
        <v>Halogen/Incandescent, (1) 90W lamp</v>
      </c>
      <c r="T1570" t="str">
        <f>Table_TRM_Fixtures[[#This Row],[Fixture code  (TRM Data)]]</f>
        <v>H90/1</v>
      </c>
      <c r="U1570" t="s">
        <v>2882</v>
      </c>
      <c r="V1570" t="s">
        <v>186</v>
      </c>
      <c r="W1570" t="s">
        <v>3120</v>
      </c>
      <c r="X1570" t="s">
        <v>186</v>
      </c>
      <c r="Y1570" t="str">
        <f>_xlfn.CONCAT(Table_TRM_Fixtures[[#This Row],[Combined Lighting/Ballast Types]],":",Table_TRM_Fixtures[[#This Row],[No. of Lamps]], ":", Table_TRM_Fixtures[[#This Row],[Lamp Watts  (TRM Data)]])</f>
        <v>Halogen/Incandescent:1:90</v>
      </c>
      <c r="Z1570"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Halogen/Incandescent:1:90</v>
      </c>
      <c r="AA1570">
        <f>IF(Table_TRM_Fixtures[[#This Row],[Pre-EISA Baseline]]="Nominal", Table_TRM_Fixtures[[#This Row],[Fixture Watts  (TRM Data)]], Table_TRM_Fixtures[[#This Row],[Modified Baseline Fixture Watts]])</f>
        <v>90</v>
      </c>
    </row>
    <row r="1571" spans="1:27" x14ac:dyDescent="0.2">
      <c r="A1571" t="s">
        <v>6207</v>
      </c>
      <c r="B1571" t="s">
        <v>6207</v>
      </c>
      <c r="C1571" t="s">
        <v>6208</v>
      </c>
      <c r="D1571" t="s">
        <v>6209</v>
      </c>
      <c r="F1571">
        <v>1</v>
      </c>
      <c r="G1571">
        <v>100</v>
      </c>
      <c r="H1571">
        <v>100</v>
      </c>
      <c r="J1571" s="110">
        <v>1582</v>
      </c>
      <c r="K1571" t="s">
        <v>2946</v>
      </c>
      <c r="L1571">
        <f>IF(Table_TRM_Fixtures[[#This Row],[Technology]]="LED", Table_TRM_Fixtures[[#This Row],[Fixture Watts  (TRM Data)]], Table_TRM_Fixtures[[#This Row],[Lamp Watts  (TRM Data)]])</f>
        <v>100</v>
      </c>
      <c r="M1571">
        <f>Table_TRM_Fixtures[[#This Row],[No. of Lamps  (TRM Data)]]</f>
        <v>1</v>
      </c>
      <c r="N1571" t="s">
        <v>186</v>
      </c>
      <c r="O1571" t="s">
        <v>186</v>
      </c>
      <c r="R1571" t="s">
        <v>2946</v>
      </c>
      <c r="S1571" t="str">
        <f>Table_TRM_Fixtures[[#This Row],[Description  (TRM Data)]]</f>
        <v>Halogen/Incandescent, (1) 100W lamp</v>
      </c>
      <c r="T1571" t="str">
        <f>Table_TRM_Fixtures[[#This Row],[Fixture code  (TRM Data)]]</f>
        <v>H100/1</v>
      </c>
      <c r="U1571" t="s">
        <v>2882</v>
      </c>
      <c r="V1571" t="s">
        <v>186</v>
      </c>
      <c r="W1571" t="s">
        <v>3120</v>
      </c>
      <c r="X1571" t="s">
        <v>186</v>
      </c>
      <c r="Y1571" t="str">
        <f>_xlfn.CONCAT(Table_TRM_Fixtures[[#This Row],[Combined Lighting/Ballast Types]],":",Table_TRM_Fixtures[[#This Row],[No. of Lamps]], ":", Table_TRM_Fixtures[[#This Row],[Lamp Watts  (TRM Data)]])</f>
        <v>Halogen/Incandescent:1:100</v>
      </c>
      <c r="Z1571"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Halogen/Incandescent:1:100</v>
      </c>
      <c r="AA1571">
        <f>IF(Table_TRM_Fixtures[[#This Row],[Pre-EISA Baseline]]="Nominal", Table_TRM_Fixtures[[#This Row],[Fixture Watts  (TRM Data)]], Table_TRM_Fixtures[[#This Row],[Modified Baseline Fixture Watts]])</f>
        <v>100</v>
      </c>
    </row>
    <row r="1572" spans="1:27" x14ac:dyDescent="0.2">
      <c r="A1572" t="s">
        <v>6210</v>
      </c>
      <c r="B1572" t="s">
        <v>6210</v>
      </c>
      <c r="C1572" t="s">
        <v>6211</v>
      </c>
      <c r="D1572" t="s">
        <v>6212</v>
      </c>
      <c r="F1572">
        <v>1</v>
      </c>
      <c r="G1572">
        <v>150</v>
      </c>
      <c r="H1572">
        <v>150</v>
      </c>
      <c r="J1572" s="110">
        <v>1583</v>
      </c>
      <c r="K1572" t="s">
        <v>2946</v>
      </c>
      <c r="L1572">
        <f>IF(Table_TRM_Fixtures[[#This Row],[Technology]]="LED", Table_TRM_Fixtures[[#This Row],[Fixture Watts  (TRM Data)]], Table_TRM_Fixtures[[#This Row],[Lamp Watts  (TRM Data)]])</f>
        <v>150</v>
      </c>
      <c r="M1572">
        <f>Table_TRM_Fixtures[[#This Row],[No. of Lamps  (TRM Data)]]</f>
        <v>1</v>
      </c>
      <c r="N1572" t="s">
        <v>186</v>
      </c>
      <c r="O1572" t="s">
        <v>186</v>
      </c>
      <c r="R1572" t="s">
        <v>2946</v>
      </c>
      <c r="S1572" t="str">
        <f>Table_TRM_Fixtures[[#This Row],[Description  (TRM Data)]]</f>
        <v>Halogen/Incandescent, (1) 150W lamp</v>
      </c>
      <c r="T1572" t="str">
        <f>Table_TRM_Fixtures[[#This Row],[Fixture code  (TRM Data)]]</f>
        <v>H150/1</v>
      </c>
      <c r="U1572" t="s">
        <v>2882</v>
      </c>
      <c r="V1572" t="s">
        <v>186</v>
      </c>
      <c r="W1572" t="s">
        <v>3120</v>
      </c>
      <c r="X1572" t="s">
        <v>186</v>
      </c>
      <c r="Y1572" t="str">
        <f>_xlfn.CONCAT(Table_TRM_Fixtures[[#This Row],[Combined Lighting/Ballast Types]],":",Table_TRM_Fixtures[[#This Row],[No. of Lamps]], ":", Table_TRM_Fixtures[[#This Row],[Lamp Watts  (TRM Data)]])</f>
        <v>Halogen/Incandescent:1:150</v>
      </c>
      <c r="Z1572"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Halogen/Incandescent:1:150</v>
      </c>
      <c r="AA1572">
        <f>IF(Table_TRM_Fixtures[[#This Row],[Pre-EISA Baseline]]="Nominal", Table_TRM_Fixtures[[#This Row],[Fixture Watts  (TRM Data)]], Table_TRM_Fixtures[[#This Row],[Modified Baseline Fixture Watts]])</f>
        <v>150</v>
      </c>
    </row>
    <row r="1573" spans="1:27" x14ac:dyDescent="0.2">
      <c r="A1573" t="s">
        <v>6213</v>
      </c>
      <c r="B1573" t="s">
        <v>6213</v>
      </c>
      <c r="C1573" t="s">
        <v>6214</v>
      </c>
      <c r="D1573" t="s">
        <v>6215</v>
      </c>
      <c r="F1573">
        <v>1</v>
      </c>
      <c r="G1573">
        <v>250</v>
      </c>
      <c r="H1573">
        <v>250</v>
      </c>
      <c r="J1573" s="110">
        <v>1584</v>
      </c>
      <c r="K1573" t="s">
        <v>2946</v>
      </c>
      <c r="L1573">
        <f>IF(Table_TRM_Fixtures[[#This Row],[Technology]]="LED", Table_TRM_Fixtures[[#This Row],[Fixture Watts  (TRM Data)]], Table_TRM_Fixtures[[#This Row],[Lamp Watts  (TRM Data)]])</f>
        <v>250</v>
      </c>
      <c r="M1573">
        <f>Table_TRM_Fixtures[[#This Row],[No. of Lamps  (TRM Data)]]</f>
        <v>1</v>
      </c>
      <c r="N1573" t="s">
        <v>186</v>
      </c>
      <c r="O1573" t="s">
        <v>186</v>
      </c>
      <c r="R1573" t="s">
        <v>2946</v>
      </c>
      <c r="S1573" t="str">
        <f>Table_TRM_Fixtures[[#This Row],[Description  (TRM Data)]]</f>
        <v>Halogen/Incandescent, (1) 250W lamp</v>
      </c>
      <c r="T1573" t="str">
        <f>Table_TRM_Fixtures[[#This Row],[Fixture code  (TRM Data)]]</f>
        <v>H250/1</v>
      </c>
      <c r="U1573" t="s">
        <v>2882</v>
      </c>
      <c r="V1573" t="s">
        <v>186</v>
      </c>
      <c r="W1573" t="s">
        <v>3120</v>
      </c>
      <c r="X1573" t="s">
        <v>186</v>
      </c>
      <c r="Y1573" t="str">
        <f>_xlfn.CONCAT(Table_TRM_Fixtures[[#This Row],[Combined Lighting/Ballast Types]],":",Table_TRM_Fixtures[[#This Row],[No. of Lamps]], ":", Table_TRM_Fixtures[[#This Row],[Lamp Watts  (TRM Data)]])</f>
        <v>Halogen/Incandescent:1:250</v>
      </c>
      <c r="Z1573"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Halogen/Incandescent:1:250</v>
      </c>
      <c r="AA1573">
        <f>IF(Table_TRM_Fixtures[[#This Row],[Pre-EISA Baseline]]="Nominal", Table_TRM_Fixtures[[#This Row],[Fixture Watts  (TRM Data)]], Table_TRM_Fixtures[[#This Row],[Modified Baseline Fixture Watts]])</f>
        <v>250</v>
      </c>
    </row>
    <row r="1574" spans="1:27" x14ac:dyDescent="0.2">
      <c r="A1574" t="s">
        <v>6216</v>
      </c>
      <c r="B1574" t="s">
        <v>6216</v>
      </c>
      <c r="C1574" t="s">
        <v>6217</v>
      </c>
      <c r="D1574" t="s">
        <v>6218</v>
      </c>
      <c r="F1574">
        <v>1</v>
      </c>
      <c r="G1574">
        <v>300</v>
      </c>
      <c r="H1574">
        <v>300</v>
      </c>
      <c r="J1574" s="110">
        <v>1585</v>
      </c>
      <c r="K1574" t="s">
        <v>2946</v>
      </c>
      <c r="L1574">
        <f>IF(Table_TRM_Fixtures[[#This Row],[Technology]]="LED", Table_TRM_Fixtures[[#This Row],[Fixture Watts  (TRM Data)]], Table_TRM_Fixtures[[#This Row],[Lamp Watts  (TRM Data)]])</f>
        <v>300</v>
      </c>
      <c r="M1574">
        <f>Table_TRM_Fixtures[[#This Row],[No. of Lamps  (TRM Data)]]</f>
        <v>1</v>
      </c>
      <c r="N1574" t="s">
        <v>186</v>
      </c>
      <c r="O1574" t="s">
        <v>186</v>
      </c>
      <c r="R1574" t="s">
        <v>2946</v>
      </c>
      <c r="S1574" t="str">
        <f>Table_TRM_Fixtures[[#This Row],[Description  (TRM Data)]]</f>
        <v>Halogen/Incandescent, (1) 300W lamp</v>
      </c>
      <c r="T1574" t="str">
        <f>Table_TRM_Fixtures[[#This Row],[Fixture code  (TRM Data)]]</f>
        <v>H300/1</v>
      </c>
      <c r="U1574" t="s">
        <v>2882</v>
      </c>
      <c r="V1574" t="s">
        <v>186</v>
      </c>
      <c r="W1574" t="s">
        <v>3120</v>
      </c>
      <c r="X1574" t="s">
        <v>186</v>
      </c>
      <c r="Y1574" t="str">
        <f>_xlfn.CONCAT(Table_TRM_Fixtures[[#This Row],[Combined Lighting/Ballast Types]],":",Table_TRM_Fixtures[[#This Row],[No. of Lamps]], ":", Table_TRM_Fixtures[[#This Row],[Lamp Watts  (TRM Data)]])</f>
        <v>Halogen/Incandescent:1:300</v>
      </c>
      <c r="Z1574"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Halogen/Incandescent:1:300</v>
      </c>
      <c r="AA1574">
        <f>IF(Table_TRM_Fixtures[[#This Row],[Pre-EISA Baseline]]="Nominal", Table_TRM_Fixtures[[#This Row],[Fixture Watts  (TRM Data)]], Table_TRM_Fixtures[[#This Row],[Modified Baseline Fixture Watts]])</f>
        <v>300</v>
      </c>
    </row>
    <row r="1575" spans="1:27" x14ac:dyDescent="0.2">
      <c r="A1575" t="s">
        <v>6219</v>
      </c>
      <c r="B1575" t="s">
        <v>6219</v>
      </c>
      <c r="C1575" t="s">
        <v>6220</v>
      </c>
      <c r="D1575" t="s">
        <v>6221</v>
      </c>
      <c r="F1575">
        <v>1</v>
      </c>
      <c r="G1575">
        <v>500</v>
      </c>
      <c r="H1575">
        <v>500</v>
      </c>
      <c r="J1575" s="110">
        <v>1586</v>
      </c>
      <c r="K1575" t="s">
        <v>2946</v>
      </c>
      <c r="L1575">
        <f>IF(Table_TRM_Fixtures[[#This Row],[Technology]]="LED", Table_TRM_Fixtures[[#This Row],[Fixture Watts  (TRM Data)]], Table_TRM_Fixtures[[#This Row],[Lamp Watts  (TRM Data)]])</f>
        <v>500</v>
      </c>
      <c r="M1575">
        <f>Table_TRM_Fixtures[[#This Row],[No. of Lamps  (TRM Data)]]</f>
        <v>1</v>
      </c>
      <c r="N1575" t="s">
        <v>186</v>
      </c>
      <c r="O1575" t="s">
        <v>186</v>
      </c>
      <c r="R1575" t="s">
        <v>2946</v>
      </c>
      <c r="S1575" t="str">
        <f>Table_TRM_Fixtures[[#This Row],[Description  (TRM Data)]]</f>
        <v>Halogen/Incandescent, (1) 500W lamp</v>
      </c>
      <c r="T1575" t="str">
        <f>Table_TRM_Fixtures[[#This Row],[Fixture code  (TRM Data)]]</f>
        <v>H500/1</v>
      </c>
      <c r="U1575" t="s">
        <v>2882</v>
      </c>
      <c r="V1575" t="s">
        <v>186</v>
      </c>
      <c r="W1575" t="s">
        <v>3120</v>
      </c>
      <c r="X1575" t="s">
        <v>186</v>
      </c>
      <c r="Y1575" t="str">
        <f>_xlfn.CONCAT(Table_TRM_Fixtures[[#This Row],[Combined Lighting/Ballast Types]],":",Table_TRM_Fixtures[[#This Row],[No. of Lamps]], ":", Table_TRM_Fixtures[[#This Row],[Lamp Watts  (TRM Data)]])</f>
        <v>Halogen/Incandescent:1:500</v>
      </c>
      <c r="Z1575" t="str">
        <f>IFERROR(_xlfn.CONCAT(LEFT(Table_TRM_Fixtures[[#This Row],[Combined Lighting/Ballast Types]], FIND(",",Table_TRM_Fixtures[[#This Row],[Combined Lighting/Ballast Types]])-1),":",Table_TRM_Fixtures[[#This Row],[No. of Lamps]], ":", Table_TRM_Fixtures[[#This Row],[Lamp Watts  (TRM Data)]]), _xlfn.CONCAT(Table_TRM_Fixtures[[#This Row],[Combined Lighting/Ballast Types]],":",Table_TRM_Fixtures[[#This Row],[No. of Lamps]], ":", Table_TRM_Fixtures[[#This Row],[Lamp Watts  (TRM Data)]]))</f>
        <v>Halogen/Incandescent:1:500</v>
      </c>
      <c r="AA1575">
        <f>IF(Table_TRM_Fixtures[[#This Row],[Pre-EISA Baseline]]="Nominal", Table_TRM_Fixtures[[#This Row],[Fixture Watts  (TRM Data)]], Table_TRM_Fixtures[[#This Row],[Modified Baseline Fixture Watts]])</f>
        <v>500</v>
      </c>
    </row>
  </sheetData>
  <mergeCells count="2">
    <mergeCell ref="A1:I1"/>
    <mergeCell ref="J1:AA1"/>
  </mergeCells>
  <phoneticPr fontId="10" type="noConversion"/>
  <conditionalFormatting sqref="Y3:Y1575">
    <cfRule type="duplicateValues" dxfId="1" priority="2"/>
  </conditionalFormatting>
  <conditionalFormatting sqref="Z3:Z1575">
    <cfRule type="duplicateValues" dxfId="0" priority="1"/>
  </conditionalFormatting>
  <pageMargins left="0.7" right="0.7" top="0.75" bottom="0.75" header="0.3" footer="0.3"/>
  <pageSetup orientation="portrait" horizontalDpi="0" verticalDpi="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243AF-B3CC-4D4A-8040-5F839DF34AFA}">
  <sheetPr>
    <tabColor rgb="FFFF0000"/>
  </sheetPr>
  <dimension ref="A1:O10"/>
  <sheetViews>
    <sheetView workbookViewId="0">
      <selection sqref="A1:B1"/>
    </sheetView>
  </sheetViews>
  <sheetFormatPr defaultRowHeight="12.75" x14ac:dyDescent="0.2"/>
  <cols>
    <col min="1" max="1" width="15.42578125" bestFit="1" customWidth="1"/>
    <col min="2" max="2" width="18.28515625" customWidth="1"/>
    <col min="3" max="3" width="18.5703125" customWidth="1"/>
    <col min="4" max="4" width="19.5703125" customWidth="1"/>
    <col min="5" max="5" width="22.140625" customWidth="1"/>
    <col min="6" max="6" width="12.5703125" customWidth="1"/>
    <col min="7" max="7" width="18.5703125" customWidth="1"/>
    <col min="8" max="8" width="17.28515625" customWidth="1"/>
    <col min="9" max="9" width="11.85546875" customWidth="1"/>
    <col min="12" max="12" width="22.28515625" bestFit="1" customWidth="1"/>
    <col min="13" max="13" width="21.28515625" bestFit="1" customWidth="1"/>
    <col min="14" max="14" width="16.28515625" bestFit="1" customWidth="1"/>
    <col min="15" max="15" width="12" bestFit="1" customWidth="1"/>
  </cols>
  <sheetData>
    <row r="1" spans="1:15" ht="14.25" thickTop="1" thickBot="1" x14ac:dyDescent="0.25">
      <c r="A1" s="301" t="s">
        <v>6222</v>
      </c>
      <c r="B1" s="301"/>
      <c r="L1" s="301" t="s">
        <v>6223</v>
      </c>
      <c r="M1" s="301"/>
    </row>
    <row r="2" spans="1:15" s="12" customFormat="1" ht="26.25" thickTop="1" x14ac:dyDescent="0.2">
      <c r="A2" s="77" t="s">
        <v>6224</v>
      </c>
      <c r="B2" s="77" t="s">
        <v>6225</v>
      </c>
      <c r="C2" s="77" t="s">
        <v>6226</v>
      </c>
      <c r="D2" s="77" t="s">
        <v>6227</v>
      </c>
      <c r="E2" s="77" t="s">
        <v>6228</v>
      </c>
      <c r="F2" s="77" t="s">
        <v>6229</v>
      </c>
      <c r="G2" s="77" t="s">
        <v>6230</v>
      </c>
      <c r="H2" s="77" t="s">
        <v>6231</v>
      </c>
      <c r="I2" s="77" t="s">
        <v>6232</v>
      </c>
      <c r="J2" s="77" t="s">
        <v>6233</v>
      </c>
      <c r="L2" t="s">
        <v>6234</v>
      </c>
      <c r="M2" t="s">
        <v>6235</v>
      </c>
      <c r="N2" t="s">
        <v>6236</v>
      </c>
      <c r="O2" t="s">
        <v>6237</v>
      </c>
    </row>
    <row r="3" spans="1:15" x14ac:dyDescent="0.2">
      <c r="A3" t="s">
        <v>6238</v>
      </c>
      <c r="B3" t="str">
        <f>'Review the Summary'!B24</f>
        <v>Prescriptive lighting</v>
      </c>
      <c r="C3" s="78">
        <f>'Input Prescr. Lighting Measures'!U3</f>
        <v>0</v>
      </c>
      <c r="D3" s="81">
        <f>'Input Prescr. Lighting Measures'!V3</f>
        <v>0</v>
      </c>
      <c r="E3" s="80">
        <f>'Input Prescr. Lighting Measures'!W3</f>
        <v>0</v>
      </c>
      <c r="F3" s="78">
        <f>'Input Prescr. Lighting Measures'!X3</f>
        <v>0</v>
      </c>
      <c r="G3" s="78">
        <f>'Input Prescr. Lighting Measures'!Y3</f>
        <v>0</v>
      </c>
      <c r="H3" s="78" t="e">
        <f>Table_Measure_Caps[[#This Row],[Gross Measure Cost Total]]-Table_Measure_Caps[[#This Row],[Capped Incentive]]</f>
        <v>#DIV/0!</v>
      </c>
      <c r="I3" s="82" t="e">
        <f>Table_Measure_Caps[[#This Row],[Estimated Raw Incentive Total]]/Table_Measure_Caps[[#This Row],[Gross Measure Cost Total]]</f>
        <v>#DIV/0!</v>
      </c>
      <c r="J3" s="78" t="e">
        <f>Table_Measure_Caps[[#This Row],[Estimated Raw Incentive Total]]*MIN(Table_Measure_Caps[[#Totals],[Estimated Raw Incentive Total]], Table_Measure_Caps[[#Totals],[Gross Measure Cost Total]], Value_Project_CAP)/Table_Measure_Caps[[#Totals],[Estimated Raw Incentive Total]]</f>
        <v>#DIV/0!</v>
      </c>
      <c r="K3" s="78"/>
      <c r="L3" s="98"/>
      <c r="M3" s="36"/>
      <c r="N3" s="36"/>
      <c r="O3" s="36"/>
    </row>
    <row r="4" spans="1:15" x14ac:dyDescent="0.2">
      <c r="A4" t="s">
        <v>6239</v>
      </c>
      <c r="B4" t="str">
        <f>'Review the Summary'!B25</f>
        <v>Custom lighting</v>
      </c>
      <c r="C4" s="78">
        <f>'Input Custom Lighting Measures'!Y3</f>
        <v>0</v>
      </c>
      <c r="D4" s="81">
        <f>'Input Custom Lighting Measures'!Z3</f>
        <v>0</v>
      </c>
      <c r="E4" s="80">
        <f>'Input Custom Lighting Measures'!AA3</f>
        <v>0</v>
      </c>
      <c r="F4" s="78">
        <f>'Input Custom Lighting Measures'!AB3</f>
        <v>0</v>
      </c>
      <c r="G4" s="78">
        <f>'Input Custom Lighting Measures'!AC3</f>
        <v>0</v>
      </c>
      <c r="H4" s="78" t="e">
        <f>Table_Measure_Caps[[#This Row],[Gross Measure Cost Total]]-Table_Measure_Caps[[#This Row],[Capped Incentive]]</f>
        <v>#DIV/0!</v>
      </c>
      <c r="I4" s="82" t="e">
        <f>Table_Measure_Caps[[#This Row],[Estimated Raw Incentive Total]]/Table_Measure_Caps[[#This Row],[Gross Measure Cost Total]]</f>
        <v>#DIV/0!</v>
      </c>
      <c r="J4" s="78" t="e">
        <f>Table_Measure_Caps[[#This Row],[Estimated Raw Incentive Total]]*MIN(Table_Measure_Caps[[#Totals],[Estimated Raw Incentive Total]], Table_Measure_Caps[[#Totals],[Gross Measure Cost Total]], Value_Project_CAP)/Table_Measure_Caps[[#Totals],[Estimated Raw Incentive Total]]</f>
        <v>#DIV/0!</v>
      </c>
      <c r="K4" s="78"/>
    </row>
    <row r="5" spans="1:15" x14ac:dyDescent="0.2">
      <c r="A5" t="s">
        <v>6240</v>
      </c>
      <c r="B5" t="str">
        <f>'Review the Summary'!B26</f>
        <v>Prescriptive controls</v>
      </c>
      <c r="C5" s="78">
        <f>'Input Lighting Control Measures'!L3</f>
        <v>0</v>
      </c>
      <c r="D5" s="81">
        <f>'Input Lighting Control Measures'!M3</f>
        <v>0</v>
      </c>
      <c r="E5" s="80">
        <f>'Input Lighting Control Measures'!N3</f>
        <v>0</v>
      </c>
      <c r="F5" s="78">
        <f>'Input Lighting Control Measures'!O3</f>
        <v>0</v>
      </c>
      <c r="G5" s="78">
        <f>'Input Lighting Control Measures'!P3</f>
        <v>0</v>
      </c>
      <c r="H5" s="78" t="e">
        <f>Table_Measure_Caps[[#This Row],[Gross Measure Cost Total]]-Table_Measure_Caps[[#This Row],[Capped Incentive]]</f>
        <v>#DIV/0!</v>
      </c>
      <c r="I5" s="82" t="e">
        <f>Table_Measure_Caps[[#This Row],[Estimated Raw Incentive Total]]/Table_Measure_Caps[[#This Row],[Gross Measure Cost Total]]</f>
        <v>#DIV/0!</v>
      </c>
      <c r="J5" s="78" t="e">
        <f>Table_Measure_Caps[[#This Row],[Estimated Raw Incentive Total]]*MIN(Table_Measure_Caps[[#Totals],[Estimated Raw Incentive Total]], Table_Measure_Caps[[#Totals],[Gross Measure Cost Total]], Value_Project_CAP)/Table_Measure_Caps[[#Totals],[Estimated Raw Incentive Total]]</f>
        <v>#DIV/0!</v>
      </c>
      <c r="K5" s="78"/>
    </row>
    <row r="6" spans="1:15" x14ac:dyDescent="0.2">
      <c r="A6" t="s">
        <v>2774</v>
      </c>
      <c r="C6" s="78">
        <f>SUBTOTAL(109,Table_Measure_Caps[Estimated Raw Incentive Total])</f>
        <v>0</v>
      </c>
      <c r="D6" s="78">
        <f>SUBTOTAL(109,Table_Measure_Caps[Energy Savings Total (kWh)])</f>
        <v>0</v>
      </c>
      <c r="E6" s="79">
        <f>SUBTOTAL(109,Table_Measure_Caps[Demand Reduction Total (kW)])</f>
        <v>0</v>
      </c>
      <c r="F6" s="78">
        <f>SUBTOTAL(109,Table_Measure_Caps[Cost Savings Total])</f>
        <v>0</v>
      </c>
      <c r="G6" s="78">
        <f>SUBTOTAL(109,Table_Measure_Caps[Gross Measure Cost Total])</f>
        <v>0</v>
      </c>
      <c r="H6" s="78" t="e">
        <f>SUBTOTAL(109,Table_Measure_Caps[Net Measure Cost Total])</f>
        <v>#DIV/0!</v>
      </c>
      <c r="I6" s="124" t="e">
        <f>Table_Measure_Caps[[#Totals],[Estimated Raw Incentive Total]]/Table_Measure_Caps[[#Totals],[Gross Measure Cost Total]]</f>
        <v>#DIV/0!</v>
      </c>
      <c r="J6" s="78" t="e">
        <f>SUBTOTAL(109,Table_Measure_Caps[Capped Incentive])</f>
        <v>#DIV/0!</v>
      </c>
      <c r="K6" s="78"/>
    </row>
    <row r="10" spans="1:15" x14ac:dyDescent="0.2">
      <c r="G10" s="36"/>
      <c r="H10" s="36"/>
    </row>
  </sheetData>
  <mergeCells count="2">
    <mergeCell ref="A1:B1"/>
    <mergeCell ref="L1:M1"/>
  </mergeCells>
  <pageMargins left="0.7" right="0.7" top="0.75" bottom="0.75" header="0.3" footer="0.3"/>
  <tableParts count="2">
    <tablePart r:id="rId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E8186-6E06-47F7-B2BF-1C7EA5417126}">
  <sheetPr codeName="Sheet7">
    <tabColor rgb="FFFF0000"/>
  </sheetPr>
  <dimension ref="A1:E22"/>
  <sheetViews>
    <sheetView workbookViewId="0"/>
  </sheetViews>
  <sheetFormatPr defaultRowHeight="12.75" x14ac:dyDescent="0.2"/>
  <cols>
    <col min="1" max="1" width="54.140625" customWidth="1"/>
    <col min="2" max="2" width="34.42578125" style="3" customWidth="1"/>
    <col min="3" max="3" width="29.140625" style="3" customWidth="1"/>
    <col min="4" max="4" width="11.28515625" customWidth="1"/>
    <col min="6" max="6" width="15.42578125" customWidth="1"/>
    <col min="7" max="7" width="32.85546875" customWidth="1"/>
  </cols>
  <sheetData>
    <row r="1" spans="1:5" ht="15" x14ac:dyDescent="0.25">
      <c r="A1" s="7" t="s">
        <v>6241</v>
      </c>
      <c r="B1" s="22"/>
      <c r="E1" s="21" t="s">
        <v>6242</v>
      </c>
    </row>
    <row r="2" spans="1:5" ht="15" x14ac:dyDescent="0.25">
      <c r="A2" s="7" t="s">
        <v>6243</v>
      </c>
      <c r="B2" s="23"/>
      <c r="E2" s="21"/>
    </row>
    <row r="3" spans="1:5" ht="15" x14ac:dyDescent="0.25">
      <c r="A3" s="7" t="s">
        <v>6244</v>
      </c>
      <c r="B3" s="133" t="str">
        <f>IFERROR(Project_Energy_Savings/Input_Usage,"")</f>
        <v/>
      </c>
      <c r="E3" s="21"/>
    </row>
    <row r="5" spans="1:5" x14ac:dyDescent="0.2">
      <c r="A5" t="s">
        <v>6245</v>
      </c>
      <c r="B5" s="2" t="s">
        <v>6246</v>
      </c>
      <c r="C5" s="2" t="s">
        <v>6247</v>
      </c>
    </row>
    <row r="6" spans="1:5" x14ac:dyDescent="0.2">
      <c r="A6" s="25" t="s">
        <v>6248</v>
      </c>
      <c r="B6" s="20"/>
      <c r="C6" s="20"/>
    </row>
    <row r="7" spans="1:5" x14ac:dyDescent="0.2">
      <c r="A7" s="25" t="s">
        <v>6249</v>
      </c>
      <c r="B7" s="20"/>
      <c r="C7" s="20"/>
    </row>
    <row r="8" spans="1:5" x14ac:dyDescent="0.2">
      <c r="A8" s="25" t="s">
        <v>6250</v>
      </c>
      <c r="B8" s="20"/>
      <c r="C8" s="20"/>
    </row>
    <row r="9" spans="1:5" x14ac:dyDescent="0.2">
      <c r="A9" s="25" t="s">
        <v>6251</v>
      </c>
      <c r="B9" s="24"/>
      <c r="C9" s="24"/>
    </row>
    <row r="10" spans="1:5" x14ac:dyDescent="0.2">
      <c r="A10" s="25" t="s">
        <v>6252</v>
      </c>
      <c r="B10" s="24"/>
      <c r="C10" s="24"/>
    </row>
    <row r="11" spans="1:5" x14ac:dyDescent="0.2">
      <c r="A11" s="25" t="s">
        <v>6253</v>
      </c>
      <c r="B11" s="24"/>
      <c r="C11" s="24"/>
    </row>
    <row r="12" spans="1:5" x14ac:dyDescent="0.2">
      <c r="A12" s="25" t="s">
        <v>6254</v>
      </c>
      <c r="B12" s="24"/>
      <c r="C12" s="24"/>
    </row>
    <row r="13" spans="1:5" x14ac:dyDescent="0.2">
      <c r="A13" s="25" t="s">
        <v>6255</v>
      </c>
      <c r="B13" s="24"/>
      <c r="C13" s="24"/>
    </row>
    <row r="14" spans="1:5" x14ac:dyDescent="0.2">
      <c r="A14" s="25" t="s">
        <v>6256</v>
      </c>
      <c r="B14" s="24"/>
      <c r="C14" s="24"/>
    </row>
    <row r="15" spans="1:5" x14ac:dyDescent="0.2">
      <c r="A15" s="25" t="s">
        <v>6257</v>
      </c>
      <c r="B15" s="24"/>
      <c r="C15" s="24"/>
    </row>
    <row r="16" spans="1:5" x14ac:dyDescent="0.2">
      <c r="A16" s="25" t="s">
        <v>6258</v>
      </c>
      <c r="B16" s="24"/>
      <c r="C16" s="24"/>
    </row>
    <row r="17" spans="1:3" ht="38.25" x14ac:dyDescent="0.2">
      <c r="A17" s="120" t="s">
        <v>6259</v>
      </c>
      <c r="B17" s="24"/>
      <c r="C17" s="24"/>
    </row>
    <row r="18" spans="1:3" x14ac:dyDescent="0.2">
      <c r="A18" s="3"/>
      <c r="B18" s="28"/>
      <c r="C18" s="28"/>
    </row>
    <row r="19" spans="1:3" ht="15" x14ac:dyDescent="0.2">
      <c r="A19" s="29" t="s">
        <v>6260</v>
      </c>
      <c r="B19" s="29" t="s">
        <v>6261</v>
      </c>
    </row>
    <row r="20" spans="1:3" x14ac:dyDescent="0.2">
      <c r="A20" s="27" t="s">
        <v>6262</v>
      </c>
      <c r="B20" s="30" t="b">
        <f>Project_Energy_Savings=SUM(Table18[kWh Savings])</f>
        <v>1</v>
      </c>
    </row>
    <row r="21" spans="1:3" x14ac:dyDescent="0.2">
      <c r="A21" s="27" t="s">
        <v>6263</v>
      </c>
      <c r="B21" s="30" t="e">
        <f>Total_Incentive=SUM(Table18[Incentive])</f>
        <v>#DIV/0!</v>
      </c>
    </row>
    <row r="22" spans="1:3" x14ac:dyDescent="0.2">
      <c r="A22" s="5" t="s">
        <v>6264</v>
      </c>
      <c r="B22" s="26" t="b">
        <f>Gross_Proj_Cost=SUM(Table18[[Equipment Cost]:[Labor Cost]])</f>
        <v>1</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FAF85-49F4-4830-81E4-A9D43357CDC9}">
  <sheetPr>
    <tabColor rgb="FFFF0000"/>
  </sheetPr>
  <dimension ref="A1:R8"/>
  <sheetViews>
    <sheetView workbookViewId="0"/>
  </sheetViews>
  <sheetFormatPr defaultRowHeight="12.75" x14ac:dyDescent="0.2"/>
  <cols>
    <col min="1" max="1" width="18.28515625" bestFit="1" customWidth="1"/>
    <col min="2" max="2" width="15" bestFit="1" customWidth="1"/>
    <col min="3" max="3" width="14.42578125" bestFit="1" customWidth="1"/>
    <col min="4" max="4" width="13.5703125" bestFit="1" customWidth="1"/>
    <col min="5" max="5" width="8" bestFit="1" customWidth="1"/>
    <col min="6" max="6" width="7.42578125" bestFit="1" customWidth="1"/>
    <col min="7" max="7" width="10.5703125" bestFit="1" customWidth="1"/>
    <col min="8" max="8" width="13.28515625" bestFit="1" customWidth="1"/>
    <col min="9" max="9" width="22.7109375" bestFit="1" customWidth="1"/>
    <col min="10" max="10" width="13.140625" bestFit="1" customWidth="1"/>
    <col min="11" max="11" width="6.42578125" bestFit="1" customWidth="1"/>
    <col min="12" max="12" width="7.140625" bestFit="1" customWidth="1"/>
    <col min="13" max="13" width="15" bestFit="1" customWidth="1"/>
    <col min="14" max="14" width="12.7109375" bestFit="1" customWidth="1"/>
  </cols>
  <sheetData>
    <row r="1" spans="1:18" ht="13.5" thickBot="1" x14ac:dyDescent="0.25"/>
    <row r="2" spans="1:18" ht="14.25" thickTop="1" thickBot="1" x14ac:dyDescent="0.25">
      <c r="A2" s="54" t="s">
        <v>6265</v>
      </c>
    </row>
    <row r="3" spans="1:18" ht="13.5" thickTop="1" x14ac:dyDescent="0.2">
      <c r="A3" t="s">
        <v>6266</v>
      </c>
      <c r="B3" t="s">
        <v>2789</v>
      </c>
      <c r="C3" t="s">
        <v>6267</v>
      </c>
      <c r="D3" t="s">
        <v>6268</v>
      </c>
      <c r="E3" t="s">
        <v>35</v>
      </c>
      <c r="F3" t="s">
        <v>36</v>
      </c>
      <c r="G3" t="s">
        <v>6269</v>
      </c>
      <c r="H3" t="s">
        <v>6270</v>
      </c>
      <c r="I3" t="s">
        <v>6271</v>
      </c>
      <c r="J3" t="s">
        <v>6272</v>
      </c>
      <c r="K3" t="s">
        <v>6273</v>
      </c>
      <c r="L3" t="s">
        <v>6274</v>
      </c>
      <c r="M3" t="s">
        <v>6275</v>
      </c>
      <c r="N3" t="s">
        <v>6276</v>
      </c>
      <c r="O3" t="s">
        <v>2794</v>
      </c>
      <c r="P3" t="s">
        <v>6277</v>
      </c>
      <c r="Q3" t="s">
        <v>2796</v>
      </c>
      <c r="R3" t="s">
        <v>2797</v>
      </c>
    </row>
    <row r="4" spans="1:18" x14ac:dyDescent="0.2">
      <c r="A4" s="71" t="s">
        <v>2765</v>
      </c>
      <c r="B4">
        <f>'Fill in the Application'!$C$4</f>
        <v>0</v>
      </c>
      <c r="C4">
        <f>'Fill in the Application'!$C$5</f>
        <v>0</v>
      </c>
      <c r="D4">
        <f>'Fill in the Application'!$C$6</f>
        <v>0</v>
      </c>
      <c r="E4">
        <f>'Fill in the Application'!$C$7</f>
        <v>0</v>
      </c>
      <c r="F4">
        <f>'Fill in the Application'!$C$8</f>
        <v>0</v>
      </c>
      <c r="G4">
        <f>'Fill in the Application'!$C$9</f>
        <v>0</v>
      </c>
      <c r="H4">
        <f>'Fill in the Application'!$C$10</f>
        <v>0</v>
      </c>
      <c r="I4">
        <f>'Fill in the Application'!$C$11</f>
        <v>0</v>
      </c>
      <c r="J4">
        <f>'Fill in the Application'!$C$12</f>
        <v>0</v>
      </c>
      <c r="K4">
        <f>'Fill in the Application'!$C$13</f>
        <v>0</v>
      </c>
      <c r="L4">
        <f>'Fill in the Application'!$C$14</f>
        <v>0</v>
      </c>
      <c r="M4" t="s">
        <v>3046</v>
      </c>
      <c r="N4" t="str">
        <f>Table_Contacts[[#This Row],[Entity]]</f>
        <v>Customer</v>
      </c>
      <c r="O4" t="s">
        <v>3046</v>
      </c>
      <c r="P4" t="s">
        <v>3046</v>
      </c>
      <c r="Q4" t="s">
        <v>3046</v>
      </c>
      <c r="R4" t="s">
        <v>3046</v>
      </c>
    </row>
    <row r="5" spans="1:18" x14ac:dyDescent="0.2">
      <c r="A5" s="71" t="s">
        <v>2917</v>
      </c>
      <c r="B5">
        <f>'Fill in the Application'!$C$16</f>
        <v>0</v>
      </c>
      <c r="C5">
        <f>'Fill in the Application'!$C$17</f>
        <v>0</v>
      </c>
      <c r="D5">
        <f>'Fill in the Application'!$C$18</f>
        <v>0</v>
      </c>
      <c r="E5">
        <f>'Fill in the Application'!$C$19</f>
        <v>0</v>
      </c>
      <c r="F5">
        <f>'Fill in the Application'!$C$20</f>
        <v>0</v>
      </c>
      <c r="G5">
        <f>'Fill in the Application'!$C$21</f>
        <v>0</v>
      </c>
      <c r="H5">
        <f>'Fill in the Application'!$C$22</f>
        <v>0</v>
      </c>
      <c r="I5">
        <f>'Fill in the Application'!$C$23</f>
        <v>0</v>
      </c>
      <c r="J5" t="s">
        <v>3046</v>
      </c>
      <c r="K5" t="s">
        <v>3046</v>
      </c>
      <c r="L5" t="s">
        <v>3046</v>
      </c>
      <c r="M5">
        <f>'Fill in the Application'!$C$24</f>
        <v>0</v>
      </c>
      <c r="N5" t="str">
        <f>Table_Contacts[[#This Row],[Entity]]</f>
        <v>Trade Ally/Contractor</v>
      </c>
      <c r="O5" t="s">
        <v>3046</v>
      </c>
      <c r="P5" t="s">
        <v>3046</v>
      </c>
      <c r="Q5" t="s">
        <v>3046</v>
      </c>
      <c r="R5" t="s">
        <v>3046</v>
      </c>
    </row>
    <row r="6" spans="1:18" x14ac:dyDescent="0.2">
      <c r="A6" s="71" t="s">
        <v>2941</v>
      </c>
      <c r="B6">
        <f>'Fill in the Application'!$C$26</f>
        <v>0</v>
      </c>
      <c r="C6">
        <f>'Fill in the Application'!$C$27</f>
        <v>0</v>
      </c>
      <c r="D6">
        <f>'Fill in the Application'!$C$28</f>
        <v>0</v>
      </c>
      <c r="E6">
        <f>'Fill in the Application'!$C$29</f>
        <v>0</v>
      </c>
      <c r="F6">
        <f>'Fill in the Application'!$C$30</f>
        <v>0</v>
      </c>
      <c r="G6">
        <f>'Fill in the Application'!$C$31</f>
        <v>0</v>
      </c>
      <c r="H6">
        <f>'Fill in the Application'!$C$32</f>
        <v>0</v>
      </c>
      <c r="I6">
        <f>'Fill in the Application'!$C$33</f>
        <v>0</v>
      </c>
      <c r="J6" t="s">
        <v>3046</v>
      </c>
      <c r="K6" t="s">
        <v>3046</v>
      </c>
      <c r="L6" t="s">
        <v>3046</v>
      </c>
      <c r="M6" t="s">
        <v>3046</v>
      </c>
      <c r="N6">
        <f>'Fill in the Application'!$C$34</f>
        <v>0</v>
      </c>
      <c r="O6" t="s">
        <v>3046</v>
      </c>
      <c r="P6" t="s">
        <v>3046</v>
      </c>
      <c r="Q6" t="s">
        <v>3046</v>
      </c>
      <c r="R6" t="s">
        <v>3046</v>
      </c>
    </row>
    <row r="7" spans="1:18" x14ac:dyDescent="0.2">
      <c r="A7" s="71" t="s">
        <v>2960</v>
      </c>
      <c r="B7">
        <f>'Fill in the Application'!$F$14</f>
        <v>0</v>
      </c>
      <c r="C7">
        <f>'Fill in the Application'!$F$15</f>
        <v>0</v>
      </c>
      <c r="D7">
        <f>'Fill in the Application'!$F$16</f>
        <v>0</v>
      </c>
      <c r="E7">
        <f>'Fill in the Application'!$F$17</f>
        <v>0</v>
      </c>
      <c r="F7">
        <f>'Fill in the Application'!$F$18</f>
        <v>0</v>
      </c>
      <c r="G7">
        <f>'Fill in the Application'!$F$19</f>
        <v>0</v>
      </c>
      <c r="H7">
        <f>'Fill in the Application'!$F$20</f>
        <v>0</v>
      </c>
      <c r="I7">
        <f>'Fill in the Application'!$F$21</f>
        <v>0</v>
      </c>
      <c r="J7" t="s">
        <v>3046</v>
      </c>
      <c r="K7" t="s">
        <v>3046</v>
      </c>
      <c r="L7" t="s">
        <v>3046</v>
      </c>
      <c r="M7" t="s">
        <v>3046</v>
      </c>
      <c r="N7" t="str">
        <f>Table_Contacts[[#This Row],[Entity]]</f>
        <v>Job Site</v>
      </c>
      <c r="O7" t="s">
        <v>3046</v>
      </c>
      <c r="P7" t="s">
        <v>3046</v>
      </c>
      <c r="Q7" t="s">
        <v>3046</v>
      </c>
      <c r="R7" t="s">
        <v>3046</v>
      </c>
    </row>
    <row r="8" spans="1:18" x14ac:dyDescent="0.2">
      <c r="A8" s="71" t="s">
        <v>6278</v>
      </c>
      <c r="B8" t="e">
        <f>INDEX(Table_Contacts[Business Name], MATCH('Fill in the Application'!$C$36, Table_Contacts[Entity], 0))</f>
        <v>#N/A</v>
      </c>
      <c r="C8" t="e">
        <f>INDEX(Table_Contacts[Contact Name], MATCH('Fill in the Application'!$C$36, Table_Contacts[Entity], 0))</f>
        <v>#N/A</v>
      </c>
      <c r="D8" t="e">
        <f>INDEX(Table_Contacts[Street], MATCH('Fill in the Application'!$C$36, Table_Contacts[Entity], 0))</f>
        <v>#N/A</v>
      </c>
      <c r="E8" t="e">
        <f>INDEX(Table_Contacts[City], MATCH('Fill in the Application'!$C$36, Table_Contacts[Entity], 0))</f>
        <v>#N/A</v>
      </c>
      <c r="F8" t="e">
        <f>INDEX(Table_Contacts[State], MATCH('Fill in the Application'!$C$36, Table_Contacts[Entity], 0))</f>
        <v>#N/A</v>
      </c>
      <c r="G8" t="e">
        <f>INDEX(Table_Contacts[Zip], MATCH('Fill in the Application'!$C$36, Table_Contacts[Entity], 0))</f>
        <v>#N/A</v>
      </c>
      <c r="H8" t="e">
        <f>INDEX(Table_Contacts[Phone], MATCH('Fill in the Application'!$C$36, Table_Contacts[Entity], 0))</f>
        <v>#N/A</v>
      </c>
      <c r="I8" t="e">
        <f>INDEX(Table_Contacts[Email], MATCH('Fill in the Application'!$C$36, Table_Contacts[Entity], 0))</f>
        <v>#N/A</v>
      </c>
      <c r="J8" t="e">
        <f>INDEX(Table_Contacts[Classification], MATCH('Fill in the Application'!$C$36, Table_Contacts[Entity], 0))</f>
        <v>#N/A</v>
      </c>
      <c r="K8" t="s">
        <v>3046</v>
      </c>
      <c r="L8" t="s">
        <v>3046</v>
      </c>
      <c r="M8" t="s">
        <v>3046</v>
      </c>
      <c r="N8" t="s">
        <v>3046</v>
      </c>
      <c r="O8">
        <f>'Fill in the Application'!F33</f>
        <v>0</v>
      </c>
      <c r="P8">
        <f>'Fill in the Application'!F34</f>
        <v>0</v>
      </c>
      <c r="Q8">
        <f>'Fill in the Application'!F35</f>
        <v>0</v>
      </c>
      <c r="R8">
        <f>'Fill in the Application'!F36</f>
        <v>0</v>
      </c>
    </row>
  </sheetData>
  <pageMargins left="0.7" right="0.7" top="0.75" bottom="0.75" header="0.3" footer="0.3"/>
  <pageSetup orientation="portrait" horizontalDpi="0" verticalDpi="0" r:id="rId1"/>
  <ignoredErrors>
    <ignoredError sqref="O4 P4:R7 O5:O7" calculatedColumn="1"/>
  </ignoredErrors>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799DA-3079-4798-A831-80E5996DF33A}">
  <sheetPr codeName="Sheet10">
    <tabColor rgb="FFFF0000"/>
  </sheetPr>
  <dimension ref="A1:Q502"/>
  <sheetViews>
    <sheetView workbookViewId="0"/>
  </sheetViews>
  <sheetFormatPr defaultColWidth="9.140625" defaultRowHeight="12.75" x14ac:dyDescent="0.2"/>
  <cols>
    <col min="1" max="1" width="13.42578125" customWidth="1"/>
    <col min="2" max="2" width="17.140625" customWidth="1"/>
    <col min="3" max="3" width="16.85546875" customWidth="1"/>
    <col min="4" max="4" width="18.7109375" customWidth="1"/>
    <col min="5" max="5" width="17.5703125" customWidth="1"/>
    <col min="6" max="6" width="8.7109375" customWidth="1"/>
    <col min="7" max="7" width="14.28515625" customWidth="1"/>
    <col min="8" max="8" width="13.140625" customWidth="1"/>
    <col min="9" max="9" width="12.28515625" style="43" customWidth="1"/>
    <col min="10" max="10" width="17.140625" style="43" customWidth="1"/>
    <col min="11" max="11" width="13" customWidth="1"/>
    <col min="12" max="12" width="17.5703125" customWidth="1"/>
    <col min="13" max="13" width="22.28515625" customWidth="1"/>
    <col min="14" max="14" width="23.85546875" customWidth="1"/>
    <col min="15" max="15" width="19.28515625" customWidth="1"/>
    <col min="16" max="16" width="56" customWidth="1"/>
    <col min="17" max="17" width="10.5703125" customWidth="1"/>
  </cols>
  <sheetData>
    <row r="1" spans="1:17" ht="30" x14ac:dyDescent="0.25">
      <c r="A1" s="90" t="s">
        <v>6279</v>
      </c>
      <c r="B1" s="91" t="s">
        <v>6280</v>
      </c>
      <c r="C1" s="91" t="s">
        <v>6281</v>
      </c>
      <c r="D1" s="91" t="s">
        <v>2816</v>
      </c>
      <c r="E1" s="91" t="s">
        <v>6282</v>
      </c>
      <c r="F1" s="91" t="s">
        <v>6283</v>
      </c>
      <c r="G1" s="92" t="s">
        <v>6284</v>
      </c>
      <c r="H1" s="91" t="s">
        <v>6285</v>
      </c>
      <c r="I1" s="93" t="s">
        <v>6286</v>
      </c>
      <c r="J1" s="93" t="s">
        <v>6287</v>
      </c>
      <c r="K1" s="91" t="s">
        <v>6288</v>
      </c>
      <c r="L1" s="91" t="s">
        <v>6289</v>
      </c>
      <c r="M1" s="91" t="s">
        <v>6290</v>
      </c>
      <c r="N1" s="91" t="s">
        <v>6291</v>
      </c>
      <c r="O1" s="91" t="s">
        <v>6292</v>
      </c>
      <c r="P1" s="94" t="s">
        <v>2817</v>
      </c>
      <c r="Q1" s="93" t="s">
        <v>6293</v>
      </c>
    </row>
    <row r="2" spans="1:17" x14ac:dyDescent="0.2">
      <c r="A2" s="40"/>
      <c r="B2" s="39"/>
      <c r="C2" s="39"/>
      <c r="D2" s="39"/>
      <c r="E2" s="39"/>
      <c r="F2" s="39"/>
      <c r="G2" s="39"/>
      <c r="H2" s="103"/>
      <c r="I2" s="44"/>
      <c r="J2" s="44"/>
      <c r="K2" s="39"/>
      <c r="L2" s="40"/>
      <c r="M2" s="40"/>
      <c r="N2" s="40"/>
      <c r="O2" s="41"/>
      <c r="P2" s="88"/>
      <c r="Q2" s="123"/>
    </row>
    <row r="3" spans="1:17" x14ac:dyDescent="0.2">
      <c r="A3" s="15" t="s">
        <v>6238</v>
      </c>
      <c r="B3" s="14">
        <f t="shared" ref="B3:B304" si="0">Input_ProjectNumber</f>
        <v>0</v>
      </c>
      <c r="C3" s="14">
        <f>'Input Prescr. Lighting Measures'!B5</f>
        <v>1</v>
      </c>
      <c r="D3" s="14" t="str">
        <f>'Input Prescr. Lighting Measures'!C5</f>
        <v/>
      </c>
      <c r="E3" s="14" t="str">
        <f>'Input Prescr. Lighting Measures'!G5</f>
        <v/>
      </c>
      <c r="F3" s="14" t="str">
        <f>IF(ISNUMBER($D3)=TRUE,'Input Prescr. Lighting Measures'!AX5,"")</f>
        <v/>
      </c>
      <c r="G3" s="14" t="str">
        <f>IF(ISNUMBER($D3)=TRUE,'Input Prescr. Lighting Measures'!V5,"")</f>
        <v/>
      </c>
      <c r="H3" s="104" t="str">
        <f>IF(ISNUMBER($D3)=TRUE,'Input Prescr. Lighting Measures'!W5,"")</f>
        <v/>
      </c>
      <c r="I3" s="45" t="str">
        <f>IFERROR(Q3*MIN(Table_Measure_Caps[[#Totals],[Estimated Raw Incentive Total]], Table_Measure_Caps[[#Totals],[Gross Measure Cost Total]], Value_Project_CAP)/Table_Measure_Caps[[#Totals],[Estimated Raw Incentive Total]], "")</f>
        <v/>
      </c>
      <c r="J3" s="45">
        <f>'Input Prescr. Lighting Measures'!R5*'Input Prescr. Lighting Measures'!M5</f>
        <v>0</v>
      </c>
      <c r="K3" s="14">
        <f>'Input Prescr. Lighting Measures'!S5</f>
        <v>0</v>
      </c>
      <c r="L3" s="15" t="e">
        <f>'Input Prescr. Lighting Measures'!AG5</f>
        <v>#N/A</v>
      </c>
      <c r="M3" s="15" t="str">
        <f>IF(ISNUMBER($D3)=TRUE,'Input Prescr. Lighting Measures'!K5,"")</f>
        <v/>
      </c>
      <c r="N3" s="15" t="str">
        <f>IF(ISNUMBER($D3)=TRUE,'Input Prescr. Lighting Measures'!N5,"")</f>
        <v/>
      </c>
      <c r="O3" s="31" t="str">
        <f t="shared" ref="O3:O65" si="1">Value_Application_Version</f>
        <v>Version 4.1 - 2026</v>
      </c>
      <c r="P3" s="89" t="str">
        <f>IF(ISNUMBER($D3)=TRUE,'Input Prescr. Lighting Measures'!F5,"")</f>
        <v/>
      </c>
      <c r="Q3" s="42" t="str">
        <f>'Input Prescr. Lighting Measures'!U5</f>
        <v/>
      </c>
    </row>
    <row r="4" spans="1:17" x14ac:dyDescent="0.2">
      <c r="A4" s="15" t="s">
        <v>6238</v>
      </c>
      <c r="B4" s="14">
        <f t="shared" si="0"/>
        <v>0</v>
      </c>
      <c r="C4" s="14">
        <f>'Input Prescr. Lighting Measures'!B6</f>
        <v>2</v>
      </c>
      <c r="D4" s="14" t="str">
        <f>'Input Prescr. Lighting Measures'!C6</f>
        <v/>
      </c>
      <c r="E4" s="14" t="str">
        <f>'Input Prescr. Lighting Measures'!G6</f>
        <v/>
      </c>
      <c r="F4" s="14" t="str">
        <f>IF(ISNUMBER($D4)=TRUE,'Input Prescr. Lighting Measures'!AX6,"")</f>
        <v/>
      </c>
      <c r="G4" s="14" t="str">
        <f>IF(ISNUMBER($D4)=TRUE,'Input Prescr. Lighting Measures'!V6,"")</f>
        <v/>
      </c>
      <c r="H4" s="104" t="str">
        <f>IF(ISNUMBER($D4)=TRUE,'Input Prescr. Lighting Measures'!W6,"")</f>
        <v/>
      </c>
      <c r="I4" s="45" t="str">
        <f>IFERROR(Q4*MIN(Table_Measure_Caps[[#Totals],[Estimated Raw Incentive Total]], Table_Measure_Caps[[#Totals],[Gross Measure Cost Total]], Value_Project_CAP)/Table_Measure_Caps[[#Totals],[Estimated Raw Incentive Total]], "")</f>
        <v/>
      </c>
      <c r="J4" s="45">
        <f>'Input Prescr. Lighting Measures'!R6*'Input Prescr. Lighting Measures'!M6</f>
        <v>0</v>
      </c>
      <c r="K4" s="14">
        <f>'Input Prescr. Lighting Measures'!S6</f>
        <v>0</v>
      </c>
      <c r="L4" s="15" t="e">
        <f>'Input Prescr. Lighting Measures'!AG6</f>
        <v>#N/A</v>
      </c>
      <c r="M4" s="15" t="str">
        <f>IF(ISNUMBER($D4)=TRUE,'Input Prescr. Lighting Measures'!K6,"")</f>
        <v/>
      </c>
      <c r="N4" s="15" t="str">
        <f>IF(ISNUMBER($D4)=TRUE,'Input Prescr. Lighting Measures'!N6,"")</f>
        <v/>
      </c>
      <c r="O4" s="31" t="str">
        <f t="shared" si="1"/>
        <v>Version 4.1 - 2026</v>
      </c>
      <c r="P4" s="89" t="str">
        <f>IF(ISNUMBER($D4)=TRUE,'Input Prescr. Lighting Measures'!F6,"")</f>
        <v/>
      </c>
      <c r="Q4" s="42" t="str">
        <f>'Input Prescr. Lighting Measures'!U6</f>
        <v/>
      </c>
    </row>
    <row r="5" spans="1:17" x14ac:dyDescent="0.2">
      <c r="A5" s="15" t="s">
        <v>6238</v>
      </c>
      <c r="B5" s="14">
        <f t="shared" si="0"/>
        <v>0</v>
      </c>
      <c r="C5" s="14">
        <f>'Input Prescr. Lighting Measures'!B7</f>
        <v>3</v>
      </c>
      <c r="D5" s="14" t="str">
        <f>'Input Prescr. Lighting Measures'!C7</f>
        <v/>
      </c>
      <c r="E5" s="14" t="str">
        <f>'Input Prescr. Lighting Measures'!G7</f>
        <v/>
      </c>
      <c r="F5" s="14" t="str">
        <f>IF(ISNUMBER($D5)=TRUE,'Input Prescr. Lighting Measures'!AX7,"")</f>
        <v/>
      </c>
      <c r="G5" s="14" t="str">
        <f>IF(ISNUMBER($D5)=TRUE,'Input Prescr. Lighting Measures'!V7,"")</f>
        <v/>
      </c>
      <c r="H5" s="104" t="str">
        <f>IF(ISNUMBER($D5)=TRUE,'Input Prescr. Lighting Measures'!W7,"")</f>
        <v/>
      </c>
      <c r="I5" s="45" t="str">
        <f>IFERROR(Q5*MIN(Table_Measure_Caps[[#Totals],[Estimated Raw Incentive Total]], Table_Measure_Caps[[#Totals],[Gross Measure Cost Total]], Value_Project_CAP)/Table_Measure_Caps[[#Totals],[Estimated Raw Incentive Total]], "")</f>
        <v/>
      </c>
      <c r="J5" s="45">
        <f>'Input Prescr. Lighting Measures'!R7*'Input Prescr. Lighting Measures'!M7</f>
        <v>0</v>
      </c>
      <c r="K5" s="14">
        <f>'Input Prescr. Lighting Measures'!S7</f>
        <v>0</v>
      </c>
      <c r="L5" s="15" t="e">
        <f>'Input Prescr. Lighting Measures'!AG7</f>
        <v>#N/A</v>
      </c>
      <c r="M5" s="15" t="str">
        <f>IF(ISNUMBER($D5)=TRUE,'Input Prescr. Lighting Measures'!K7,"")</f>
        <v/>
      </c>
      <c r="N5" s="15" t="str">
        <f>IF(ISNUMBER($D5)=TRUE,'Input Prescr. Lighting Measures'!N7,"")</f>
        <v/>
      </c>
      <c r="O5" s="31" t="str">
        <f t="shared" si="1"/>
        <v>Version 4.1 - 2026</v>
      </c>
      <c r="P5" s="89" t="str">
        <f>IF(ISNUMBER($D5)=TRUE,'Input Prescr. Lighting Measures'!F7,"")</f>
        <v/>
      </c>
      <c r="Q5" s="42" t="str">
        <f>'Input Prescr. Lighting Measures'!U7</f>
        <v/>
      </c>
    </row>
    <row r="6" spans="1:17" x14ac:dyDescent="0.2">
      <c r="A6" s="15" t="s">
        <v>6238</v>
      </c>
      <c r="B6" s="14">
        <f t="shared" si="0"/>
        <v>0</v>
      </c>
      <c r="C6" s="14">
        <f>'Input Prescr. Lighting Measures'!B8</f>
        <v>4</v>
      </c>
      <c r="D6" s="14" t="str">
        <f>'Input Prescr. Lighting Measures'!C8</f>
        <v/>
      </c>
      <c r="E6" s="14" t="str">
        <f>'Input Prescr. Lighting Measures'!G8</f>
        <v/>
      </c>
      <c r="F6" s="14" t="str">
        <f>IF(ISNUMBER($D6)=TRUE,'Input Prescr. Lighting Measures'!AX8,"")</f>
        <v/>
      </c>
      <c r="G6" s="14" t="str">
        <f>IF(ISNUMBER($D6)=TRUE,'Input Prescr. Lighting Measures'!V8,"")</f>
        <v/>
      </c>
      <c r="H6" s="104" t="str">
        <f>IF(ISNUMBER($D6)=TRUE,'Input Prescr. Lighting Measures'!W8,"")</f>
        <v/>
      </c>
      <c r="I6" s="45" t="str">
        <f>IFERROR(Q6*MIN(Table_Measure_Caps[[#Totals],[Estimated Raw Incentive Total]], Table_Measure_Caps[[#Totals],[Gross Measure Cost Total]], Value_Project_CAP)/Table_Measure_Caps[[#Totals],[Estimated Raw Incentive Total]], "")</f>
        <v/>
      </c>
      <c r="J6" s="45">
        <f>'Input Prescr. Lighting Measures'!R8*'Input Prescr. Lighting Measures'!M8</f>
        <v>0</v>
      </c>
      <c r="K6" s="14">
        <f>'Input Prescr. Lighting Measures'!S8</f>
        <v>0</v>
      </c>
      <c r="L6" s="15" t="e">
        <f>'Input Prescr. Lighting Measures'!AG8</f>
        <v>#N/A</v>
      </c>
      <c r="M6" s="15" t="str">
        <f>IF(ISNUMBER($D6)=TRUE,'Input Prescr. Lighting Measures'!K8,"")</f>
        <v/>
      </c>
      <c r="N6" s="15" t="str">
        <f>IF(ISNUMBER($D6)=TRUE,'Input Prescr. Lighting Measures'!N8,"")</f>
        <v/>
      </c>
      <c r="O6" s="31" t="str">
        <f t="shared" si="1"/>
        <v>Version 4.1 - 2026</v>
      </c>
      <c r="P6" s="89" t="str">
        <f>IF(ISNUMBER($D6)=TRUE,'Input Prescr. Lighting Measures'!F8,"")</f>
        <v/>
      </c>
      <c r="Q6" s="42" t="str">
        <f>'Input Prescr. Lighting Measures'!U8</f>
        <v/>
      </c>
    </row>
    <row r="7" spans="1:17" x14ac:dyDescent="0.2">
      <c r="A7" s="15" t="s">
        <v>6238</v>
      </c>
      <c r="B7" s="14">
        <f t="shared" si="0"/>
        <v>0</v>
      </c>
      <c r="C7" s="14">
        <f>'Input Prescr. Lighting Measures'!B9</f>
        <v>5</v>
      </c>
      <c r="D7" s="14" t="str">
        <f>'Input Prescr. Lighting Measures'!C9</f>
        <v/>
      </c>
      <c r="E7" s="14" t="str">
        <f>'Input Prescr. Lighting Measures'!G9</f>
        <v/>
      </c>
      <c r="F7" s="14" t="str">
        <f>IF(ISNUMBER($D7)=TRUE,'Input Prescr. Lighting Measures'!AX9,"")</f>
        <v/>
      </c>
      <c r="G7" s="14" t="str">
        <f>IF(ISNUMBER($D7)=TRUE,'Input Prescr. Lighting Measures'!V9,"")</f>
        <v/>
      </c>
      <c r="H7" s="104" t="str">
        <f>IF(ISNUMBER($D7)=TRUE,'Input Prescr. Lighting Measures'!W9,"")</f>
        <v/>
      </c>
      <c r="I7" s="45" t="str">
        <f>IFERROR(Q7*MIN(Table_Measure_Caps[[#Totals],[Estimated Raw Incentive Total]], Table_Measure_Caps[[#Totals],[Gross Measure Cost Total]], Value_Project_CAP)/Table_Measure_Caps[[#Totals],[Estimated Raw Incentive Total]], "")</f>
        <v/>
      </c>
      <c r="J7" s="45">
        <f>'Input Prescr. Lighting Measures'!R9*'Input Prescr. Lighting Measures'!M9</f>
        <v>0</v>
      </c>
      <c r="K7" s="14">
        <f>'Input Prescr. Lighting Measures'!S9</f>
        <v>0</v>
      </c>
      <c r="L7" s="15" t="e">
        <f>'Input Prescr. Lighting Measures'!AG9</f>
        <v>#N/A</v>
      </c>
      <c r="M7" s="15" t="str">
        <f>IF(ISNUMBER($D7)=TRUE,'Input Prescr. Lighting Measures'!K9,"")</f>
        <v/>
      </c>
      <c r="N7" s="15" t="str">
        <f>IF(ISNUMBER($D7)=TRUE,'Input Prescr. Lighting Measures'!N9,"")</f>
        <v/>
      </c>
      <c r="O7" s="31" t="str">
        <f t="shared" si="1"/>
        <v>Version 4.1 - 2026</v>
      </c>
      <c r="P7" s="89" t="str">
        <f>IF(ISNUMBER($D7)=TRUE,'Input Prescr. Lighting Measures'!F9,"")</f>
        <v/>
      </c>
      <c r="Q7" s="42" t="str">
        <f>'Input Prescr. Lighting Measures'!U9</f>
        <v/>
      </c>
    </row>
    <row r="8" spans="1:17" x14ac:dyDescent="0.2">
      <c r="A8" s="15" t="s">
        <v>6238</v>
      </c>
      <c r="B8" s="14">
        <f t="shared" si="0"/>
        <v>0</v>
      </c>
      <c r="C8" s="14">
        <f>'Input Prescr. Lighting Measures'!B10</f>
        <v>6</v>
      </c>
      <c r="D8" s="14" t="str">
        <f>'Input Prescr. Lighting Measures'!C10</f>
        <v/>
      </c>
      <c r="E8" s="14" t="str">
        <f>'Input Prescr. Lighting Measures'!G10</f>
        <v/>
      </c>
      <c r="F8" s="14" t="str">
        <f>IF(ISNUMBER($D8)=TRUE,'Input Prescr. Lighting Measures'!AX10,"")</f>
        <v/>
      </c>
      <c r="G8" s="14" t="str">
        <f>IF(ISNUMBER($D8)=TRUE,'Input Prescr. Lighting Measures'!V10,"")</f>
        <v/>
      </c>
      <c r="H8" s="104" t="str">
        <f>IF(ISNUMBER($D8)=TRUE,'Input Prescr. Lighting Measures'!W10,"")</f>
        <v/>
      </c>
      <c r="I8" s="45" t="str">
        <f>IFERROR(Q8*MIN(Table_Measure_Caps[[#Totals],[Estimated Raw Incentive Total]], Table_Measure_Caps[[#Totals],[Gross Measure Cost Total]], Value_Project_CAP)/Table_Measure_Caps[[#Totals],[Estimated Raw Incentive Total]], "")</f>
        <v/>
      </c>
      <c r="J8" s="45">
        <f>'Input Prescr. Lighting Measures'!R10*'Input Prescr. Lighting Measures'!M10</f>
        <v>0</v>
      </c>
      <c r="K8" s="14">
        <f>'Input Prescr. Lighting Measures'!S10</f>
        <v>0</v>
      </c>
      <c r="L8" s="15" t="e">
        <f>'Input Prescr. Lighting Measures'!AG10</f>
        <v>#N/A</v>
      </c>
      <c r="M8" s="15" t="str">
        <f>IF(ISNUMBER($D8)=TRUE,'Input Prescr. Lighting Measures'!K10,"")</f>
        <v/>
      </c>
      <c r="N8" s="15" t="str">
        <f>IF(ISNUMBER($D8)=TRUE,'Input Prescr. Lighting Measures'!N10,"")</f>
        <v/>
      </c>
      <c r="O8" s="31" t="str">
        <f t="shared" si="1"/>
        <v>Version 4.1 - 2026</v>
      </c>
      <c r="P8" s="89" t="str">
        <f>IF(ISNUMBER($D8)=TRUE,'Input Prescr. Lighting Measures'!F10,"")</f>
        <v/>
      </c>
      <c r="Q8" s="42" t="str">
        <f>'Input Prescr. Lighting Measures'!U10</f>
        <v/>
      </c>
    </row>
    <row r="9" spans="1:17" x14ac:dyDescent="0.2">
      <c r="A9" s="15" t="s">
        <v>6238</v>
      </c>
      <c r="B9" s="14">
        <f t="shared" si="0"/>
        <v>0</v>
      </c>
      <c r="C9" s="14">
        <f>'Input Prescr. Lighting Measures'!B11</f>
        <v>7</v>
      </c>
      <c r="D9" s="14" t="str">
        <f>'Input Prescr. Lighting Measures'!C11</f>
        <v/>
      </c>
      <c r="E9" s="14" t="str">
        <f>'Input Prescr. Lighting Measures'!G11</f>
        <v/>
      </c>
      <c r="F9" s="14" t="str">
        <f>IF(ISNUMBER($D9)=TRUE,'Input Prescr. Lighting Measures'!AX11,"")</f>
        <v/>
      </c>
      <c r="G9" s="14" t="str">
        <f>IF(ISNUMBER($D9)=TRUE,'Input Prescr. Lighting Measures'!V11,"")</f>
        <v/>
      </c>
      <c r="H9" s="104" t="str">
        <f>IF(ISNUMBER($D9)=TRUE,'Input Prescr. Lighting Measures'!W11,"")</f>
        <v/>
      </c>
      <c r="I9" s="45" t="str">
        <f>IFERROR(Q9*MIN(Table_Measure_Caps[[#Totals],[Estimated Raw Incentive Total]], Table_Measure_Caps[[#Totals],[Gross Measure Cost Total]], Value_Project_CAP)/Table_Measure_Caps[[#Totals],[Estimated Raw Incentive Total]], "")</f>
        <v/>
      </c>
      <c r="J9" s="45">
        <f>'Input Prescr. Lighting Measures'!R11*'Input Prescr. Lighting Measures'!M11</f>
        <v>0</v>
      </c>
      <c r="K9" s="14">
        <f>'Input Prescr. Lighting Measures'!S11</f>
        <v>0</v>
      </c>
      <c r="L9" s="15" t="e">
        <f>'Input Prescr. Lighting Measures'!AG11</f>
        <v>#N/A</v>
      </c>
      <c r="M9" s="15" t="str">
        <f>IF(ISNUMBER($D9)=TRUE,'Input Prescr. Lighting Measures'!K11,"")</f>
        <v/>
      </c>
      <c r="N9" s="15" t="str">
        <f>IF(ISNUMBER($D9)=TRUE,'Input Prescr. Lighting Measures'!N11,"")</f>
        <v/>
      </c>
      <c r="O9" s="31" t="str">
        <f t="shared" si="1"/>
        <v>Version 4.1 - 2026</v>
      </c>
      <c r="P9" s="89" t="str">
        <f>IF(ISNUMBER($D9)=TRUE,'Input Prescr. Lighting Measures'!F11,"")</f>
        <v/>
      </c>
      <c r="Q9" s="42" t="str">
        <f>'Input Prescr. Lighting Measures'!U11</f>
        <v/>
      </c>
    </row>
    <row r="10" spans="1:17" x14ac:dyDescent="0.2">
      <c r="A10" s="15" t="s">
        <v>6238</v>
      </c>
      <c r="B10" s="14">
        <f t="shared" si="0"/>
        <v>0</v>
      </c>
      <c r="C10" s="14">
        <f>'Input Prescr. Lighting Measures'!B12</f>
        <v>8</v>
      </c>
      <c r="D10" s="14" t="str">
        <f>'Input Prescr. Lighting Measures'!C12</f>
        <v/>
      </c>
      <c r="E10" s="14" t="str">
        <f>'Input Prescr. Lighting Measures'!G12</f>
        <v/>
      </c>
      <c r="F10" s="14" t="str">
        <f>IF(ISNUMBER($D10)=TRUE,'Input Prescr. Lighting Measures'!AX12,"")</f>
        <v/>
      </c>
      <c r="G10" s="14" t="str">
        <f>IF(ISNUMBER($D10)=TRUE,'Input Prescr. Lighting Measures'!V12,"")</f>
        <v/>
      </c>
      <c r="H10" s="104" t="str">
        <f>IF(ISNUMBER($D10)=TRUE,'Input Prescr. Lighting Measures'!W12,"")</f>
        <v/>
      </c>
      <c r="I10" s="45" t="str">
        <f>IFERROR(Q10*MIN(Table_Measure_Caps[[#Totals],[Estimated Raw Incentive Total]], Table_Measure_Caps[[#Totals],[Gross Measure Cost Total]], Value_Project_CAP)/Table_Measure_Caps[[#Totals],[Estimated Raw Incentive Total]], "")</f>
        <v/>
      </c>
      <c r="J10" s="45">
        <f>'Input Prescr. Lighting Measures'!R12*'Input Prescr. Lighting Measures'!M12</f>
        <v>0</v>
      </c>
      <c r="K10" s="14">
        <f>'Input Prescr. Lighting Measures'!S12</f>
        <v>0</v>
      </c>
      <c r="L10" s="15" t="e">
        <f>'Input Prescr. Lighting Measures'!AG12</f>
        <v>#N/A</v>
      </c>
      <c r="M10" s="15" t="str">
        <f>IF(ISNUMBER($D10)=TRUE,'Input Prescr. Lighting Measures'!K12,"")</f>
        <v/>
      </c>
      <c r="N10" s="15" t="str">
        <f>IF(ISNUMBER($D10)=TRUE,'Input Prescr. Lighting Measures'!N12,"")</f>
        <v/>
      </c>
      <c r="O10" s="31" t="str">
        <f t="shared" si="1"/>
        <v>Version 4.1 - 2026</v>
      </c>
      <c r="P10" s="89" t="str">
        <f>IF(ISNUMBER($D10)=TRUE,'Input Prescr. Lighting Measures'!F12,"")</f>
        <v/>
      </c>
      <c r="Q10" s="42" t="str">
        <f>'Input Prescr. Lighting Measures'!U12</f>
        <v/>
      </c>
    </row>
    <row r="11" spans="1:17" x14ac:dyDescent="0.2">
      <c r="A11" s="15" t="s">
        <v>6238</v>
      </c>
      <c r="B11" s="14">
        <f t="shared" si="0"/>
        <v>0</v>
      </c>
      <c r="C11" s="14">
        <f>'Input Prescr. Lighting Measures'!B13</f>
        <v>9</v>
      </c>
      <c r="D11" s="14" t="str">
        <f>'Input Prescr. Lighting Measures'!C13</f>
        <v/>
      </c>
      <c r="E11" s="14" t="str">
        <f>'Input Prescr. Lighting Measures'!G13</f>
        <v/>
      </c>
      <c r="F11" s="14" t="str">
        <f>IF(ISNUMBER($D11)=TRUE,'Input Prescr. Lighting Measures'!AX13,"")</f>
        <v/>
      </c>
      <c r="G11" s="14" t="str">
        <f>IF(ISNUMBER($D11)=TRUE,'Input Prescr. Lighting Measures'!V13,"")</f>
        <v/>
      </c>
      <c r="H11" s="104" t="str">
        <f>IF(ISNUMBER($D11)=TRUE,'Input Prescr. Lighting Measures'!W13,"")</f>
        <v/>
      </c>
      <c r="I11" s="45" t="str">
        <f>IFERROR(Q11*MIN(Table_Measure_Caps[[#Totals],[Estimated Raw Incentive Total]], Table_Measure_Caps[[#Totals],[Gross Measure Cost Total]], Value_Project_CAP)/Table_Measure_Caps[[#Totals],[Estimated Raw Incentive Total]], "")</f>
        <v/>
      </c>
      <c r="J11" s="45">
        <f>'Input Prescr. Lighting Measures'!R13*'Input Prescr. Lighting Measures'!M13</f>
        <v>0</v>
      </c>
      <c r="K11" s="14">
        <f>'Input Prescr. Lighting Measures'!S13</f>
        <v>0</v>
      </c>
      <c r="L11" s="15" t="e">
        <f>'Input Prescr. Lighting Measures'!AG13</f>
        <v>#N/A</v>
      </c>
      <c r="M11" s="15" t="str">
        <f>IF(ISNUMBER($D11)=TRUE,'Input Prescr. Lighting Measures'!K13,"")</f>
        <v/>
      </c>
      <c r="N11" s="15" t="str">
        <f>IF(ISNUMBER($D11)=TRUE,'Input Prescr. Lighting Measures'!N13,"")</f>
        <v/>
      </c>
      <c r="O11" s="31" t="str">
        <f t="shared" si="1"/>
        <v>Version 4.1 - 2026</v>
      </c>
      <c r="P11" s="89" t="str">
        <f>IF(ISNUMBER($D11)=TRUE,'Input Prescr. Lighting Measures'!F13,"")</f>
        <v/>
      </c>
      <c r="Q11" s="42" t="str">
        <f>'Input Prescr. Lighting Measures'!U13</f>
        <v/>
      </c>
    </row>
    <row r="12" spans="1:17" x14ac:dyDescent="0.2">
      <c r="A12" s="15" t="s">
        <v>6238</v>
      </c>
      <c r="B12" s="14">
        <f t="shared" si="0"/>
        <v>0</v>
      </c>
      <c r="C12" s="14">
        <f>'Input Prescr. Lighting Measures'!B14</f>
        <v>10</v>
      </c>
      <c r="D12" s="14" t="str">
        <f>'Input Prescr. Lighting Measures'!C14</f>
        <v/>
      </c>
      <c r="E12" s="14" t="str">
        <f>'Input Prescr. Lighting Measures'!G14</f>
        <v/>
      </c>
      <c r="F12" s="14" t="str">
        <f>IF(ISNUMBER($D12)=TRUE,'Input Prescr. Lighting Measures'!AX14,"")</f>
        <v/>
      </c>
      <c r="G12" s="14" t="str">
        <f>IF(ISNUMBER($D12)=TRUE,'Input Prescr. Lighting Measures'!V14,"")</f>
        <v/>
      </c>
      <c r="H12" s="104" t="str">
        <f>IF(ISNUMBER($D12)=TRUE,'Input Prescr. Lighting Measures'!W14,"")</f>
        <v/>
      </c>
      <c r="I12" s="45" t="str">
        <f>IFERROR(Q12*MIN(Table_Measure_Caps[[#Totals],[Estimated Raw Incentive Total]], Table_Measure_Caps[[#Totals],[Gross Measure Cost Total]], Value_Project_CAP)/Table_Measure_Caps[[#Totals],[Estimated Raw Incentive Total]], "")</f>
        <v/>
      </c>
      <c r="J12" s="45">
        <f>'Input Prescr. Lighting Measures'!R14*'Input Prescr. Lighting Measures'!M14</f>
        <v>0</v>
      </c>
      <c r="K12" s="14">
        <f>'Input Prescr. Lighting Measures'!S14</f>
        <v>0</v>
      </c>
      <c r="L12" s="15" t="e">
        <f>'Input Prescr. Lighting Measures'!AG14</f>
        <v>#N/A</v>
      </c>
      <c r="M12" s="15" t="str">
        <f>IF(ISNUMBER($D12)=TRUE,'Input Prescr. Lighting Measures'!K14,"")</f>
        <v/>
      </c>
      <c r="N12" s="15" t="str">
        <f>IF(ISNUMBER($D12)=TRUE,'Input Prescr. Lighting Measures'!N14,"")</f>
        <v/>
      </c>
      <c r="O12" s="31" t="str">
        <f t="shared" si="1"/>
        <v>Version 4.1 - 2026</v>
      </c>
      <c r="P12" s="89" t="str">
        <f>IF(ISNUMBER($D12)=TRUE,'Input Prescr. Lighting Measures'!F14,"")</f>
        <v/>
      </c>
      <c r="Q12" s="42" t="str">
        <f>'Input Prescr. Lighting Measures'!U14</f>
        <v/>
      </c>
    </row>
    <row r="13" spans="1:17" x14ac:dyDescent="0.2">
      <c r="A13" s="15" t="s">
        <v>6238</v>
      </c>
      <c r="B13" s="14">
        <f t="shared" si="0"/>
        <v>0</v>
      </c>
      <c r="C13" s="14">
        <f>'Input Prescr. Lighting Measures'!B15</f>
        <v>11</v>
      </c>
      <c r="D13" s="14" t="str">
        <f>'Input Prescr. Lighting Measures'!C15</f>
        <v/>
      </c>
      <c r="E13" s="14" t="str">
        <f>'Input Prescr. Lighting Measures'!G15</f>
        <v/>
      </c>
      <c r="F13" s="14" t="str">
        <f>IF(ISNUMBER($D13)=TRUE,'Input Prescr. Lighting Measures'!AX15,"")</f>
        <v/>
      </c>
      <c r="G13" s="14" t="str">
        <f>IF(ISNUMBER($D13)=TRUE,'Input Prescr. Lighting Measures'!V15,"")</f>
        <v/>
      </c>
      <c r="H13" s="104" t="str">
        <f>IF(ISNUMBER($D13)=TRUE,'Input Prescr. Lighting Measures'!W15,"")</f>
        <v/>
      </c>
      <c r="I13" s="45" t="str">
        <f>IFERROR(Q13*MIN(Table_Measure_Caps[[#Totals],[Estimated Raw Incentive Total]], Table_Measure_Caps[[#Totals],[Gross Measure Cost Total]], Value_Project_CAP)/Table_Measure_Caps[[#Totals],[Estimated Raw Incentive Total]], "")</f>
        <v/>
      </c>
      <c r="J13" s="45">
        <f>'Input Prescr. Lighting Measures'!R15*'Input Prescr. Lighting Measures'!M15</f>
        <v>0</v>
      </c>
      <c r="K13" s="14">
        <f>'Input Prescr. Lighting Measures'!S15</f>
        <v>0</v>
      </c>
      <c r="L13" s="15" t="e">
        <f>'Input Prescr. Lighting Measures'!AG15</f>
        <v>#N/A</v>
      </c>
      <c r="M13" s="15" t="str">
        <f>IF(ISNUMBER($D13)=TRUE,'Input Prescr. Lighting Measures'!K15,"")</f>
        <v/>
      </c>
      <c r="N13" s="15" t="str">
        <f>IF(ISNUMBER($D13)=TRUE,'Input Prescr. Lighting Measures'!N15,"")</f>
        <v/>
      </c>
      <c r="O13" s="31" t="str">
        <f t="shared" si="1"/>
        <v>Version 4.1 - 2026</v>
      </c>
      <c r="P13" s="89" t="str">
        <f>IF(ISNUMBER($D13)=TRUE,'Input Prescr. Lighting Measures'!F15,"")</f>
        <v/>
      </c>
      <c r="Q13" s="42" t="str">
        <f>'Input Prescr. Lighting Measures'!U15</f>
        <v/>
      </c>
    </row>
    <row r="14" spans="1:17" x14ac:dyDescent="0.2">
      <c r="A14" s="15" t="s">
        <v>6238</v>
      </c>
      <c r="B14" s="14">
        <f t="shared" si="0"/>
        <v>0</v>
      </c>
      <c r="C14" s="14">
        <f>'Input Prescr. Lighting Measures'!B16</f>
        <v>12</v>
      </c>
      <c r="D14" s="14" t="str">
        <f>'Input Prescr. Lighting Measures'!C16</f>
        <v/>
      </c>
      <c r="E14" s="14" t="str">
        <f>'Input Prescr. Lighting Measures'!G16</f>
        <v/>
      </c>
      <c r="F14" s="14" t="str">
        <f>IF(ISNUMBER($D14)=TRUE,'Input Prescr. Lighting Measures'!AX16,"")</f>
        <v/>
      </c>
      <c r="G14" s="14" t="str">
        <f>IF(ISNUMBER($D14)=TRUE,'Input Prescr. Lighting Measures'!V16,"")</f>
        <v/>
      </c>
      <c r="H14" s="104" t="str">
        <f>IF(ISNUMBER($D14)=TRUE,'Input Prescr. Lighting Measures'!W16,"")</f>
        <v/>
      </c>
      <c r="I14" s="45" t="str">
        <f>IFERROR(Q14*MIN(Table_Measure_Caps[[#Totals],[Estimated Raw Incentive Total]], Table_Measure_Caps[[#Totals],[Gross Measure Cost Total]], Value_Project_CAP)/Table_Measure_Caps[[#Totals],[Estimated Raw Incentive Total]], "")</f>
        <v/>
      </c>
      <c r="J14" s="45">
        <f>'Input Prescr. Lighting Measures'!R16*'Input Prescr. Lighting Measures'!M16</f>
        <v>0</v>
      </c>
      <c r="K14" s="14">
        <f>'Input Prescr. Lighting Measures'!S16</f>
        <v>0</v>
      </c>
      <c r="L14" s="15" t="e">
        <f>'Input Prescr. Lighting Measures'!AG16</f>
        <v>#N/A</v>
      </c>
      <c r="M14" s="15" t="str">
        <f>IF(ISNUMBER($D14)=TRUE,'Input Prescr. Lighting Measures'!K16,"")</f>
        <v/>
      </c>
      <c r="N14" s="15" t="str">
        <f>IF(ISNUMBER($D14)=TRUE,'Input Prescr. Lighting Measures'!N16,"")</f>
        <v/>
      </c>
      <c r="O14" s="31" t="str">
        <f t="shared" si="1"/>
        <v>Version 4.1 - 2026</v>
      </c>
      <c r="P14" s="89" t="str">
        <f>IF(ISNUMBER($D14)=TRUE,'Input Prescr. Lighting Measures'!F16,"")</f>
        <v/>
      </c>
      <c r="Q14" s="42" t="str">
        <f>'Input Prescr. Lighting Measures'!U16</f>
        <v/>
      </c>
    </row>
    <row r="15" spans="1:17" x14ac:dyDescent="0.2">
      <c r="A15" s="15" t="s">
        <v>6238</v>
      </c>
      <c r="B15" s="14">
        <f t="shared" si="0"/>
        <v>0</v>
      </c>
      <c r="C15" s="14">
        <f>'Input Prescr. Lighting Measures'!B17</f>
        <v>13</v>
      </c>
      <c r="D15" s="14" t="str">
        <f>'Input Prescr. Lighting Measures'!C17</f>
        <v/>
      </c>
      <c r="E15" s="14" t="str">
        <f>'Input Prescr. Lighting Measures'!G17</f>
        <v/>
      </c>
      <c r="F15" s="14" t="str">
        <f>IF(ISNUMBER($D15)=TRUE,'Input Prescr. Lighting Measures'!AX17,"")</f>
        <v/>
      </c>
      <c r="G15" s="14" t="str">
        <f>IF(ISNUMBER($D15)=TRUE,'Input Prescr. Lighting Measures'!V17,"")</f>
        <v/>
      </c>
      <c r="H15" s="104" t="str">
        <f>IF(ISNUMBER($D15)=TRUE,'Input Prescr. Lighting Measures'!W17,"")</f>
        <v/>
      </c>
      <c r="I15" s="45" t="str">
        <f>IFERROR(Q15*MIN(Table_Measure_Caps[[#Totals],[Estimated Raw Incentive Total]], Table_Measure_Caps[[#Totals],[Gross Measure Cost Total]], Value_Project_CAP)/Table_Measure_Caps[[#Totals],[Estimated Raw Incentive Total]], "")</f>
        <v/>
      </c>
      <c r="J15" s="45">
        <f>'Input Prescr. Lighting Measures'!R17*'Input Prescr. Lighting Measures'!M17</f>
        <v>0</v>
      </c>
      <c r="K15" s="14">
        <f>'Input Prescr. Lighting Measures'!S17</f>
        <v>0</v>
      </c>
      <c r="L15" s="15" t="e">
        <f>'Input Prescr. Lighting Measures'!AG17</f>
        <v>#N/A</v>
      </c>
      <c r="M15" s="15" t="str">
        <f>IF(ISNUMBER($D15)=TRUE,'Input Prescr. Lighting Measures'!K17,"")</f>
        <v/>
      </c>
      <c r="N15" s="15" t="str">
        <f>IF(ISNUMBER($D15)=TRUE,'Input Prescr. Lighting Measures'!N17,"")</f>
        <v/>
      </c>
      <c r="O15" s="31" t="str">
        <f t="shared" si="1"/>
        <v>Version 4.1 - 2026</v>
      </c>
      <c r="P15" s="89" t="str">
        <f>IF(ISNUMBER($D15)=TRUE,'Input Prescr. Lighting Measures'!F17,"")</f>
        <v/>
      </c>
      <c r="Q15" s="42" t="str">
        <f>'Input Prescr. Lighting Measures'!U17</f>
        <v/>
      </c>
    </row>
    <row r="16" spans="1:17" x14ac:dyDescent="0.2">
      <c r="A16" s="15" t="s">
        <v>6238</v>
      </c>
      <c r="B16" s="14">
        <f t="shared" si="0"/>
        <v>0</v>
      </c>
      <c r="C16" s="14">
        <f>'Input Prescr. Lighting Measures'!B18</f>
        <v>14</v>
      </c>
      <c r="D16" s="14" t="str">
        <f>'Input Prescr. Lighting Measures'!C18</f>
        <v/>
      </c>
      <c r="E16" s="14" t="str">
        <f>'Input Prescr. Lighting Measures'!G18</f>
        <v/>
      </c>
      <c r="F16" s="14" t="str">
        <f>IF(ISNUMBER($D16)=TRUE,'Input Prescr. Lighting Measures'!AX18,"")</f>
        <v/>
      </c>
      <c r="G16" s="14" t="str">
        <f>IF(ISNUMBER($D16)=TRUE,'Input Prescr. Lighting Measures'!V18,"")</f>
        <v/>
      </c>
      <c r="H16" s="104" t="str">
        <f>IF(ISNUMBER($D16)=TRUE,'Input Prescr. Lighting Measures'!W18,"")</f>
        <v/>
      </c>
      <c r="I16" s="45" t="str">
        <f>IFERROR(Q16*MIN(Table_Measure_Caps[[#Totals],[Estimated Raw Incentive Total]], Table_Measure_Caps[[#Totals],[Gross Measure Cost Total]], Value_Project_CAP)/Table_Measure_Caps[[#Totals],[Estimated Raw Incentive Total]], "")</f>
        <v/>
      </c>
      <c r="J16" s="45">
        <f>'Input Prescr. Lighting Measures'!R18*'Input Prescr. Lighting Measures'!M18</f>
        <v>0</v>
      </c>
      <c r="K16" s="14">
        <f>'Input Prescr. Lighting Measures'!S18</f>
        <v>0</v>
      </c>
      <c r="L16" s="15" t="e">
        <f>'Input Prescr. Lighting Measures'!AG18</f>
        <v>#N/A</v>
      </c>
      <c r="M16" s="15" t="str">
        <f>IF(ISNUMBER($D16)=TRUE,'Input Prescr. Lighting Measures'!K18,"")</f>
        <v/>
      </c>
      <c r="N16" s="15" t="str">
        <f>IF(ISNUMBER($D16)=TRUE,'Input Prescr. Lighting Measures'!N18,"")</f>
        <v/>
      </c>
      <c r="O16" s="31" t="str">
        <f t="shared" si="1"/>
        <v>Version 4.1 - 2026</v>
      </c>
      <c r="P16" s="89" t="str">
        <f>IF(ISNUMBER($D16)=TRUE,'Input Prescr. Lighting Measures'!F18,"")</f>
        <v/>
      </c>
      <c r="Q16" s="42" t="str">
        <f>'Input Prescr. Lighting Measures'!U18</f>
        <v/>
      </c>
    </row>
    <row r="17" spans="1:17" x14ac:dyDescent="0.2">
      <c r="A17" s="15" t="s">
        <v>6238</v>
      </c>
      <c r="B17" s="14">
        <f t="shared" si="0"/>
        <v>0</v>
      </c>
      <c r="C17" s="14">
        <f>'Input Prescr. Lighting Measures'!B19</f>
        <v>15</v>
      </c>
      <c r="D17" s="14" t="str">
        <f>'Input Prescr. Lighting Measures'!C19</f>
        <v/>
      </c>
      <c r="E17" s="14" t="str">
        <f>'Input Prescr. Lighting Measures'!G19</f>
        <v/>
      </c>
      <c r="F17" s="14" t="str">
        <f>IF(ISNUMBER($D17)=TRUE,'Input Prescr. Lighting Measures'!AX19,"")</f>
        <v/>
      </c>
      <c r="G17" s="14" t="str">
        <f>IF(ISNUMBER($D17)=TRUE,'Input Prescr. Lighting Measures'!V19,"")</f>
        <v/>
      </c>
      <c r="H17" s="104" t="str">
        <f>IF(ISNUMBER($D17)=TRUE,'Input Prescr. Lighting Measures'!W19,"")</f>
        <v/>
      </c>
      <c r="I17" s="45" t="str">
        <f>IFERROR(Q17*MIN(Table_Measure_Caps[[#Totals],[Estimated Raw Incentive Total]], Table_Measure_Caps[[#Totals],[Gross Measure Cost Total]], Value_Project_CAP)/Table_Measure_Caps[[#Totals],[Estimated Raw Incentive Total]], "")</f>
        <v/>
      </c>
      <c r="J17" s="45">
        <f>'Input Prescr. Lighting Measures'!R19*'Input Prescr. Lighting Measures'!M19</f>
        <v>0</v>
      </c>
      <c r="K17" s="14">
        <f>'Input Prescr. Lighting Measures'!S19</f>
        <v>0</v>
      </c>
      <c r="L17" s="15" t="e">
        <f>'Input Prescr. Lighting Measures'!AG19</f>
        <v>#N/A</v>
      </c>
      <c r="M17" s="15" t="str">
        <f>IF(ISNUMBER($D17)=TRUE,'Input Prescr. Lighting Measures'!K19,"")</f>
        <v/>
      </c>
      <c r="N17" s="15" t="str">
        <f>IF(ISNUMBER($D17)=TRUE,'Input Prescr. Lighting Measures'!N19,"")</f>
        <v/>
      </c>
      <c r="O17" s="31" t="str">
        <f t="shared" si="1"/>
        <v>Version 4.1 - 2026</v>
      </c>
      <c r="P17" s="89" t="str">
        <f>IF(ISNUMBER($D17)=TRUE,'Input Prescr. Lighting Measures'!F19,"")</f>
        <v/>
      </c>
      <c r="Q17" s="42" t="str">
        <f>'Input Prescr. Lighting Measures'!U19</f>
        <v/>
      </c>
    </row>
    <row r="18" spans="1:17" x14ac:dyDescent="0.2">
      <c r="A18" s="15" t="s">
        <v>6238</v>
      </c>
      <c r="B18" s="14">
        <f t="shared" si="0"/>
        <v>0</v>
      </c>
      <c r="C18" s="14">
        <f>'Input Prescr. Lighting Measures'!B20</f>
        <v>16</v>
      </c>
      <c r="D18" s="14" t="str">
        <f>'Input Prescr. Lighting Measures'!C20</f>
        <v/>
      </c>
      <c r="E18" s="14" t="str">
        <f>'Input Prescr. Lighting Measures'!G20</f>
        <v/>
      </c>
      <c r="F18" s="14" t="str">
        <f>IF(ISNUMBER($D18)=TRUE,'Input Prescr. Lighting Measures'!AX20,"")</f>
        <v/>
      </c>
      <c r="G18" s="14" t="str">
        <f>IF(ISNUMBER($D18)=TRUE,'Input Prescr. Lighting Measures'!V20,"")</f>
        <v/>
      </c>
      <c r="H18" s="104" t="str">
        <f>IF(ISNUMBER($D18)=TRUE,'Input Prescr. Lighting Measures'!W20,"")</f>
        <v/>
      </c>
      <c r="I18" s="45" t="str">
        <f>IFERROR(Q18*MIN(Table_Measure_Caps[[#Totals],[Estimated Raw Incentive Total]], Table_Measure_Caps[[#Totals],[Gross Measure Cost Total]], Value_Project_CAP)/Table_Measure_Caps[[#Totals],[Estimated Raw Incentive Total]], "")</f>
        <v/>
      </c>
      <c r="J18" s="45">
        <f>'Input Prescr. Lighting Measures'!R20*'Input Prescr. Lighting Measures'!M20</f>
        <v>0</v>
      </c>
      <c r="K18" s="14">
        <f>'Input Prescr. Lighting Measures'!S20</f>
        <v>0</v>
      </c>
      <c r="L18" s="15" t="e">
        <f>'Input Prescr. Lighting Measures'!AG20</f>
        <v>#N/A</v>
      </c>
      <c r="M18" s="15" t="str">
        <f>IF(ISNUMBER($D18)=TRUE,'Input Prescr. Lighting Measures'!K20,"")</f>
        <v/>
      </c>
      <c r="N18" s="15" t="str">
        <f>IF(ISNUMBER($D18)=TRUE,'Input Prescr. Lighting Measures'!N20,"")</f>
        <v/>
      </c>
      <c r="O18" s="31" t="str">
        <f t="shared" si="1"/>
        <v>Version 4.1 - 2026</v>
      </c>
      <c r="P18" s="89" t="str">
        <f>IF(ISNUMBER($D18)=TRUE,'Input Prescr. Lighting Measures'!F20,"")</f>
        <v/>
      </c>
      <c r="Q18" s="42" t="str">
        <f>'Input Prescr. Lighting Measures'!U20</f>
        <v/>
      </c>
    </row>
    <row r="19" spans="1:17" x14ac:dyDescent="0.2">
      <c r="A19" s="15" t="s">
        <v>6238</v>
      </c>
      <c r="B19" s="14">
        <f t="shared" si="0"/>
        <v>0</v>
      </c>
      <c r="C19" s="14">
        <f>'Input Prescr. Lighting Measures'!B21</f>
        <v>17</v>
      </c>
      <c r="D19" s="14" t="str">
        <f>'Input Prescr. Lighting Measures'!C21</f>
        <v/>
      </c>
      <c r="E19" s="14" t="str">
        <f>'Input Prescr. Lighting Measures'!G21</f>
        <v/>
      </c>
      <c r="F19" s="14" t="str">
        <f>IF(ISNUMBER($D19)=TRUE,'Input Prescr. Lighting Measures'!AX21,"")</f>
        <v/>
      </c>
      <c r="G19" s="14" t="str">
        <f>IF(ISNUMBER($D19)=TRUE,'Input Prescr. Lighting Measures'!V21,"")</f>
        <v/>
      </c>
      <c r="H19" s="104" t="str">
        <f>IF(ISNUMBER($D19)=TRUE,'Input Prescr. Lighting Measures'!W21,"")</f>
        <v/>
      </c>
      <c r="I19" s="45" t="str">
        <f>IFERROR(Q19*MIN(Table_Measure_Caps[[#Totals],[Estimated Raw Incentive Total]], Table_Measure_Caps[[#Totals],[Gross Measure Cost Total]], Value_Project_CAP)/Table_Measure_Caps[[#Totals],[Estimated Raw Incentive Total]], "")</f>
        <v/>
      </c>
      <c r="J19" s="45">
        <f>'Input Prescr. Lighting Measures'!R21*'Input Prescr. Lighting Measures'!M21</f>
        <v>0</v>
      </c>
      <c r="K19" s="14">
        <f>'Input Prescr. Lighting Measures'!S21</f>
        <v>0</v>
      </c>
      <c r="L19" s="15" t="e">
        <f>'Input Prescr. Lighting Measures'!AG21</f>
        <v>#N/A</v>
      </c>
      <c r="M19" s="15" t="str">
        <f>IF(ISNUMBER($D19)=TRUE,'Input Prescr. Lighting Measures'!K21,"")</f>
        <v/>
      </c>
      <c r="N19" s="15" t="str">
        <f>IF(ISNUMBER($D19)=TRUE,'Input Prescr. Lighting Measures'!N21,"")</f>
        <v/>
      </c>
      <c r="O19" s="31" t="str">
        <f t="shared" si="1"/>
        <v>Version 4.1 - 2026</v>
      </c>
      <c r="P19" s="89" t="str">
        <f>IF(ISNUMBER($D19)=TRUE,'Input Prescr. Lighting Measures'!F21,"")</f>
        <v/>
      </c>
      <c r="Q19" s="42" t="str">
        <f>'Input Prescr. Lighting Measures'!U21</f>
        <v/>
      </c>
    </row>
    <row r="20" spans="1:17" x14ac:dyDescent="0.2">
      <c r="A20" s="15" t="s">
        <v>6238</v>
      </c>
      <c r="B20" s="14">
        <f t="shared" si="0"/>
        <v>0</v>
      </c>
      <c r="C20" s="14">
        <f>'Input Prescr. Lighting Measures'!B22</f>
        <v>18</v>
      </c>
      <c r="D20" s="14" t="str">
        <f>'Input Prescr. Lighting Measures'!C22</f>
        <v/>
      </c>
      <c r="E20" s="14" t="str">
        <f>'Input Prescr. Lighting Measures'!G22</f>
        <v/>
      </c>
      <c r="F20" s="14" t="str">
        <f>IF(ISNUMBER($D20)=TRUE,'Input Prescr. Lighting Measures'!AX22,"")</f>
        <v/>
      </c>
      <c r="G20" s="14" t="str">
        <f>IF(ISNUMBER($D20)=TRUE,'Input Prescr. Lighting Measures'!V22,"")</f>
        <v/>
      </c>
      <c r="H20" s="104" t="str">
        <f>IF(ISNUMBER($D20)=TRUE,'Input Prescr. Lighting Measures'!W22,"")</f>
        <v/>
      </c>
      <c r="I20" s="45" t="str">
        <f>IFERROR(Q20*MIN(Table_Measure_Caps[[#Totals],[Estimated Raw Incentive Total]], Table_Measure_Caps[[#Totals],[Gross Measure Cost Total]], Value_Project_CAP)/Table_Measure_Caps[[#Totals],[Estimated Raw Incentive Total]], "")</f>
        <v/>
      </c>
      <c r="J20" s="45">
        <f>'Input Prescr. Lighting Measures'!R22*'Input Prescr. Lighting Measures'!M22</f>
        <v>0</v>
      </c>
      <c r="K20" s="14">
        <f>'Input Prescr. Lighting Measures'!S22</f>
        <v>0</v>
      </c>
      <c r="L20" s="15" t="e">
        <f>'Input Prescr. Lighting Measures'!AG22</f>
        <v>#N/A</v>
      </c>
      <c r="M20" s="15" t="str">
        <f>IF(ISNUMBER($D20)=TRUE,'Input Prescr. Lighting Measures'!K22,"")</f>
        <v/>
      </c>
      <c r="N20" s="15" t="str">
        <f>IF(ISNUMBER($D20)=TRUE,'Input Prescr. Lighting Measures'!N22,"")</f>
        <v/>
      </c>
      <c r="O20" s="31" t="str">
        <f t="shared" si="1"/>
        <v>Version 4.1 - 2026</v>
      </c>
      <c r="P20" s="89" t="str">
        <f>IF(ISNUMBER($D20)=TRUE,'Input Prescr. Lighting Measures'!F22,"")</f>
        <v/>
      </c>
      <c r="Q20" s="42" t="str">
        <f>'Input Prescr. Lighting Measures'!U22</f>
        <v/>
      </c>
    </row>
    <row r="21" spans="1:17" x14ac:dyDescent="0.2">
      <c r="A21" s="15" t="s">
        <v>6238</v>
      </c>
      <c r="B21" s="14">
        <f t="shared" si="0"/>
        <v>0</v>
      </c>
      <c r="C21" s="14">
        <f>'Input Prescr. Lighting Measures'!B23</f>
        <v>19</v>
      </c>
      <c r="D21" s="14" t="str">
        <f>'Input Prescr. Lighting Measures'!C23</f>
        <v/>
      </c>
      <c r="E21" s="14" t="str">
        <f>'Input Prescr. Lighting Measures'!G23</f>
        <v/>
      </c>
      <c r="F21" s="14" t="str">
        <f>IF(ISNUMBER($D21)=TRUE,'Input Prescr. Lighting Measures'!AX23,"")</f>
        <v/>
      </c>
      <c r="G21" s="14" t="str">
        <f>IF(ISNUMBER($D21)=TRUE,'Input Prescr. Lighting Measures'!V23,"")</f>
        <v/>
      </c>
      <c r="H21" s="104" t="str">
        <f>IF(ISNUMBER($D21)=TRUE,'Input Prescr. Lighting Measures'!W23,"")</f>
        <v/>
      </c>
      <c r="I21" s="45" t="str">
        <f>IFERROR(Q21*MIN(Table_Measure_Caps[[#Totals],[Estimated Raw Incentive Total]], Table_Measure_Caps[[#Totals],[Gross Measure Cost Total]], Value_Project_CAP)/Table_Measure_Caps[[#Totals],[Estimated Raw Incentive Total]], "")</f>
        <v/>
      </c>
      <c r="J21" s="45">
        <f>'Input Prescr. Lighting Measures'!R23*'Input Prescr. Lighting Measures'!M23</f>
        <v>0</v>
      </c>
      <c r="K21" s="14">
        <f>'Input Prescr. Lighting Measures'!S23</f>
        <v>0</v>
      </c>
      <c r="L21" s="15" t="e">
        <f>'Input Prescr. Lighting Measures'!AG23</f>
        <v>#N/A</v>
      </c>
      <c r="M21" s="15" t="str">
        <f>IF(ISNUMBER($D21)=TRUE,'Input Prescr. Lighting Measures'!K23,"")</f>
        <v/>
      </c>
      <c r="N21" s="15" t="str">
        <f>IF(ISNUMBER($D21)=TRUE,'Input Prescr. Lighting Measures'!N23,"")</f>
        <v/>
      </c>
      <c r="O21" s="31" t="str">
        <f t="shared" si="1"/>
        <v>Version 4.1 - 2026</v>
      </c>
      <c r="P21" s="89" t="str">
        <f>IF(ISNUMBER($D21)=TRUE,'Input Prescr. Lighting Measures'!F23,"")</f>
        <v/>
      </c>
      <c r="Q21" s="42" t="str">
        <f>'Input Prescr. Lighting Measures'!U23</f>
        <v/>
      </c>
    </row>
    <row r="22" spans="1:17" x14ac:dyDescent="0.2">
      <c r="A22" s="15" t="s">
        <v>6238</v>
      </c>
      <c r="B22" s="14">
        <f t="shared" si="0"/>
        <v>0</v>
      </c>
      <c r="C22" s="14">
        <f>'Input Prescr. Lighting Measures'!B24</f>
        <v>20</v>
      </c>
      <c r="D22" s="14" t="str">
        <f>'Input Prescr. Lighting Measures'!C24</f>
        <v/>
      </c>
      <c r="E22" s="14" t="str">
        <f>'Input Prescr. Lighting Measures'!G24</f>
        <v/>
      </c>
      <c r="F22" s="14" t="str">
        <f>IF(ISNUMBER($D22)=TRUE,'Input Prescr. Lighting Measures'!AX24,"")</f>
        <v/>
      </c>
      <c r="G22" s="14" t="str">
        <f>IF(ISNUMBER($D22)=TRUE,'Input Prescr. Lighting Measures'!V24,"")</f>
        <v/>
      </c>
      <c r="H22" s="104" t="str">
        <f>IF(ISNUMBER($D22)=TRUE,'Input Prescr. Lighting Measures'!W24,"")</f>
        <v/>
      </c>
      <c r="I22" s="45" t="str">
        <f>IFERROR(Q22*MIN(Table_Measure_Caps[[#Totals],[Estimated Raw Incentive Total]], Table_Measure_Caps[[#Totals],[Gross Measure Cost Total]], Value_Project_CAP)/Table_Measure_Caps[[#Totals],[Estimated Raw Incentive Total]], "")</f>
        <v/>
      </c>
      <c r="J22" s="45">
        <f>'Input Prescr. Lighting Measures'!R24*'Input Prescr. Lighting Measures'!M24</f>
        <v>0</v>
      </c>
      <c r="K22" s="14">
        <f>'Input Prescr. Lighting Measures'!S24</f>
        <v>0</v>
      </c>
      <c r="L22" s="15" t="e">
        <f>'Input Prescr. Lighting Measures'!AG24</f>
        <v>#N/A</v>
      </c>
      <c r="M22" s="15" t="str">
        <f>IF(ISNUMBER($D22)=TRUE,'Input Prescr. Lighting Measures'!K24,"")</f>
        <v/>
      </c>
      <c r="N22" s="15" t="str">
        <f>IF(ISNUMBER($D22)=TRUE,'Input Prescr. Lighting Measures'!N24,"")</f>
        <v/>
      </c>
      <c r="O22" s="31" t="str">
        <f t="shared" si="1"/>
        <v>Version 4.1 - 2026</v>
      </c>
      <c r="P22" s="89" t="str">
        <f>IF(ISNUMBER($D22)=TRUE,'Input Prescr. Lighting Measures'!F24,"")</f>
        <v/>
      </c>
      <c r="Q22" s="42" t="str">
        <f>'Input Prescr. Lighting Measures'!U24</f>
        <v/>
      </c>
    </row>
    <row r="23" spans="1:17" x14ac:dyDescent="0.2">
      <c r="A23" s="15" t="s">
        <v>6238</v>
      </c>
      <c r="B23" s="14">
        <f t="shared" si="0"/>
        <v>0</v>
      </c>
      <c r="C23" s="14">
        <f>'Input Prescr. Lighting Measures'!B25</f>
        <v>21</v>
      </c>
      <c r="D23" s="14" t="str">
        <f>'Input Prescr. Lighting Measures'!C25</f>
        <v/>
      </c>
      <c r="E23" s="14" t="str">
        <f>'Input Prescr. Lighting Measures'!G25</f>
        <v/>
      </c>
      <c r="F23" s="14" t="str">
        <f>IF(ISNUMBER($D23)=TRUE,'Input Prescr. Lighting Measures'!AX25,"")</f>
        <v/>
      </c>
      <c r="G23" s="14" t="str">
        <f>IF(ISNUMBER($D23)=TRUE,'Input Prescr. Lighting Measures'!V25,"")</f>
        <v/>
      </c>
      <c r="H23" s="104" t="str">
        <f>IF(ISNUMBER($D23)=TRUE,'Input Prescr. Lighting Measures'!W25,"")</f>
        <v/>
      </c>
      <c r="I23" s="45" t="str">
        <f>IFERROR(Q23*MIN(Table_Measure_Caps[[#Totals],[Estimated Raw Incentive Total]], Table_Measure_Caps[[#Totals],[Gross Measure Cost Total]], Value_Project_CAP)/Table_Measure_Caps[[#Totals],[Estimated Raw Incentive Total]], "")</f>
        <v/>
      </c>
      <c r="J23" s="45">
        <f>'Input Prescr. Lighting Measures'!R25*'Input Prescr. Lighting Measures'!M25</f>
        <v>0</v>
      </c>
      <c r="K23" s="14">
        <f>'Input Prescr. Lighting Measures'!S25</f>
        <v>0</v>
      </c>
      <c r="L23" s="15" t="e">
        <f>'Input Prescr. Lighting Measures'!AG25</f>
        <v>#N/A</v>
      </c>
      <c r="M23" s="15" t="str">
        <f>IF(ISNUMBER($D23)=TRUE,'Input Prescr. Lighting Measures'!K25,"")</f>
        <v/>
      </c>
      <c r="N23" s="15" t="str">
        <f>IF(ISNUMBER($D23)=TRUE,'Input Prescr. Lighting Measures'!N25,"")</f>
        <v/>
      </c>
      <c r="O23" s="31" t="str">
        <f t="shared" si="1"/>
        <v>Version 4.1 - 2026</v>
      </c>
      <c r="P23" s="89" t="str">
        <f>IF(ISNUMBER($D23)=TRUE,'Input Prescr. Lighting Measures'!F25,"")</f>
        <v/>
      </c>
      <c r="Q23" s="42" t="str">
        <f>'Input Prescr. Lighting Measures'!U25</f>
        <v/>
      </c>
    </row>
    <row r="24" spans="1:17" x14ac:dyDescent="0.2">
      <c r="A24" s="15" t="s">
        <v>6238</v>
      </c>
      <c r="B24" s="14">
        <f t="shared" si="0"/>
        <v>0</v>
      </c>
      <c r="C24" s="14">
        <f>'Input Prescr. Lighting Measures'!B26</f>
        <v>22</v>
      </c>
      <c r="D24" s="14" t="str">
        <f>'Input Prescr. Lighting Measures'!C26</f>
        <v/>
      </c>
      <c r="E24" s="14" t="str">
        <f>'Input Prescr. Lighting Measures'!G26</f>
        <v/>
      </c>
      <c r="F24" s="14" t="str">
        <f>IF(ISNUMBER($D24)=TRUE,'Input Prescr. Lighting Measures'!AX26,"")</f>
        <v/>
      </c>
      <c r="G24" s="14" t="str">
        <f>IF(ISNUMBER($D24)=TRUE,'Input Prescr. Lighting Measures'!V26,"")</f>
        <v/>
      </c>
      <c r="H24" s="104" t="str">
        <f>IF(ISNUMBER($D24)=TRUE,'Input Prescr. Lighting Measures'!W26,"")</f>
        <v/>
      </c>
      <c r="I24" s="45" t="str">
        <f>IFERROR(Q24*MIN(Table_Measure_Caps[[#Totals],[Estimated Raw Incentive Total]], Table_Measure_Caps[[#Totals],[Gross Measure Cost Total]], Value_Project_CAP)/Table_Measure_Caps[[#Totals],[Estimated Raw Incentive Total]], "")</f>
        <v/>
      </c>
      <c r="J24" s="45">
        <f>'Input Prescr. Lighting Measures'!R26*'Input Prescr. Lighting Measures'!M26</f>
        <v>0</v>
      </c>
      <c r="K24" s="14">
        <f>'Input Prescr. Lighting Measures'!S26</f>
        <v>0</v>
      </c>
      <c r="L24" s="15" t="e">
        <f>'Input Prescr. Lighting Measures'!AG26</f>
        <v>#N/A</v>
      </c>
      <c r="M24" s="15" t="str">
        <f>IF(ISNUMBER($D24)=TRUE,'Input Prescr. Lighting Measures'!K26,"")</f>
        <v/>
      </c>
      <c r="N24" s="15" t="str">
        <f>IF(ISNUMBER($D24)=TRUE,'Input Prescr. Lighting Measures'!N26,"")</f>
        <v/>
      </c>
      <c r="O24" s="31" t="str">
        <f t="shared" si="1"/>
        <v>Version 4.1 - 2026</v>
      </c>
      <c r="P24" s="89" t="str">
        <f>IF(ISNUMBER($D24)=TRUE,'Input Prescr. Lighting Measures'!F26,"")</f>
        <v/>
      </c>
      <c r="Q24" s="42" t="str">
        <f>'Input Prescr. Lighting Measures'!U26</f>
        <v/>
      </c>
    </row>
    <row r="25" spans="1:17" x14ac:dyDescent="0.2">
      <c r="A25" s="15" t="s">
        <v>6238</v>
      </c>
      <c r="B25" s="14">
        <f t="shared" si="0"/>
        <v>0</v>
      </c>
      <c r="C25" s="14">
        <f>'Input Prescr. Lighting Measures'!B27</f>
        <v>23</v>
      </c>
      <c r="D25" s="14" t="str">
        <f>'Input Prescr. Lighting Measures'!C27</f>
        <v/>
      </c>
      <c r="E25" s="14" t="str">
        <f>'Input Prescr. Lighting Measures'!G27</f>
        <v/>
      </c>
      <c r="F25" s="14" t="str">
        <f>IF(ISNUMBER($D25)=TRUE,'Input Prescr. Lighting Measures'!AX27,"")</f>
        <v/>
      </c>
      <c r="G25" s="14" t="str">
        <f>IF(ISNUMBER($D25)=TRUE,'Input Prescr. Lighting Measures'!V27,"")</f>
        <v/>
      </c>
      <c r="H25" s="104" t="str">
        <f>IF(ISNUMBER($D25)=TRUE,'Input Prescr. Lighting Measures'!W27,"")</f>
        <v/>
      </c>
      <c r="I25" s="45" t="str">
        <f>IFERROR(Q25*MIN(Table_Measure_Caps[[#Totals],[Estimated Raw Incentive Total]], Table_Measure_Caps[[#Totals],[Gross Measure Cost Total]], Value_Project_CAP)/Table_Measure_Caps[[#Totals],[Estimated Raw Incentive Total]], "")</f>
        <v/>
      </c>
      <c r="J25" s="45">
        <f>'Input Prescr. Lighting Measures'!R27*'Input Prescr. Lighting Measures'!M27</f>
        <v>0</v>
      </c>
      <c r="K25" s="14">
        <f>'Input Prescr. Lighting Measures'!S27</f>
        <v>0</v>
      </c>
      <c r="L25" s="15" t="e">
        <f>'Input Prescr. Lighting Measures'!AG27</f>
        <v>#N/A</v>
      </c>
      <c r="M25" s="15" t="str">
        <f>IF(ISNUMBER($D25)=TRUE,'Input Prescr. Lighting Measures'!K27,"")</f>
        <v/>
      </c>
      <c r="N25" s="15" t="str">
        <f>IF(ISNUMBER($D25)=TRUE,'Input Prescr. Lighting Measures'!N27,"")</f>
        <v/>
      </c>
      <c r="O25" s="31" t="str">
        <f t="shared" si="1"/>
        <v>Version 4.1 - 2026</v>
      </c>
      <c r="P25" s="89" t="str">
        <f>IF(ISNUMBER($D25)=TRUE,'Input Prescr. Lighting Measures'!F27,"")</f>
        <v/>
      </c>
      <c r="Q25" s="42" t="str">
        <f>'Input Prescr. Lighting Measures'!U27</f>
        <v/>
      </c>
    </row>
    <row r="26" spans="1:17" x14ac:dyDescent="0.2">
      <c r="A26" s="15" t="s">
        <v>6238</v>
      </c>
      <c r="B26" s="14">
        <f t="shared" si="0"/>
        <v>0</v>
      </c>
      <c r="C26" s="14">
        <f>'Input Prescr. Lighting Measures'!B28</f>
        <v>24</v>
      </c>
      <c r="D26" s="14" t="str">
        <f>'Input Prescr. Lighting Measures'!C28</f>
        <v/>
      </c>
      <c r="E26" s="14" t="str">
        <f>'Input Prescr. Lighting Measures'!G28</f>
        <v/>
      </c>
      <c r="F26" s="14" t="str">
        <f>IF(ISNUMBER($D26)=TRUE,'Input Prescr. Lighting Measures'!AX28,"")</f>
        <v/>
      </c>
      <c r="G26" s="14" t="str">
        <f>IF(ISNUMBER($D26)=TRUE,'Input Prescr. Lighting Measures'!V28,"")</f>
        <v/>
      </c>
      <c r="H26" s="104" t="str">
        <f>IF(ISNUMBER($D26)=TRUE,'Input Prescr. Lighting Measures'!W28,"")</f>
        <v/>
      </c>
      <c r="I26" s="45" t="str">
        <f>IFERROR(Q26*MIN(Table_Measure_Caps[[#Totals],[Estimated Raw Incentive Total]], Table_Measure_Caps[[#Totals],[Gross Measure Cost Total]], Value_Project_CAP)/Table_Measure_Caps[[#Totals],[Estimated Raw Incentive Total]], "")</f>
        <v/>
      </c>
      <c r="J26" s="45">
        <f>'Input Prescr. Lighting Measures'!R28*'Input Prescr. Lighting Measures'!M28</f>
        <v>0</v>
      </c>
      <c r="K26" s="14">
        <f>'Input Prescr. Lighting Measures'!S28</f>
        <v>0</v>
      </c>
      <c r="L26" s="15" t="e">
        <f>'Input Prescr. Lighting Measures'!AG28</f>
        <v>#N/A</v>
      </c>
      <c r="M26" s="15" t="str">
        <f>IF(ISNUMBER($D26)=TRUE,'Input Prescr. Lighting Measures'!K28,"")</f>
        <v/>
      </c>
      <c r="N26" s="15" t="str">
        <f>IF(ISNUMBER($D26)=TRUE,'Input Prescr. Lighting Measures'!N28,"")</f>
        <v/>
      </c>
      <c r="O26" s="31" t="str">
        <f t="shared" si="1"/>
        <v>Version 4.1 - 2026</v>
      </c>
      <c r="P26" s="89" t="str">
        <f>IF(ISNUMBER($D26)=TRUE,'Input Prescr. Lighting Measures'!F28,"")</f>
        <v/>
      </c>
      <c r="Q26" s="42" t="str">
        <f>'Input Prescr. Lighting Measures'!U28</f>
        <v/>
      </c>
    </row>
    <row r="27" spans="1:17" x14ac:dyDescent="0.2">
      <c r="A27" s="15" t="s">
        <v>6238</v>
      </c>
      <c r="B27" s="14">
        <f t="shared" si="0"/>
        <v>0</v>
      </c>
      <c r="C27" s="14">
        <f>'Input Prescr. Lighting Measures'!B29</f>
        <v>25</v>
      </c>
      <c r="D27" s="14" t="str">
        <f>'Input Prescr. Lighting Measures'!C29</f>
        <v/>
      </c>
      <c r="E27" s="14" t="str">
        <f>'Input Prescr. Lighting Measures'!G29</f>
        <v/>
      </c>
      <c r="F27" s="14" t="str">
        <f>IF(ISNUMBER($D27)=TRUE,'Input Prescr. Lighting Measures'!AX29,"")</f>
        <v/>
      </c>
      <c r="G27" s="14" t="str">
        <f>IF(ISNUMBER($D27)=TRUE,'Input Prescr. Lighting Measures'!V29,"")</f>
        <v/>
      </c>
      <c r="H27" s="104" t="str">
        <f>IF(ISNUMBER($D27)=TRUE,'Input Prescr. Lighting Measures'!W29,"")</f>
        <v/>
      </c>
      <c r="I27" s="45" t="str">
        <f>IFERROR(Q27*MIN(Table_Measure_Caps[[#Totals],[Estimated Raw Incentive Total]], Table_Measure_Caps[[#Totals],[Gross Measure Cost Total]], Value_Project_CAP)/Table_Measure_Caps[[#Totals],[Estimated Raw Incentive Total]], "")</f>
        <v/>
      </c>
      <c r="J27" s="45">
        <f>'Input Prescr. Lighting Measures'!R29*'Input Prescr. Lighting Measures'!M29</f>
        <v>0</v>
      </c>
      <c r="K27" s="14">
        <f>'Input Prescr. Lighting Measures'!S29</f>
        <v>0</v>
      </c>
      <c r="L27" s="15" t="e">
        <f>'Input Prescr. Lighting Measures'!AG29</f>
        <v>#N/A</v>
      </c>
      <c r="M27" s="15" t="str">
        <f>IF(ISNUMBER($D27)=TRUE,'Input Prescr. Lighting Measures'!K29,"")</f>
        <v/>
      </c>
      <c r="N27" s="15" t="str">
        <f>IF(ISNUMBER($D27)=TRUE,'Input Prescr. Lighting Measures'!N29,"")</f>
        <v/>
      </c>
      <c r="O27" s="31" t="str">
        <f t="shared" si="1"/>
        <v>Version 4.1 - 2026</v>
      </c>
      <c r="P27" s="89" t="str">
        <f>IF(ISNUMBER($D27)=TRUE,'Input Prescr. Lighting Measures'!F29,"")</f>
        <v/>
      </c>
      <c r="Q27" s="42" t="str">
        <f>'Input Prescr. Lighting Measures'!U29</f>
        <v/>
      </c>
    </row>
    <row r="28" spans="1:17" x14ac:dyDescent="0.2">
      <c r="A28" s="15" t="s">
        <v>6238</v>
      </c>
      <c r="B28" s="14">
        <f t="shared" si="0"/>
        <v>0</v>
      </c>
      <c r="C28" s="14">
        <f>'Input Prescr. Lighting Measures'!B30</f>
        <v>26</v>
      </c>
      <c r="D28" s="14" t="str">
        <f>'Input Prescr. Lighting Measures'!C30</f>
        <v/>
      </c>
      <c r="E28" s="14" t="str">
        <f>'Input Prescr. Lighting Measures'!G30</f>
        <v/>
      </c>
      <c r="F28" s="14" t="str">
        <f>IF(ISNUMBER($D28)=TRUE,'Input Prescr. Lighting Measures'!AX30,"")</f>
        <v/>
      </c>
      <c r="G28" s="14" t="str">
        <f>IF(ISNUMBER($D28)=TRUE,'Input Prescr. Lighting Measures'!V30,"")</f>
        <v/>
      </c>
      <c r="H28" s="104" t="str">
        <f>IF(ISNUMBER($D28)=TRUE,'Input Prescr. Lighting Measures'!W30,"")</f>
        <v/>
      </c>
      <c r="I28" s="45" t="str">
        <f>IFERROR(Q28*MIN(Table_Measure_Caps[[#Totals],[Estimated Raw Incentive Total]], Table_Measure_Caps[[#Totals],[Gross Measure Cost Total]], Value_Project_CAP)/Table_Measure_Caps[[#Totals],[Estimated Raw Incentive Total]], "")</f>
        <v/>
      </c>
      <c r="J28" s="45">
        <f>'Input Prescr. Lighting Measures'!R30*'Input Prescr. Lighting Measures'!M30</f>
        <v>0</v>
      </c>
      <c r="K28" s="14">
        <f>'Input Prescr. Lighting Measures'!S30</f>
        <v>0</v>
      </c>
      <c r="L28" s="15" t="e">
        <f>'Input Prescr. Lighting Measures'!AG30</f>
        <v>#N/A</v>
      </c>
      <c r="M28" s="15" t="str">
        <f>IF(ISNUMBER($D28)=TRUE,'Input Prescr. Lighting Measures'!K30,"")</f>
        <v/>
      </c>
      <c r="N28" s="15" t="str">
        <f>IF(ISNUMBER($D28)=TRUE,'Input Prescr. Lighting Measures'!N30,"")</f>
        <v/>
      </c>
      <c r="O28" s="31" t="str">
        <f t="shared" si="1"/>
        <v>Version 4.1 - 2026</v>
      </c>
      <c r="P28" s="89" t="str">
        <f>IF(ISNUMBER($D28)=TRUE,'Input Prescr. Lighting Measures'!F30,"")</f>
        <v/>
      </c>
      <c r="Q28" s="42" t="str">
        <f>'Input Prescr. Lighting Measures'!U30</f>
        <v/>
      </c>
    </row>
    <row r="29" spans="1:17" x14ac:dyDescent="0.2">
      <c r="A29" s="15" t="s">
        <v>6238</v>
      </c>
      <c r="B29" s="14">
        <f t="shared" si="0"/>
        <v>0</v>
      </c>
      <c r="C29" s="14">
        <f>'Input Prescr. Lighting Measures'!B31</f>
        <v>27</v>
      </c>
      <c r="D29" s="14" t="str">
        <f>'Input Prescr. Lighting Measures'!C31</f>
        <v/>
      </c>
      <c r="E29" s="14" t="str">
        <f>'Input Prescr. Lighting Measures'!G31</f>
        <v/>
      </c>
      <c r="F29" s="14" t="str">
        <f>IF(ISNUMBER($D29)=TRUE,'Input Prescr. Lighting Measures'!AX31,"")</f>
        <v/>
      </c>
      <c r="G29" s="14" t="str">
        <f>IF(ISNUMBER($D29)=TRUE,'Input Prescr. Lighting Measures'!V31,"")</f>
        <v/>
      </c>
      <c r="H29" s="104" t="str">
        <f>IF(ISNUMBER($D29)=TRUE,'Input Prescr. Lighting Measures'!W31,"")</f>
        <v/>
      </c>
      <c r="I29" s="45" t="str">
        <f>IFERROR(Q29*MIN(Table_Measure_Caps[[#Totals],[Estimated Raw Incentive Total]], Table_Measure_Caps[[#Totals],[Gross Measure Cost Total]], Value_Project_CAP)/Table_Measure_Caps[[#Totals],[Estimated Raw Incentive Total]], "")</f>
        <v/>
      </c>
      <c r="J29" s="45">
        <f>'Input Prescr. Lighting Measures'!R31*'Input Prescr. Lighting Measures'!M31</f>
        <v>0</v>
      </c>
      <c r="K29" s="14">
        <f>'Input Prescr. Lighting Measures'!S31</f>
        <v>0</v>
      </c>
      <c r="L29" s="15" t="e">
        <f>'Input Prescr. Lighting Measures'!AG31</f>
        <v>#N/A</v>
      </c>
      <c r="M29" s="15" t="str">
        <f>IF(ISNUMBER($D29)=TRUE,'Input Prescr. Lighting Measures'!K31,"")</f>
        <v/>
      </c>
      <c r="N29" s="15" t="str">
        <f>IF(ISNUMBER($D29)=TRUE,'Input Prescr. Lighting Measures'!N31,"")</f>
        <v/>
      </c>
      <c r="O29" s="31" t="str">
        <f t="shared" si="1"/>
        <v>Version 4.1 - 2026</v>
      </c>
      <c r="P29" s="89" t="str">
        <f>IF(ISNUMBER($D29)=TRUE,'Input Prescr. Lighting Measures'!F31,"")</f>
        <v/>
      </c>
      <c r="Q29" s="42" t="str">
        <f>'Input Prescr. Lighting Measures'!U31</f>
        <v/>
      </c>
    </row>
    <row r="30" spans="1:17" x14ac:dyDescent="0.2">
      <c r="A30" s="15" t="s">
        <v>6238</v>
      </c>
      <c r="B30" s="14">
        <f t="shared" si="0"/>
        <v>0</v>
      </c>
      <c r="C30" s="14">
        <f>'Input Prescr. Lighting Measures'!B32</f>
        <v>28</v>
      </c>
      <c r="D30" s="14" t="str">
        <f>'Input Prescr. Lighting Measures'!C32</f>
        <v/>
      </c>
      <c r="E30" s="14" t="str">
        <f>'Input Prescr. Lighting Measures'!G32</f>
        <v/>
      </c>
      <c r="F30" s="14" t="str">
        <f>IF(ISNUMBER($D30)=TRUE,'Input Prescr. Lighting Measures'!AX32,"")</f>
        <v/>
      </c>
      <c r="G30" s="14" t="str">
        <f>IF(ISNUMBER($D30)=TRUE,'Input Prescr. Lighting Measures'!V32,"")</f>
        <v/>
      </c>
      <c r="H30" s="104" t="str">
        <f>IF(ISNUMBER($D30)=TRUE,'Input Prescr. Lighting Measures'!W32,"")</f>
        <v/>
      </c>
      <c r="I30" s="45" t="str">
        <f>IFERROR(Q30*MIN(Table_Measure_Caps[[#Totals],[Estimated Raw Incentive Total]], Table_Measure_Caps[[#Totals],[Gross Measure Cost Total]], Value_Project_CAP)/Table_Measure_Caps[[#Totals],[Estimated Raw Incentive Total]], "")</f>
        <v/>
      </c>
      <c r="J30" s="45">
        <f>'Input Prescr. Lighting Measures'!R32*'Input Prescr. Lighting Measures'!M32</f>
        <v>0</v>
      </c>
      <c r="K30" s="14">
        <f>'Input Prescr. Lighting Measures'!S32</f>
        <v>0</v>
      </c>
      <c r="L30" s="15" t="e">
        <f>'Input Prescr. Lighting Measures'!AG32</f>
        <v>#N/A</v>
      </c>
      <c r="M30" s="15" t="str">
        <f>IF(ISNUMBER($D30)=TRUE,'Input Prescr. Lighting Measures'!K32,"")</f>
        <v/>
      </c>
      <c r="N30" s="15" t="str">
        <f>IF(ISNUMBER($D30)=TRUE,'Input Prescr. Lighting Measures'!N32,"")</f>
        <v/>
      </c>
      <c r="O30" s="31" t="str">
        <f t="shared" si="1"/>
        <v>Version 4.1 - 2026</v>
      </c>
      <c r="P30" s="89" t="str">
        <f>IF(ISNUMBER($D30)=TRUE,'Input Prescr. Lighting Measures'!F32,"")</f>
        <v/>
      </c>
      <c r="Q30" s="42" t="str">
        <f>'Input Prescr. Lighting Measures'!U32</f>
        <v/>
      </c>
    </row>
    <row r="31" spans="1:17" x14ac:dyDescent="0.2">
      <c r="A31" s="15" t="s">
        <v>6238</v>
      </c>
      <c r="B31" s="14">
        <f t="shared" si="0"/>
        <v>0</v>
      </c>
      <c r="C31" s="14">
        <f>'Input Prescr. Lighting Measures'!B33</f>
        <v>29</v>
      </c>
      <c r="D31" s="14" t="str">
        <f>'Input Prescr. Lighting Measures'!C33</f>
        <v/>
      </c>
      <c r="E31" s="14" t="str">
        <f>'Input Prescr. Lighting Measures'!G33</f>
        <v/>
      </c>
      <c r="F31" s="14" t="str">
        <f>IF(ISNUMBER($D31)=TRUE,'Input Prescr. Lighting Measures'!AX33,"")</f>
        <v/>
      </c>
      <c r="G31" s="14" t="str">
        <f>IF(ISNUMBER($D31)=TRUE,'Input Prescr. Lighting Measures'!V33,"")</f>
        <v/>
      </c>
      <c r="H31" s="104" t="str">
        <f>IF(ISNUMBER($D31)=TRUE,'Input Prescr. Lighting Measures'!W33,"")</f>
        <v/>
      </c>
      <c r="I31" s="45" t="str">
        <f>IFERROR(Q31*MIN(Table_Measure_Caps[[#Totals],[Estimated Raw Incentive Total]], Table_Measure_Caps[[#Totals],[Gross Measure Cost Total]], Value_Project_CAP)/Table_Measure_Caps[[#Totals],[Estimated Raw Incentive Total]], "")</f>
        <v/>
      </c>
      <c r="J31" s="45">
        <f>'Input Prescr. Lighting Measures'!R33*'Input Prescr. Lighting Measures'!M33</f>
        <v>0</v>
      </c>
      <c r="K31" s="14">
        <f>'Input Prescr. Lighting Measures'!S33</f>
        <v>0</v>
      </c>
      <c r="L31" s="15" t="e">
        <f>'Input Prescr. Lighting Measures'!AG33</f>
        <v>#N/A</v>
      </c>
      <c r="M31" s="15" t="str">
        <f>IF(ISNUMBER($D31)=TRUE,'Input Prescr. Lighting Measures'!K33,"")</f>
        <v/>
      </c>
      <c r="N31" s="15" t="str">
        <f>IF(ISNUMBER($D31)=TRUE,'Input Prescr. Lighting Measures'!N33,"")</f>
        <v/>
      </c>
      <c r="O31" s="31" t="str">
        <f t="shared" si="1"/>
        <v>Version 4.1 - 2026</v>
      </c>
      <c r="P31" s="89" t="str">
        <f>IF(ISNUMBER($D31)=TRUE,'Input Prescr. Lighting Measures'!F33,"")</f>
        <v/>
      </c>
      <c r="Q31" s="42" t="str">
        <f>'Input Prescr. Lighting Measures'!U33</f>
        <v/>
      </c>
    </row>
    <row r="32" spans="1:17" x14ac:dyDescent="0.2">
      <c r="A32" s="15" t="s">
        <v>6238</v>
      </c>
      <c r="B32" s="14">
        <f t="shared" si="0"/>
        <v>0</v>
      </c>
      <c r="C32" s="14">
        <f>'Input Prescr. Lighting Measures'!B34</f>
        <v>30</v>
      </c>
      <c r="D32" s="14" t="str">
        <f>'Input Prescr. Lighting Measures'!C34</f>
        <v/>
      </c>
      <c r="E32" s="14" t="str">
        <f>'Input Prescr. Lighting Measures'!G34</f>
        <v/>
      </c>
      <c r="F32" s="14" t="str">
        <f>IF(ISNUMBER($D32)=TRUE,'Input Prescr. Lighting Measures'!AX34,"")</f>
        <v/>
      </c>
      <c r="G32" s="14" t="str">
        <f>IF(ISNUMBER($D32)=TRUE,'Input Prescr. Lighting Measures'!V34,"")</f>
        <v/>
      </c>
      <c r="H32" s="104" t="str">
        <f>IF(ISNUMBER($D32)=TRUE,'Input Prescr. Lighting Measures'!W34,"")</f>
        <v/>
      </c>
      <c r="I32" s="45" t="str">
        <f>IFERROR(Q32*MIN(Table_Measure_Caps[[#Totals],[Estimated Raw Incentive Total]], Table_Measure_Caps[[#Totals],[Gross Measure Cost Total]], Value_Project_CAP)/Table_Measure_Caps[[#Totals],[Estimated Raw Incentive Total]], "")</f>
        <v/>
      </c>
      <c r="J32" s="45">
        <f>'Input Prescr. Lighting Measures'!R34*'Input Prescr. Lighting Measures'!M34</f>
        <v>0</v>
      </c>
      <c r="K32" s="14">
        <f>'Input Prescr. Lighting Measures'!S34</f>
        <v>0</v>
      </c>
      <c r="L32" s="15" t="e">
        <f>'Input Prescr. Lighting Measures'!AG34</f>
        <v>#N/A</v>
      </c>
      <c r="M32" s="15" t="str">
        <f>IF(ISNUMBER($D32)=TRUE,'Input Prescr. Lighting Measures'!K34,"")</f>
        <v/>
      </c>
      <c r="N32" s="15" t="str">
        <f>IF(ISNUMBER($D32)=TRUE,'Input Prescr. Lighting Measures'!N34,"")</f>
        <v/>
      </c>
      <c r="O32" s="31" t="str">
        <f t="shared" si="1"/>
        <v>Version 4.1 - 2026</v>
      </c>
      <c r="P32" s="89" t="str">
        <f>IF(ISNUMBER($D32)=TRUE,'Input Prescr. Lighting Measures'!F34,"")</f>
        <v/>
      </c>
      <c r="Q32" s="42" t="str">
        <f>'Input Prescr. Lighting Measures'!U34</f>
        <v/>
      </c>
    </row>
    <row r="33" spans="1:17" x14ac:dyDescent="0.2">
      <c r="A33" s="15" t="s">
        <v>6238</v>
      </c>
      <c r="B33" s="14">
        <f t="shared" si="0"/>
        <v>0</v>
      </c>
      <c r="C33" s="14">
        <f>'Input Prescr. Lighting Measures'!B35</f>
        <v>31</v>
      </c>
      <c r="D33" s="14" t="str">
        <f>'Input Prescr. Lighting Measures'!C35</f>
        <v/>
      </c>
      <c r="E33" s="14" t="str">
        <f>'Input Prescr. Lighting Measures'!G35</f>
        <v/>
      </c>
      <c r="F33" s="14" t="str">
        <f>IF(ISNUMBER($D33)=TRUE,'Input Prescr. Lighting Measures'!AX35,"")</f>
        <v/>
      </c>
      <c r="G33" s="14" t="str">
        <f>IF(ISNUMBER($D33)=TRUE,'Input Prescr. Lighting Measures'!V35,"")</f>
        <v/>
      </c>
      <c r="H33" s="104" t="str">
        <f>IF(ISNUMBER($D33)=TRUE,'Input Prescr. Lighting Measures'!W35,"")</f>
        <v/>
      </c>
      <c r="I33" s="45" t="str">
        <f>IFERROR(Q33*MIN(Table_Measure_Caps[[#Totals],[Estimated Raw Incentive Total]], Table_Measure_Caps[[#Totals],[Gross Measure Cost Total]], Value_Project_CAP)/Table_Measure_Caps[[#Totals],[Estimated Raw Incentive Total]], "")</f>
        <v/>
      </c>
      <c r="J33" s="45">
        <f>'Input Prescr. Lighting Measures'!R35*'Input Prescr. Lighting Measures'!M35</f>
        <v>0</v>
      </c>
      <c r="K33" s="14">
        <f>'Input Prescr. Lighting Measures'!S35</f>
        <v>0</v>
      </c>
      <c r="L33" s="15" t="e">
        <f>'Input Prescr. Lighting Measures'!AG35</f>
        <v>#N/A</v>
      </c>
      <c r="M33" s="15" t="str">
        <f>IF(ISNUMBER($D33)=TRUE,'Input Prescr. Lighting Measures'!K35,"")</f>
        <v/>
      </c>
      <c r="N33" s="15" t="str">
        <f>IF(ISNUMBER($D33)=TRUE,'Input Prescr. Lighting Measures'!N35,"")</f>
        <v/>
      </c>
      <c r="O33" s="31" t="str">
        <f t="shared" si="1"/>
        <v>Version 4.1 - 2026</v>
      </c>
      <c r="P33" s="89" t="str">
        <f>IF(ISNUMBER($D33)=TRUE,'Input Prescr. Lighting Measures'!F35,"")</f>
        <v/>
      </c>
      <c r="Q33" s="42" t="str">
        <f>'Input Prescr. Lighting Measures'!U35</f>
        <v/>
      </c>
    </row>
    <row r="34" spans="1:17" x14ac:dyDescent="0.2">
      <c r="A34" s="15" t="s">
        <v>6238</v>
      </c>
      <c r="B34" s="14">
        <f t="shared" si="0"/>
        <v>0</v>
      </c>
      <c r="C34" s="14">
        <f>'Input Prescr. Lighting Measures'!B36</f>
        <v>32</v>
      </c>
      <c r="D34" s="14" t="str">
        <f>'Input Prescr. Lighting Measures'!C36</f>
        <v/>
      </c>
      <c r="E34" s="14" t="str">
        <f>'Input Prescr. Lighting Measures'!G36</f>
        <v/>
      </c>
      <c r="F34" s="14" t="str">
        <f>IF(ISNUMBER($D34)=TRUE,'Input Prescr. Lighting Measures'!AX36,"")</f>
        <v/>
      </c>
      <c r="G34" s="14" t="str">
        <f>IF(ISNUMBER($D34)=TRUE,'Input Prescr. Lighting Measures'!V36,"")</f>
        <v/>
      </c>
      <c r="H34" s="104" t="str">
        <f>IF(ISNUMBER($D34)=TRUE,'Input Prescr. Lighting Measures'!W36,"")</f>
        <v/>
      </c>
      <c r="I34" s="45" t="str">
        <f>IFERROR(Q34*MIN(Table_Measure_Caps[[#Totals],[Estimated Raw Incentive Total]], Table_Measure_Caps[[#Totals],[Gross Measure Cost Total]], Value_Project_CAP)/Table_Measure_Caps[[#Totals],[Estimated Raw Incentive Total]], "")</f>
        <v/>
      </c>
      <c r="J34" s="45">
        <f>'Input Prescr. Lighting Measures'!R36*'Input Prescr. Lighting Measures'!M36</f>
        <v>0</v>
      </c>
      <c r="K34" s="14">
        <f>'Input Prescr. Lighting Measures'!S36</f>
        <v>0</v>
      </c>
      <c r="L34" s="15" t="e">
        <f>'Input Prescr. Lighting Measures'!AG36</f>
        <v>#N/A</v>
      </c>
      <c r="M34" s="15" t="str">
        <f>IF(ISNUMBER($D34)=TRUE,'Input Prescr. Lighting Measures'!K36,"")</f>
        <v/>
      </c>
      <c r="N34" s="15" t="str">
        <f>IF(ISNUMBER($D34)=TRUE,'Input Prescr. Lighting Measures'!N36,"")</f>
        <v/>
      </c>
      <c r="O34" s="31" t="str">
        <f t="shared" si="1"/>
        <v>Version 4.1 - 2026</v>
      </c>
      <c r="P34" s="89" t="str">
        <f>IF(ISNUMBER($D34)=TRUE,'Input Prescr. Lighting Measures'!F36,"")</f>
        <v/>
      </c>
      <c r="Q34" s="42" t="str">
        <f>'Input Prescr. Lighting Measures'!U36</f>
        <v/>
      </c>
    </row>
    <row r="35" spans="1:17" x14ac:dyDescent="0.2">
      <c r="A35" s="15" t="s">
        <v>6238</v>
      </c>
      <c r="B35" s="14">
        <f t="shared" si="0"/>
        <v>0</v>
      </c>
      <c r="C35" s="14">
        <f>'Input Prescr. Lighting Measures'!B37</f>
        <v>33</v>
      </c>
      <c r="D35" s="14" t="str">
        <f>'Input Prescr. Lighting Measures'!C37</f>
        <v/>
      </c>
      <c r="E35" s="14" t="str">
        <f>'Input Prescr. Lighting Measures'!G37</f>
        <v/>
      </c>
      <c r="F35" s="14" t="str">
        <f>IF(ISNUMBER($D35)=TRUE,'Input Prescr. Lighting Measures'!AX37,"")</f>
        <v/>
      </c>
      <c r="G35" s="14" t="str">
        <f>IF(ISNUMBER($D35)=TRUE,'Input Prescr. Lighting Measures'!V37,"")</f>
        <v/>
      </c>
      <c r="H35" s="104" t="str">
        <f>IF(ISNUMBER($D35)=TRUE,'Input Prescr. Lighting Measures'!W37,"")</f>
        <v/>
      </c>
      <c r="I35" s="45" t="str">
        <f>IFERROR(Q35*MIN(Table_Measure_Caps[[#Totals],[Estimated Raw Incentive Total]], Table_Measure_Caps[[#Totals],[Gross Measure Cost Total]], Value_Project_CAP)/Table_Measure_Caps[[#Totals],[Estimated Raw Incentive Total]], "")</f>
        <v/>
      </c>
      <c r="J35" s="45">
        <f>'Input Prescr. Lighting Measures'!R37*'Input Prescr. Lighting Measures'!M37</f>
        <v>0</v>
      </c>
      <c r="K35" s="14">
        <f>'Input Prescr. Lighting Measures'!S37</f>
        <v>0</v>
      </c>
      <c r="L35" s="15" t="e">
        <f>'Input Prescr. Lighting Measures'!AG37</f>
        <v>#N/A</v>
      </c>
      <c r="M35" s="15" t="str">
        <f>IF(ISNUMBER($D35)=TRUE,'Input Prescr. Lighting Measures'!K37,"")</f>
        <v/>
      </c>
      <c r="N35" s="15" t="str">
        <f>IF(ISNUMBER($D35)=TRUE,'Input Prescr. Lighting Measures'!N37,"")</f>
        <v/>
      </c>
      <c r="O35" s="31" t="str">
        <f t="shared" si="1"/>
        <v>Version 4.1 - 2026</v>
      </c>
      <c r="P35" s="89" t="str">
        <f>IF(ISNUMBER($D35)=TRUE,'Input Prescr. Lighting Measures'!F37,"")</f>
        <v/>
      </c>
      <c r="Q35" s="42" t="str">
        <f>'Input Prescr. Lighting Measures'!U37</f>
        <v/>
      </c>
    </row>
    <row r="36" spans="1:17" x14ac:dyDescent="0.2">
      <c r="A36" s="15" t="s">
        <v>6238</v>
      </c>
      <c r="B36" s="14">
        <f t="shared" si="0"/>
        <v>0</v>
      </c>
      <c r="C36" s="14">
        <f>'Input Prescr. Lighting Measures'!B38</f>
        <v>34</v>
      </c>
      <c r="D36" s="14" t="str">
        <f>'Input Prescr. Lighting Measures'!C38</f>
        <v/>
      </c>
      <c r="E36" s="14" t="str">
        <f>'Input Prescr. Lighting Measures'!G38</f>
        <v/>
      </c>
      <c r="F36" s="14" t="str">
        <f>IF(ISNUMBER($D36)=TRUE,'Input Prescr. Lighting Measures'!AX38,"")</f>
        <v/>
      </c>
      <c r="G36" s="14" t="str">
        <f>IF(ISNUMBER($D36)=TRUE,'Input Prescr. Lighting Measures'!V38,"")</f>
        <v/>
      </c>
      <c r="H36" s="104" t="str">
        <f>IF(ISNUMBER($D36)=TRUE,'Input Prescr. Lighting Measures'!W38,"")</f>
        <v/>
      </c>
      <c r="I36" s="45" t="str">
        <f>IFERROR(Q36*MIN(Table_Measure_Caps[[#Totals],[Estimated Raw Incentive Total]], Table_Measure_Caps[[#Totals],[Gross Measure Cost Total]], Value_Project_CAP)/Table_Measure_Caps[[#Totals],[Estimated Raw Incentive Total]], "")</f>
        <v/>
      </c>
      <c r="J36" s="45">
        <f>'Input Prescr. Lighting Measures'!R38*'Input Prescr. Lighting Measures'!M38</f>
        <v>0</v>
      </c>
      <c r="K36" s="14">
        <f>'Input Prescr. Lighting Measures'!S38</f>
        <v>0</v>
      </c>
      <c r="L36" s="15" t="e">
        <f>'Input Prescr. Lighting Measures'!AG38</f>
        <v>#N/A</v>
      </c>
      <c r="M36" s="15" t="str">
        <f>IF(ISNUMBER($D36)=TRUE,'Input Prescr. Lighting Measures'!K38,"")</f>
        <v/>
      </c>
      <c r="N36" s="15" t="str">
        <f>IF(ISNUMBER($D36)=TRUE,'Input Prescr. Lighting Measures'!N38,"")</f>
        <v/>
      </c>
      <c r="O36" s="31" t="str">
        <f t="shared" si="1"/>
        <v>Version 4.1 - 2026</v>
      </c>
      <c r="P36" s="89" t="str">
        <f>IF(ISNUMBER($D36)=TRUE,'Input Prescr. Lighting Measures'!F38,"")</f>
        <v/>
      </c>
      <c r="Q36" s="42" t="str">
        <f>'Input Prescr. Lighting Measures'!U38</f>
        <v/>
      </c>
    </row>
    <row r="37" spans="1:17" x14ac:dyDescent="0.2">
      <c r="A37" s="15" t="s">
        <v>6238</v>
      </c>
      <c r="B37" s="14">
        <f t="shared" si="0"/>
        <v>0</v>
      </c>
      <c r="C37" s="14">
        <f>'Input Prescr. Lighting Measures'!B39</f>
        <v>35</v>
      </c>
      <c r="D37" s="14" t="str">
        <f>'Input Prescr. Lighting Measures'!C39</f>
        <v/>
      </c>
      <c r="E37" s="14" t="str">
        <f>'Input Prescr. Lighting Measures'!G39</f>
        <v/>
      </c>
      <c r="F37" s="14" t="str">
        <f>IF(ISNUMBER($D37)=TRUE,'Input Prescr. Lighting Measures'!AX39,"")</f>
        <v/>
      </c>
      <c r="G37" s="14" t="str">
        <f>IF(ISNUMBER($D37)=TRUE,'Input Prescr. Lighting Measures'!V39,"")</f>
        <v/>
      </c>
      <c r="H37" s="104" t="str">
        <f>IF(ISNUMBER($D37)=TRUE,'Input Prescr. Lighting Measures'!W39,"")</f>
        <v/>
      </c>
      <c r="I37" s="45" t="str">
        <f>IFERROR(Q37*MIN(Table_Measure_Caps[[#Totals],[Estimated Raw Incentive Total]], Table_Measure_Caps[[#Totals],[Gross Measure Cost Total]], Value_Project_CAP)/Table_Measure_Caps[[#Totals],[Estimated Raw Incentive Total]], "")</f>
        <v/>
      </c>
      <c r="J37" s="45">
        <f>'Input Prescr. Lighting Measures'!R39*'Input Prescr. Lighting Measures'!M39</f>
        <v>0</v>
      </c>
      <c r="K37" s="14">
        <f>'Input Prescr. Lighting Measures'!S39</f>
        <v>0</v>
      </c>
      <c r="L37" s="15" t="e">
        <f>'Input Prescr. Lighting Measures'!AG39</f>
        <v>#N/A</v>
      </c>
      <c r="M37" s="15" t="str">
        <f>IF(ISNUMBER($D37)=TRUE,'Input Prescr. Lighting Measures'!K39,"")</f>
        <v/>
      </c>
      <c r="N37" s="15" t="str">
        <f>IF(ISNUMBER($D37)=TRUE,'Input Prescr. Lighting Measures'!N39,"")</f>
        <v/>
      </c>
      <c r="O37" s="31" t="str">
        <f t="shared" si="1"/>
        <v>Version 4.1 - 2026</v>
      </c>
      <c r="P37" s="89" t="str">
        <f>IF(ISNUMBER($D37)=TRUE,'Input Prescr. Lighting Measures'!F39,"")</f>
        <v/>
      </c>
      <c r="Q37" s="42" t="str">
        <f>'Input Prescr. Lighting Measures'!U39</f>
        <v/>
      </c>
    </row>
    <row r="38" spans="1:17" x14ac:dyDescent="0.2">
      <c r="A38" s="15" t="s">
        <v>6238</v>
      </c>
      <c r="B38" s="14">
        <f t="shared" si="0"/>
        <v>0</v>
      </c>
      <c r="C38" s="14">
        <f>'Input Prescr. Lighting Measures'!B40</f>
        <v>36</v>
      </c>
      <c r="D38" s="14" t="str">
        <f>'Input Prescr. Lighting Measures'!C40</f>
        <v/>
      </c>
      <c r="E38" s="14" t="str">
        <f>'Input Prescr. Lighting Measures'!G40</f>
        <v/>
      </c>
      <c r="F38" s="14" t="str">
        <f>IF(ISNUMBER($D38)=TRUE,'Input Prescr. Lighting Measures'!AX40,"")</f>
        <v/>
      </c>
      <c r="G38" s="14" t="str">
        <f>IF(ISNUMBER($D38)=TRUE,'Input Prescr. Lighting Measures'!V40,"")</f>
        <v/>
      </c>
      <c r="H38" s="104" t="str">
        <f>IF(ISNUMBER($D38)=TRUE,'Input Prescr. Lighting Measures'!W40,"")</f>
        <v/>
      </c>
      <c r="I38" s="45" t="str">
        <f>IFERROR(Q38*MIN(Table_Measure_Caps[[#Totals],[Estimated Raw Incentive Total]], Table_Measure_Caps[[#Totals],[Gross Measure Cost Total]], Value_Project_CAP)/Table_Measure_Caps[[#Totals],[Estimated Raw Incentive Total]], "")</f>
        <v/>
      </c>
      <c r="J38" s="45">
        <f>'Input Prescr. Lighting Measures'!R40*'Input Prescr. Lighting Measures'!M40</f>
        <v>0</v>
      </c>
      <c r="K38" s="14">
        <f>'Input Prescr. Lighting Measures'!S40</f>
        <v>0</v>
      </c>
      <c r="L38" s="15" t="e">
        <f>'Input Prescr. Lighting Measures'!AG40</f>
        <v>#N/A</v>
      </c>
      <c r="M38" s="15" t="str">
        <f>IF(ISNUMBER($D38)=TRUE,'Input Prescr. Lighting Measures'!K40,"")</f>
        <v/>
      </c>
      <c r="N38" s="15" t="str">
        <f>IF(ISNUMBER($D38)=TRUE,'Input Prescr. Lighting Measures'!N40,"")</f>
        <v/>
      </c>
      <c r="O38" s="31" t="str">
        <f t="shared" si="1"/>
        <v>Version 4.1 - 2026</v>
      </c>
      <c r="P38" s="89" t="str">
        <f>IF(ISNUMBER($D38)=TRUE,'Input Prescr. Lighting Measures'!F40,"")</f>
        <v/>
      </c>
      <c r="Q38" s="42" t="str">
        <f>'Input Prescr. Lighting Measures'!U40</f>
        <v/>
      </c>
    </row>
    <row r="39" spans="1:17" x14ac:dyDescent="0.2">
      <c r="A39" s="15" t="s">
        <v>6238</v>
      </c>
      <c r="B39" s="14">
        <f t="shared" si="0"/>
        <v>0</v>
      </c>
      <c r="C39" s="14">
        <f>'Input Prescr. Lighting Measures'!B41</f>
        <v>37</v>
      </c>
      <c r="D39" s="14" t="str">
        <f>'Input Prescr. Lighting Measures'!C41</f>
        <v/>
      </c>
      <c r="E39" s="14" t="str">
        <f>'Input Prescr. Lighting Measures'!G41</f>
        <v/>
      </c>
      <c r="F39" s="14" t="str">
        <f>IF(ISNUMBER($D39)=TRUE,'Input Prescr. Lighting Measures'!AX41,"")</f>
        <v/>
      </c>
      <c r="G39" s="14" t="str">
        <f>IF(ISNUMBER($D39)=TRUE,'Input Prescr. Lighting Measures'!V41,"")</f>
        <v/>
      </c>
      <c r="H39" s="104" t="str">
        <f>IF(ISNUMBER($D39)=TRUE,'Input Prescr. Lighting Measures'!W41,"")</f>
        <v/>
      </c>
      <c r="I39" s="45" t="str">
        <f>IFERROR(Q39*MIN(Table_Measure_Caps[[#Totals],[Estimated Raw Incentive Total]], Table_Measure_Caps[[#Totals],[Gross Measure Cost Total]], Value_Project_CAP)/Table_Measure_Caps[[#Totals],[Estimated Raw Incentive Total]], "")</f>
        <v/>
      </c>
      <c r="J39" s="45">
        <f>'Input Prescr. Lighting Measures'!R41*'Input Prescr. Lighting Measures'!M41</f>
        <v>0</v>
      </c>
      <c r="K39" s="14">
        <f>'Input Prescr. Lighting Measures'!S41</f>
        <v>0</v>
      </c>
      <c r="L39" s="15" t="e">
        <f>'Input Prescr. Lighting Measures'!AG41</f>
        <v>#N/A</v>
      </c>
      <c r="M39" s="15" t="str">
        <f>IF(ISNUMBER($D39)=TRUE,'Input Prescr. Lighting Measures'!K41,"")</f>
        <v/>
      </c>
      <c r="N39" s="15" t="str">
        <f>IF(ISNUMBER($D39)=TRUE,'Input Prescr. Lighting Measures'!N41,"")</f>
        <v/>
      </c>
      <c r="O39" s="31" t="str">
        <f t="shared" si="1"/>
        <v>Version 4.1 - 2026</v>
      </c>
      <c r="P39" s="89" t="str">
        <f>IF(ISNUMBER($D39)=TRUE,'Input Prescr. Lighting Measures'!F41,"")</f>
        <v/>
      </c>
      <c r="Q39" s="42" t="str">
        <f>'Input Prescr. Lighting Measures'!U41</f>
        <v/>
      </c>
    </row>
    <row r="40" spans="1:17" x14ac:dyDescent="0.2">
      <c r="A40" s="15" t="s">
        <v>6238</v>
      </c>
      <c r="B40" s="14">
        <f t="shared" si="0"/>
        <v>0</v>
      </c>
      <c r="C40" s="14">
        <f>'Input Prescr. Lighting Measures'!B42</f>
        <v>38</v>
      </c>
      <c r="D40" s="14" t="str">
        <f>'Input Prescr. Lighting Measures'!C42</f>
        <v/>
      </c>
      <c r="E40" s="14" t="str">
        <f>'Input Prescr. Lighting Measures'!G42</f>
        <v/>
      </c>
      <c r="F40" s="14" t="str">
        <f>IF(ISNUMBER($D40)=TRUE,'Input Prescr. Lighting Measures'!AX42,"")</f>
        <v/>
      </c>
      <c r="G40" s="14" t="str">
        <f>IF(ISNUMBER($D40)=TRUE,'Input Prescr. Lighting Measures'!V42,"")</f>
        <v/>
      </c>
      <c r="H40" s="104" t="str">
        <f>IF(ISNUMBER($D40)=TRUE,'Input Prescr. Lighting Measures'!W42,"")</f>
        <v/>
      </c>
      <c r="I40" s="45" t="str">
        <f>IFERROR(Q40*MIN(Table_Measure_Caps[[#Totals],[Estimated Raw Incentive Total]], Table_Measure_Caps[[#Totals],[Gross Measure Cost Total]], Value_Project_CAP)/Table_Measure_Caps[[#Totals],[Estimated Raw Incentive Total]], "")</f>
        <v/>
      </c>
      <c r="J40" s="45">
        <f>'Input Prescr. Lighting Measures'!R42*'Input Prescr. Lighting Measures'!M42</f>
        <v>0</v>
      </c>
      <c r="K40" s="14">
        <f>'Input Prescr. Lighting Measures'!S42</f>
        <v>0</v>
      </c>
      <c r="L40" s="15" t="e">
        <f>'Input Prescr. Lighting Measures'!AG42</f>
        <v>#N/A</v>
      </c>
      <c r="M40" s="15" t="str">
        <f>IF(ISNUMBER($D40)=TRUE,'Input Prescr. Lighting Measures'!K42,"")</f>
        <v/>
      </c>
      <c r="N40" s="15" t="str">
        <f>IF(ISNUMBER($D40)=TRUE,'Input Prescr. Lighting Measures'!N42,"")</f>
        <v/>
      </c>
      <c r="O40" s="31" t="str">
        <f t="shared" si="1"/>
        <v>Version 4.1 - 2026</v>
      </c>
      <c r="P40" s="89" t="str">
        <f>IF(ISNUMBER($D40)=TRUE,'Input Prescr. Lighting Measures'!F42,"")</f>
        <v/>
      </c>
      <c r="Q40" s="42" t="str">
        <f>'Input Prescr. Lighting Measures'!U42</f>
        <v/>
      </c>
    </row>
    <row r="41" spans="1:17" x14ac:dyDescent="0.2">
      <c r="A41" s="15" t="s">
        <v>6238</v>
      </c>
      <c r="B41" s="14">
        <f t="shared" si="0"/>
        <v>0</v>
      </c>
      <c r="C41" s="14">
        <f>'Input Prescr. Lighting Measures'!B43</f>
        <v>39</v>
      </c>
      <c r="D41" s="14" t="str">
        <f>'Input Prescr. Lighting Measures'!C43</f>
        <v/>
      </c>
      <c r="E41" s="14" t="str">
        <f>'Input Prescr. Lighting Measures'!G43</f>
        <v/>
      </c>
      <c r="F41" s="14" t="str">
        <f>IF(ISNUMBER($D41)=TRUE,'Input Prescr. Lighting Measures'!AX43,"")</f>
        <v/>
      </c>
      <c r="G41" s="14" t="str">
        <f>IF(ISNUMBER($D41)=TRUE,'Input Prescr. Lighting Measures'!V43,"")</f>
        <v/>
      </c>
      <c r="H41" s="104" t="str">
        <f>IF(ISNUMBER($D41)=TRUE,'Input Prescr. Lighting Measures'!W43,"")</f>
        <v/>
      </c>
      <c r="I41" s="45" t="str">
        <f>IFERROR(Q41*MIN(Table_Measure_Caps[[#Totals],[Estimated Raw Incentive Total]], Table_Measure_Caps[[#Totals],[Gross Measure Cost Total]], Value_Project_CAP)/Table_Measure_Caps[[#Totals],[Estimated Raw Incentive Total]], "")</f>
        <v/>
      </c>
      <c r="J41" s="45">
        <f>'Input Prescr. Lighting Measures'!R43*'Input Prescr. Lighting Measures'!M43</f>
        <v>0</v>
      </c>
      <c r="K41" s="14">
        <f>'Input Prescr. Lighting Measures'!S43</f>
        <v>0</v>
      </c>
      <c r="L41" s="15" t="e">
        <f>'Input Prescr. Lighting Measures'!AG43</f>
        <v>#N/A</v>
      </c>
      <c r="M41" s="15" t="str">
        <f>IF(ISNUMBER($D41)=TRUE,'Input Prescr. Lighting Measures'!K43,"")</f>
        <v/>
      </c>
      <c r="N41" s="15" t="str">
        <f>IF(ISNUMBER($D41)=TRUE,'Input Prescr. Lighting Measures'!N43,"")</f>
        <v/>
      </c>
      <c r="O41" s="31" t="str">
        <f t="shared" si="1"/>
        <v>Version 4.1 - 2026</v>
      </c>
      <c r="P41" s="89" t="str">
        <f>IF(ISNUMBER($D41)=TRUE,'Input Prescr. Lighting Measures'!F43,"")</f>
        <v/>
      </c>
      <c r="Q41" s="42" t="str">
        <f>'Input Prescr. Lighting Measures'!U43</f>
        <v/>
      </c>
    </row>
    <row r="42" spans="1:17" x14ac:dyDescent="0.2">
      <c r="A42" s="15" t="s">
        <v>6238</v>
      </c>
      <c r="B42" s="14">
        <f t="shared" si="0"/>
        <v>0</v>
      </c>
      <c r="C42" s="14">
        <f>'Input Prescr. Lighting Measures'!B44</f>
        <v>40</v>
      </c>
      <c r="D42" s="14" t="str">
        <f>'Input Prescr. Lighting Measures'!C44</f>
        <v/>
      </c>
      <c r="E42" s="14" t="str">
        <f>'Input Prescr. Lighting Measures'!G44</f>
        <v/>
      </c>
      <c r="F42" s="14" t="str">
        <f>IF(ISNUMBER($D42)=TRUE,'Input Prescr. Lighting Measures'!AX44,"")</f>
        <v/>
      </c>
      <c r="G42" s="14" t="str">
        <f>IF(ISNUMBER($D42)=TRUE,'Input Prescr. Lighting Measures'!V44,"")</f>
        <v/>
      </c>
      <c r="H42" s="104" t="str">
        <f>IF(ISNUMBER($D42)=TRUE,'Input Prescr. Lighting Measures'!W44,"")</f>
        <v/>
      </c>
      <c r="I42" s="45" t="str">
        <f>IFERROR(Q42*MIN(Table_Measure_Caps[[#Totals],[Estimated Raw Incentive Total]], Table_Measure_Caps[[#Totals],[Gross Measure Cost Total]], Value_Project_CAP)/Table_Measure_Caps[[#Totals],[Estimated Raw Incentive Total]], "")</f>
        <v/>
      </c>
      <c r="J42" s="45">
        <f>'Input Prescr. Lighting Measures'!R44*'Input Prescr. Lighting Measures'!M44</f>
        <v>0</v>
      </c>
      <c r="K42" s="14">
        <f>'Input Prescr. Lighting Measures'!S44</f>
        <v>0</v>
      </c>
      <c r="L42" s="15" t="e">
        <f>'Input Prescr. Lighting Measures'!AG44</f>
        <v>#N/A</v>
      </c>
      <c r="M42" s="15" t="str">
        <f>IF(ISNUMBER($D42)=TRUE,'Input Prescr. Lighting Measures'!K44,"")</f>
        <v/>
      </c>
      <c r="N42" s="15" t="str">
        <f>IF(ISNUMBER($D42)=TRUE,'Input Prescr. Lighting Measures'!N44,"")</f>
        <v/>
      </c>
      <c r="O42" s="31" t="str">
        <f t="shared" si="1"/>
        <v>Version 4.1 - 2026</v>
      </c>
      <c r="P42" s="89" t="str">
        <f>IF(ISNUMBER($D42)=TRUE,'Input Prescr. Lighting Measures'!F44,"")</f>
        <v/>
      </c>
      <c r="Q42" s="42" t="str">
        <f>'Input Prescr. Lighting Measures'!U44</f>
        <v/>
      </c>
    </row>
    <row r="43" spans="1:17" x14ac:dyDescent="0.2">
      <c r="A43" s="15" t="s">
        <v>6238</v>
      </c>
      <c r="B43" s="14">
        <f t="shared" si="0"/>
        <v>0</v>
      </c>
      <c r="C43" s="14">
        <f>'Input Prescr. Lighting Measures'!B45</f>
        <v>41</v>
      </c>
      <c r="D43" s="14" t="str">
        <f>'Input Prescr. Lighting Measures'!C45</f>
        <v/>
      </c>
      <c r="E43" s="14" t="str">
        <f>'Input Prescr. Lighting Measures'!G45</f>
        <v/>
      </c>
      <c r="F43" s="14" t="str">
        <f>IF(ISNUMBER($D43)=TRUE,'Input Prescr. Lighting Measures'!AX45,"")</f>
        <v/>
      </c>
      <c r="G43" s="14" t="str">
        <f>IF(ISNUMBER($D43)=TRUE,'Input Prescr. Lighting Measures'!V45,"")</f>
        <v/>
      </c>
      <c r="H43" s="104" t="str">
        <f>IF(ISNUMBER($D43)=TRUE,'Input Prescr. Lighting Measures'!W45,"")</f>
        <v/>
      </c>
      <c r="I43" s="45" t="str">
        <f>IFERROR(Q43*MIN(Table_Measure_Caps[[#Totals],[Estimated Raw Incentive Total]], Table_Measure_Caps[[#Totals],[Gross Measure Cost Total]], Value_Project_CAP)/Table_Measure_Caps[[#Totals],[Estimated Raw Incentive Total]], "")</f>
        <v/>
      </c>
      <c r="J43" s="45">
        <f>'Input Prescr. Lighting Measures'!R45*'Input Prescr. Lighting Measures'!M45</f>
        <v>0</v>
      </c>
      <c r="K43" s="14">
        <f>'Input Prescr. Lighting Measures'!S45</f>
        <v>0</v>
      </c>
      <c r="L43" s="15" t="e">
        <f>'Input Prescr. Lighting Measures'!AG45</f>
        <v>#N/A</v>
      </c>
      <c r="M43" s="15" t="str">
        <f>IF(ISNUMBER($D43)=TRUE,'Input Prescr. Lighting Measures'!K45,"")</f>
        <v/>
      </c>
      <c r="N43" s="15" t="str">
        <f>IF(ISNUMBER($D43)=TRUE,'Input Prescr. Lighting Measures'!N45,"")</f>
        <v/>
      </c>
      <c r="O43" s="31" t="str">
        <f t="shared" si="1"/>
        <v>Version 4.1 - 2026</v>
      </c>
      <c r="P43" s="89" t="str">
        <f>IF(ISNUMBER($D43)=TRUE,'Input Prescr. Lighting Measures'!F45,"")</f>
        <v/>
      </c>
      <c r="Q43" s="42" t="str">
        <f>'Input Prescr. Lighting Measures'!U45</f>
        <v/>
      </c>
    </row>
    <row r="44" spans="1:17" x14ac:dyDescent="0.2">
      <c r="A44" s="15" t="s">
        <v>6238</v>
      </c>
      <c r="B44" s="14">
        <f t="shared" si="0"/>
        <v>0</v>
      </c>
      <c r="C44" s="14">
        <f>'Input Prescr. Lighting Measures'!B46</f>
        <v>42</v>
      </c>
      <c r="D44" s="14" t="str">
        <f>'Input Prescr. Lighting Measures'!C46</f>
        <v/>
      </c>
      <c r="E44" s="14" t="str">
        <f>'Input Prescr. Lighting Measures'!G46</f>
        <v/>
      </c>
      <c r="F44" s="14" t="str">
        <f>IF(ISNUMBER($D44)=TRUE,'Input Prescr. Lighting Measures'!AX46,"")</f>
        <v/>
      </c>
      <c r="G44" s="14" t="str">
        <f>IF(ISNUMBER($D44)=TRUE,'Input Prescr. Lighting Measures'!V46,"")</f>
        <v/>
      </c>
      <c r="H44" s="104" t="str">
        <f>IF(ISNUMBER($D44)=TRUE,'Input Prescr. Lighting Measures'!W46,"")</f>
        <v/>
      </c>
      <c r="I44" s="45" t="str">
        <f>IFERROR(Q44*MIN(Table_Measure_Caps[[#Totals],[Estimated Raw Incentive Total]], Table_Measure_Caps[[#Totals],[Gross Measure Cost Total]], Value_Project_CAP)/Table_Measure_Caps[[#Totals],[Estimated Raw Incentive Total]], "")</f>
        <v/>
      </c>
      <c r="J44" s="45">
        <f>'Input Prescr. Lighting Measures'!R46*'Input Prescr. Lighting Measures'!M46</f>
        <v>0</v>
      </c>
      <c r="K44" s="14">
        <f>'Input Prescr. Lighting Measures'!S46</f>
        <v>0</v>
      </c>
      <c r="L44" s="15" t="e">
        <f>'Input Prescr. Lighting Measures'!AG46</f>
        <v>#N/A</v>
      </c>
      <c r="M44" s="15" t="str">
        <f>IF(ISNUMBER($D44)=TRUE,'Input Prescr. Lighting Measures'!K46,"")</f>
        <v/>
      </c>
      <c r="N44" s="15" t="str">
        <f>IF(ISNUMBER($D44)=TRUE,'Input Prescr. Lighting Measures'!N46,"")</f>
        <v/>
      </c>
      <c r="O44" s="31" t="str">
        <f t="shared" si="1"/>
        <v>Version 4.1 - 2026</v>
      </c>
      <c r="P44" s="89" t="str">
        <f>IF(ISNUMBER($D44)=TRUE,'Input Prescr. Lighting Measures'!F46,"")</f>
        <v/>
      </c>
      <c r="Q44" s="42" t="str">
        <f>'Input Prescr. Lighting Measures'!U46</f>
        <v/>
      </c>
    </row>
    <row r="45" spans="1:17" x14ac:dyDescent="0.2">
      <c r="A45" s="15" t="s">
        <v>6238</v>
      </c>
      <c r="B45" s="14">
        <f t="shared" si="0"/>
        <v>0</v>
      </c>
      <c r="C45" s="14">
        <f>'Input Prescr. Lighting Measures'!B47</f>
        <v>43</v>
      </c>
      <c r="D45" s="14" t="str">
        <f>'Input Prescr. Lighting Measures'!C47</f>
        <v/>
      </c>
      <c r="E45" s="14" t="str">
        <f>'Input Prescr. Lighting Measures'!G47</f>
        <v/>
      </c>
      <c r="F45" s="14" t="str">
        <f>IF(ISNUMBER($D45)=TRUE,'Input Prescr. Lighting Measures'!AX47,"")</f>
        <v/>
      </c>
      <c r="G45" s="14" t="str">
        <f>IF(ISNUMBER($D45)=TRUE,'Input Prescr. Lighting Measures'!V47,"")</f>
        <v/>
      </c>
      <c r="H45" s="104" t="str">
        <f>IF(ISNUMBER($D45)=TRUE,'Input Prescr. Lighting Measures'!W47,"")</f>
        <v/>
      </c>
      <c r="I45" s="45" t="str">
        <f>IFERROR(Q45*MIN(Table_Measure_Caps[[#Totals],[Estimated Raw Incentive Total]], Table_Measure_Caps[[#Totals],[Gross Measure Cost Total]], Value_Project_CAP)/Table_Measure_Caps[[#Totals],[Estimated Raw Incentive Total]], "")</f>
        <v/>
      </c>
      <c r="J45" s="45">
        <f>'Input Prescr. Lighting Measures'!R47*'Input Prescr. Lighting Measures'!M47</f>
        <v>0</v>
      </c>
      <c r="K45" s="14">
        <f>'Input Prescr. Lighting Measures'!S47</f>
        <v>0</v>
      </c>
      <c r="L45" s="15" t="e">
        <f>'Input Prescr. Lighting Measures'!AG47</f>
        <v>#N/A</v>
      </c>
      <c r="M45" s="15" t="str">
        <f>IF(ISNUMBER($D45)=TRUE,'Input Prescr. Lighting Measures'!K47,"")</f>
        <v/>
      </c>
      <c r="N45" s="15" t="str">
        <f>IF(ISNUMBER($D45)=TRUE,'Input Prescr. Lighting Measures'!N47,"")</f>
        <v/>
      </c>
      <c r="O45" s="31" t="str">
        <f t="shared" si="1"/>
        <v>Version 4.1 - 2026</v>
      </c>
      <c r="P45" s="89" t="str">
        <f>IF(ISNUMBER($D45)=TRUE,'Input Prescr. Lighting Measures'!F47,"")</f>
        <v/>
      </c>
      <c r="Q45" s="42" t="str">
        <f>'Input Prescr. Lighting Measures'!U47</f>
        <v/>
      </c>
    </row>
    <row r="46" spans="1:17" x14ac:dyDescent="0.2">
      <c r="A46" s="15" t="s">
        <v>6238</v>
      </c>
      <c r="B46" s="14">
        <f t="shared" si="0"/>
        <v>0</v>
      </c>
      <c r="C46" s="14">
        <f>'Input Prescr. Lighting Measures'!B48</f>
        <v>44</v>
      </c>
      <c r="D46" s="14" t="str">
        <f>'Input Prescr. Lighting Measures'!C48</f>
        <v/>
      </c>
      <c r="E46" s="14" t="str">
        <f>'Input Prescr. Lighting Measures'!G48</f>
        <v/>
      </c>
      <c r="F46" s="14" t="str">
        <f>IF(ISNUMBER($D46)=TRUE,'Input Prescr. Lighting Measures'!AX48,"")</f>
        <v/>
      </c>
      <c r="G46" s="14" t="str">
        <f>IF(ISNUMBER($D46)=TRUE,'Input Prescr. Lighting Measures'!V48,"")</f>
        <v/>
      </c>
      <c r="H46" s="104" t="str">
        <f>IF(ISNUMBER($D46)=TRUE,'Input Prescr. Lighting Measures'!W48,"")</f>
        <v/>
      </c>
      <c r="I46" s="45" t="str">
        <f>IFERROR(Q46*MIN(Table_Measure_Caps[[#Totals],[Estimated Raw Incentive Total]], Table_Measure_Caps[[#Totals],[Gross Measure Cost Total]], Value_Project_CAP)/Table_Measure_Caps[[#Totals],[Estimated Raw Incentive Total]], "")</f>
        <v/>
      </c>
      <c r="J46" s="45">
        <f>'Input Prescr. Lighting Measures'!R48*'Input Prescr. Lighting Measures'!M48</f>
        <v>0</v>
      </c>
      <c r="K46" s="14">
        <f>'Input Prescr. Lighting Measures'!S48</f>
        <v>0</v>
      </c>
      <c r="L46" s="15" t="e">
        <f>'Input Prescr. Lighting Measures'!AG48</f>
        <v>#N/A</v>
      </c>
      <c r="M46" s="15" t="str">
        <f>IF(ISNUMBER($D46)=TRUE,'Input Prescr. Lighting Measures'!K48,"")</f>
        <v/>
      </c>
      <c r="N46" s="15" t="str">
        <f>IF(ISNUMBER($D46)=TRUE,'Input Prescr. Lighting Measures'!N48,"")</f>
        <v/>
      </c>
      <c r="O46" s="31" t="str">
        <f t="shared" si="1"/>
        <v>Version 4.1 - 2026</v>
      </c>
      <c r="P46" s="89" t="str">
        <f>IF(ISNUMBER($D46)=TRUE,'Input Prescr. Lighting Measures'!F48,"")</f>
        <v/>
      </c>
      <c r="Q46" s="42" t="str">
        <f>'Input Prescr. Lighting Measures'!U48</f>
        <v/>
      </c>
    </row>
    <row r="47" spans="1:17" x14ac:dyDescent="0.2">
      <c r="A47" s="15" t="s">
        <v>6238</v>
      </c>
      <c r="B47" s="14">
        <f t="shared" si="0"/>
        <v>0</v>
      </c>
      <c r="C47" s="14">
        <f>'Input Prescr. Lighting Measures'!B49</f>
        <v>45</v>
      </c>
      <c r="D47" s="14" t="str">
        <f>'Input Prescr. Lighting Measures'!C49</f>
        <v/>
      </c>
      <c r="E47" s="14" t="str">
        <f>'Input Prescr. Lighting Measures'!G49</f>
        <v/>
      </c>
      <c r="F47" s="14" t="str">
        <f>IF(ISNUMBER($D47)=TRUE,'Input Prescr. Lighting Measures'!AX49,"")</f>
        <v/>
      </c>
      <c r="G47" s="14" t="str">
        <f>IF(ISNUMBER($D47)=TRUE,'Input Prescr. Lighting Measures'!V49,"")</f>
        <v/>
      </c>
      <c r="H47" s="104" t="str">
        <f>IF(ISNUMBER($D47)=TRUE,'Input Prescr. Lighting Measures'!W49,"")</f>
        <v/>
      </c>
      <c r="I47" s="45" t="str">
        <f>IFERROR(Q47*MIN(Table_Measure_Caps[[#Totals],[Estimated Raw Incentive Total]], Table_Measure_Caps[[#Totals],[Gross Measure Cost Total]], Value_Project_CAP)/Table_Measure_Caps[[#Totals],[Estimated Raw Incentive Total]], "")</f>
        <v/>
      </c>
      <c r="J47" s="45">
        <f>'Input Prescr. Lighting Measures'!R49*'Input Prescr. Lighting Measures'!M49</f>
        <v>0</v>
      </c>
      <c r="K47" s="14">
        <f>'Input Prescr. Lighting Measures'!S49</f>
        <v>0</v>
      </c>
      <c r="L47" s="15" t="e">
        <f>'Input Prescr. Lighting Measures'!AG49</f>
        <v>#N/A</v>
      </c>
      <c r="M47" s="15" t="str">
        <f>IF(ISNUMBER($D47)=TRUE,'Input Prescr. Lighting Measures'!K49,"")</f>
        <v/>
      </c>
      <c r="N47" s="15" t="str">
        <f>IF(ISNUMBER($D47)=TRUE,'Input Prescr. Lighting Measures'!N49,"")</f>
        <v/>
      </c>
      <c r="O47" s="31" t="str">
        <f t="shared" si="1"/>
        <v>Version 4.1 - 2026</v>
      </c>
      <c r="P47" s="89" t="str">
        <f>IF(ISNUMBER($D47)=TRUE,'Input Prescr. Lighting Measures'!F49,"")</f>
        <v/>
      </c>
      <c r="Q47" s="42" t="str">
        <f>'Input Prescr. Lighting Measures'!U49</f>
        <v/>
      </c>
    </row>
    <row r="48" spans="1:17" x14ac:dyDescent="0.2">
      <c r="A48" s="15" t="s">
        <v>6238</v>
      </c>
      <c r="B48" s="14">
        <f t="shared" si="0"/>
        <v>0</v>
      </c>
      <c r="C48" s="14">
        <f>'Input Prescr. Lighting Measures'!B50</f>
        <v>46</v>
      </c>
      <c r="D48" s="14" t="str">
        <f>'Input Prescr. Lighting Measures'!C50</f>
        <v/>
      </c>
      <c r="E48" s="14" t="str">
        <f>'Input Prescr. Lighting Measures'!G50</f>
        <v/>
      </c>
      <c r="F48" s="14" t="str">
        <f>IF(ISNUMBER($D48)=TRUE,'Input Prescr. Lighting Measures'!AX50,"")</f>
        <v/>
      </c>
      <c r="G48" s="14" t="str">
        <f>IF(ISNUMBER($D48)=TRUE,'Input Prescr. Lighting Measures'!V50,"")</f>
        <v/>
      </c>
      <c r="H48" s="104" t="str">
        <f>IF(ISNUMBER($D48)=TRUE,'Input Prescr. Lighting Measures'!W50,"")</f>
        <v/>
      </c>
      <c r="I48" s="45" t="str">
        <f>IFERROR(Q48*MIN(Table_Measure_Caps[[#Totals],[Estimated Raw Incentive Total]], Table_Measure_Caps[[#Totals],[Gross Measure Cost Total]], Value_Project_CAP)/Table_Measure_Caps[[#Totals],[Estimated Raw Incentive Total]], "")</f>
        <v/>
      </c>
      <c r="J48" s="45">
        <f>'Input Prescr. Lighting Measures'!R50*'Input Prescr. Lighting Measures'!M50</f>
        <v>0</v>
      </c>
      <c r="K48" s="14">
        <f>'Input Prescr. Lighting Measures'!S50</f>
        <v>0</v>
      </c>
      <c r="L48" s="15" t="e">
        <f>'Input Prescr. Lighting Measures'!AG50</f>
        <v>#N/A</v>
      </c>
      <c r="M48" s="15" t="str">
        <f>IF(ISNUMBER($D48)=TRUE,'Input Prescr. Lighting Measures'!K50,"")</f>
        <v/>
      </c>
      <c r="N48" s="15" t="str">
        <f>IF(ISNUMBER($D48)=TRUE,'Input Prescr. Lighting Measures'!N50,"")</f>
        <v/>
      </c>
      <c r="O48" s="31" t="str">
        <f t="shared" si="1"/>
        <v>Version 4.1 - 2026</v>
      </c>
      <c r="P48" s="89" t="str">
        <f>IF(ISNUMBER($D48)=TRUE,'Input Prescr. Lighting Measures'!F50,"")</f>
        <v/>
      </c>
      <c r="Q48" s="42" t="str">
        <f>'Input Prescr. Lighting Measures'!U50</f>
        <v/>
      </c>
    </row>
    <row r="49" spans="1:17" x14ac:dyDescent="0.2">
      <c r="A49" s="15" t="s">
        <v>6238</v>
      </c>
      <c r="B49" s="14">
        <f t="shared" si="0"/>
        <v>0</v>
      </c>
      <c r="C49" s="14">
        <f>'Input Prescr. Lighting Measures'!B51</f>
        <v>47</v>
      </c>
      <c r="D49" s="14" t="str">
        <f>'Input Prescr. Lighting Measures'!C51</f>
        <v/>
      </c>
      <c r="E49" s="14" t="str">
        <f>'Input Prescr. Lighting Measures'!G51</f>
        <v/>
      </c>
      <c r="F49" s="14" t="str">
        <f>IF(ISNUMBER($D49)=TRUE,'Input Prescr. Lighting Measures'!AX51,"")</f>
        <v/>
      </c>
      <c r="G49" s="14" t="str">
        <f>IF(ISNUMBER($D49)=TRUE,'Input Prescr. Lighting Measures'!V51,"")</f>
        <v/>
      </c>
      <c r="H49" s="104" t="str">
        <f>IF(ISNUMBER($D49)=TRUE,'Input Prescr. Lighting Measures'!W51,"")</f>
        <v/>
      </c>
      <c r="I49" s="45" t="str">
        <f>IFERROR(Q49*MIN(Table_Measure_Caps[[#Totals],[Estimated Raw Incentive Total]], Table_Measure_Caps[[#Totals],[Gross Measure Cost Total]], Value_Project_CAP)/Table_Measure_Caps[[#Totals],[Estimated Raw Incentive Total]], "")</f>
        <v/>
      </c>
      <c r="J49" s="45">
        <f>'Input Prescr. Lighting Measures'!R51*'Input Prescr. Lighting Measures'!M51</f>
        <v>0</v>
      </c>
      <c r="K49" s="14">
        <f>'Input Prescr. Lighting Measures'!S51</f>
        <v>0</v>
      </c>
      <c r="L49" s="15" t="e">
        <f>'Input Prescr. Lighting Measures'!AG51</f>
        <v>#N/A</v>
      </c>
      <c r="M49" s="15" t="str">
        <f>IF(ISNUMBER($D49)=TRUE,'Input Prescr. Lighting Measures'!K51,"")</f>
        <v/>
      </c>
      <c r="N49" s="15" t="str">
        <f>IF(ISNUMBER($D49)=TRUE,'Input Prescr. Lighting Measures'!N51,"")</f>
        <v/>
      </c>
      <c r="O49" s="31" t="str">
        <f t="shared" si="1"/>
        <v>Version 4.1 - 2026</v>
      </c>
      <c r="P49" s="89" t="str">
        <f>IF(ISNUMBER($D49)=TRUE,'Input Prescr. Lighting Measures'!F51,"")</f>
        <v/>
      </c>
      <c r="Q49" s="42" t="str">
        <f>'Input Prescr. Lighting Measures'!U51</f>
        <v/>
      </c>
    </row>
    <row r="50" spans="1:17" x14ac:dyDescent="0.2">
      <c r="A50" s="15" t="s">
        <v>6238</v>
      </c>
      <c r="B50" s="14">
        <f t="shared" si="0"/>
        <v>0</v>
      </c>
      <c r="C50" s="14">
        <f>'Input Prescr. Lighting Measures'!B52</f>
        <v>48</v>
      </c>
      <c r="D50" s="14" t="str">
        <f>'Input Prescr. Lighting Measures'!C52</f>
        <v/>
      </c>
      <c r="E50" s="14" t="str">
        <f>'Input Prescr. Lighting Measures'!G52</f>
        <v/>
      </c>
      <c r="F50" s="14" t="str">
        <f>IF(ISNUMBER($D50)=TRUE,'Input Prescr. Lighting Measures'!AX52,"")</f>
        <v/>
      </c>
      <c r="G50" s="14" t="str">
        <f>IF(ISNUMBER($D50)=TRUE,'Input Prescr. Lighting Measures'!V52,"")</f>
        <v/>
      </c>
      <c r="H50" s="104" t="str">
        <f>IF(ISNUMBER($D50)=TRUE,'Input Prescr. Lighting Measures'!W52,"")</f>
        <v/>
      </c>
      <c r="I50" s="45" t="str">
        <f>IFERROR(Q50*MIN(Table_Measure_Caps[[#Totals],[Estimated Raw Incentive Total]], Table_Measure_Caps[[#Totals],[Gross Measure Cost Total]], Value_Project_CAP)/Table_Measure_Caps[[#Totals],[Estimated Raw Incentive Total]], "")</f>
        <v/>
      </c>
      <c r="J50" s="45">
        <f>'Input Prescr. Lighting Measures'!R52*'Input Prescr. Lighting Measures'!M52</f>
        <v>0</v>
      </c>
      <c r="K50" s="14">
        <f>'Input Prescr. Lighting Measures'!S52</f>
        <v>0</v>
      </c>
      <c r="L50" s="15" t="e">
        <f>'Input Prescr. Lighting Measures'!AG52</f>
        <v>#N/A</v>
      </c>
      <c r="M50" s="15" t="str">
        <f>IF(ISNUMBER($D50)=TRUE,'Input Prescr. Lighting Measures'!K52,"")</f>
        <v/>
      </c>
      <c r="N50" s="15" t="str">
        <f>IF(ISNUMBER($D50)=TRUE,'Input Prescr. Lighting Measures'!N52,"")</f>
        <v/>
      </c>
      <c r="O50" s="31" t="str">
        <f t="shared" si="1"/>
        <v>Version 4.1 - 2026</v>
      </c>
      <c r="P50" s="89" t="str">
        <f>IF(ISNUMBER($D50)=TRUE,'Input Prescr. Lighting Measures'!F52,"")</f>
        <v/>
      </c>
      <c r="Q50" s="42" t="str">
        <f>'Input Prescr. Lighting Measures'!U52</f>
        <v/>
      </c>
    </row>
    <row r="51" spans="1:17" x14ac:dyDescent="0.2">
      <c r="A51" s="15" t="s">
        <v>6238</v>
      </c>
      <c r="B51" s="14">
        <f t="shared" si="0"/>
        <v>0</v>
      </c>
      <c r="C51" s="14">
        <f>'Input Prescr. Lighting Measures'!B53</f>
        <v>49</v>
      </c>
      <c r="D51" s="14" t="str">
        <f>'Input Prescr. Lighting Measures'!C53</f>
        <v/>
      </c>
      <c r="E51" s="14" t="str">
        <f>'Input Prescr. Lighting Measures'!G53</f>
        <v/>
      </c>
      <c r="F51" s="14" t="str">
        <f>IF(ISNUMBER($D51)=TRUE,'Input Prescr. Lighting Measures'!AX53,"")</f>
        <v/>
      </c>
      <c r="G51" s="14" t="str">
        <f>IF(ISNUMBER($D51)=TRUE,'Input Prescr. Lighting Measures'!V53,"")</f>
        <v/>
      </c>
      <c r="H51" s="104" t="str">
        <f>IF(ISNUMBER($D51)=TRUE,'Input Prescr. Lighting Measures'!W53,"")</f>
        <v/>
      </c>
      <c r="I51" s="45" t="str">
        <f>IFERROR(Q51*MIN(Table_Measure_Caps[[#Totals],[Estimated Raw Incentive Total]], Table_Measure_Caps[[#Totals],[Gross Measure Cost Total]], Value_Project_CAP)/Table_Measure_Caps[[#Totals],[Estimated Raw Incentive Total]], "")</f>
        <v/>
      </c>
      <c r="J51" s="45">
        <f>'Input Prescr. Lighting Measures'!R53*'Input Prescr. Lighting Measures'!M53</f>
        <v>0</v>
      </c>
      <c r="K51" s="14">
        <f>'Input Prescr. Lighting Measures'!S53</f>
        <v>0</v>
      </c>
      <c r="L51" s="15" t="e">
        <f>'Input Prescr. Lighting Measures'!AG53</f>
        <v>#N/A</v>
      </c>
      <c r="M51" s="15" t="str">
        <f>IF(ISNUMBER($D51)=TRUE,'Input Prescr. Lighting Measures'!K53,"")</f>
        <v/>
      </c>
      <c r="N51" s="15" t="str">
        <f>IF(ISNUMBER($D51)=TRUE,'Input Prescr. Lighting Measures'!N53,"")</f>
        <v/>
      </c>
      <c r="O51" s="31" t="str">
        <f t="shared" si="1"/>
        <v>Version 4.1 - 2026</v>
      </c>
      <c r="P51" s="89" t="str">
        <f>IF(ISNUMBER($D51)=TRUE,'Input Prescr. Lighting Measures'!F53,"")</f>
        <v/>
      </c>
      <c r="Q51" s="42" t="str">
        <f>'Input Prescr. Lighting Measures'!U53</f>
        <v/>
      </c>
    </row>
    <row r="52" spans="1:17" x14ac:dyDescent="0.2">
      <c r="A52" s="15" t="s">
        <v>6238</v>
      </c>
      <c r="B52" s="14">
        <f t="shared" si="0"/>
        <v>0</v>
      </c>
      <c r="C52" s="14">
        <f>'Input Prescr. Lighting Measures'!B54</f>
        <v>50</v>
      </c>
      <c r="D52" s="14" t="str">
        <f>'Input Prescr. Lighting Measures'!C54</f>
        <v/>
      </c>
      <c r="E52" s="14" t="str">
        <f>'Input Prescr. Lighting Measures'!G54</f>
        <v/>
      </c>
      <c r="F52" s="14" t="str">
        <f>IF(ISNUMBER($D52)=TRUE,'Input Prescr. Lighting Measures'!AX54,"")</f>
        <v/>
      </c>
      <c r="G52" s="14" t="str">
        <f>IF(ISNUMBER($D52)=TRUE,'Input Prescr. Lighting Measures'!V54,"")</f>
        <v/>
      </c>
      <c r="H52" s="104" t="str">
        <f>IF(ISNUMBER($D52)=TRUE,'Input Prescr. Lighting Measures'!W54,"")</f>
        <v/>
      </c>
      <c r="I52" s="45" t="str">
        <f>IFERROR(Q52*MIN(Table_Measure_Caps[[#Totals],[Estimated Raw Incentive Total]], Table_Measure_Caps[[#Totals],[Gross Measure Cost Total]], Value_Project_CAP)/Table_Measure_Caps[[#Totals],[Estimated Raw Incentive Total]], "")</f>
        <v/>
      </c>
      <c r="J52" s="45">
        <f>'Input Prescr. Lighting Measures'!R54*'Input Prescr. Lighting Measures'!M54</f>
        <v>0</v>
      </c>
      <c r="K52" s="14">
        <f>'Input Prescr. Lighting Measures'!S54</f>
        <v>0</v>
      </c>
      <c r="L52" s="15" t="e">
        <f>'Input Prescr. Lighting Measures'!AG54</f>
        <v>#N/A</v>
      </c>
      <c r="M52" s="15" t="str">
        <f>IF(ISNUMBER($D52)=TRUE,'Input Prescr. Lighting Measures'!K54,"")</f>
        <v/>
      </c>
      <c r="N52" s="15" t="str">
        <f>IF(ISNUMBER($D52)=TRUE,'Input Prescr. Lighting Measures'!N54,"")</f>
        <v/>
      </c>
      <c r="O52" s="31" t="str">
        <f t="shared" si="1"/>
        <v>Version 4.1 - 2026</v>
      </c>
      <c r="P52" s="89" t="str">
        <f>IF(ISNUMBER($D52)=TRUE,'Input Prescr. Lighting Measures'!F54,"")</f>
        <v/>
      </c>
      <c r="Q52" s="42" t="str">
        <f>'Input Prescr. Lighting Measures'!U54</f>
        <v/>
      </c>
    </row>
    <row r="53" spans="1:17" x14ac:dyDescent="0.2">
      <c r="A53" s="15" t="s">
        <v>6238</v>
      </c>
      <c r="B53" s="14">
        <f t="shared" si="0"/>
        <v>0</v>
      </c>
      <c r="C53" s="14">
        <f>'Input Prescr. Lighting Measures'!B55</f>
        <v>51</v>
      </c>
      <c r="D53" s="14" t="str">
        <f>'Input Prescr. Lighting Measures'!C55</f>
        <v/>
      </c>
      <c r="E53" s="14" t="str">
        <f>'Input Prescr. Lighting Measures'!G55</f>
        <v/>
      </c>
      <c r="F53" s="14" t="str">
        <f>IF(ISNUMBER($D53)=TRUE,'Input Prescr. Lighting Measures'!AX55,"")</f>
        <v/>
      </c>
      <c r="G53" s="14" t="str">
        <f>IF(ISNUMBER($D53)=TRUE,'Input Prescr. Lighting Measures'!V55,"")</f>
        <v/>
      </c>
      <c r="H53" s="104" t="str">
        <f>IF(ISNUMBER($D53)=TRUE,'Input Prescr. Lighting Measures'!W55,"")</f>
        <v/>
      </c>
      <c r="I53" s="45" t="str">
        <f>IFERROR(Q53*MIN(Table_Measure_Caps[[#Totals],[Estimated Raw Incentive Total]], Table_Measure_Caps[[#Totals],[Gross Measure Cost Total]], Value_Project_CAP)/Table_Measure_Caps[[#Totals],[Estimated Raw Incentive Total]], "")</f>
        <v/>
      </c>
      <c r="J53" s="45">
        <f>'Input Prescr. Lighting Measures'!R55*'Input Prescr. Lighting Measures'!M55</f>
        <v>0</v>
      </c>
      <c r="K53" s="14">
        <f>'Input Prescr. Lighting Measures'!S55</f>
        <v>0</v>
      </c>
      <c r="L53" s="15" t="e">
        <f>'Input Prescr. Lighting Measures'!AG55</f>
        <v>#N/A</v>
      </c>
      <c r="M53" s="15" t="str">
        <f>IF(ISNUMBER($D53)=TRUE,'Input Prescr. Lighting Measures'!K55,"")</f>
        <v/>
      </c>
      <c r="N53" s="15" t="str">
        <f>IF(ISNUMBER($D53)=TRUE,'Input Prescr. Lighting Measures'!N55,"")</f>
        <v/>
      </c>
      <c r="O53" s="31" t="str">
        <f t="shared" si="1"/>
        <v>Version 4.1 - 2026</v>
      </c>
      <c r="P53" s="89" t="str">
        <f>IF(ISNUMBER($D53)=TRUE,'Input Prescr. Lighting Measures'!F55,"")</f>
        <v/>
      </c>
      <c r="Q53" s="42" t="str">
        <f>'Input Prescr. Lighting Measures'!U55</f>
        <v/>
      </c>
    </row>
    <row r="54" spans="1:17" x14ac:dyDescent="0.2">
      <c r="A54" s="15" t="s">
        <v>6238</v>
      </c>
      <c r="B54" s="14">
        <f t="shared" si="0"/>
        <v>0</v>
      </c>
      <c r="C54" s="14">
        <f>'Input Prescr. Lighting Measures'!B56</f>
        <v>52</v>
      </c>
      <c r="D54" s="14" t="str">
        <f>'Input Prescr. Lighting Measures'!C56</f>
        <v/>
      </c>
      <c r="E54" s="14" t="str">
        <f>'Input Prescr. Lighting Measures'!G56</f>
        <v/>
      </c>
      <c r="F54" s="14" t="str">
        <f>IF(ISNUMBER($D54)=TRUE,'Input Prescr. Lighting Measures'!AX56,"")</f>
        <v/>
      </c>
      <c r="G54" s="14" t="str">
        <f>IF(ISNUMBER($D54)=TRUE,'Input Prescr. Lighting Measures'!V56,"")</f>
        <v/>
      </c>
      <c r="H54" s="104" t="str">
        <f>IF(ISNUMBER($D54)=TRUE,'Input Prescr. Lighting Measures'!W56,"")</f>
        <v/>
      </c>
      <c r="I54" s="45" t="str">
        <f>IFERROR(Q54*MIN(Table_Measure_Caps[[#Totals],[Estimated Raw Incentive Total]], Table_Measure_Caps[[#Totals],[Gross Measure Cost Total]], Value_Project_CAP)/Table_Measure_Caps[[#Totals],[Estimated Raw Incentive Total]], "")</f>
        <v/>
      </c>
      <c r="J54" s="45">
        <f>'Input Prescr. Lighting Measures'!R56*'Input Prescr. Lighting Measures'!M56</f>
        <v>0</v>
      </c>
      <c r="K54" s="14">
        <f>'Input Prescr. Lighting Measures'!S56</f>
        <v>0</v>
      </c>
      <c r="L54" s="15" t="e">
        <f>'Input Prescr. Lighting Measures'!AG56</f>
        <v>#N/A</v>
      </c>
      <c r="M54" s="15" t="str">
        <f>IF(ISNUMBER($D54)=TRUE,'Input Prescr. Lighting Measures'!K56,"")</f>
        <v/>
      </c>
      <c r="N54" s="15" t="str">
        <f>IF(ISNUMBER($D54)=TRUE,'Input Prescr. Lighting Measures'!N56,"")</f>
        <v/>
      </c>
      <c r="O54" s="31" t="str">
        <f t="shared" si="1"/>
        <v>Version 4.1 - 2026</v>
      </c>
      <c r="P54" s="89" t="str">
        <f>IF(ISNUMBER($D54)=TRUE,'Input Prescr. Lighting Measures'!F56,"")</f>
        <v/>
      </c>
      <c r="Q54" s="42" t="str">
        <f>'Input Prescr. Lighting Measures'!U56</f>
        <v/>
      </c>
    </row>
    <row r="55" spans="1:17" x14ac:dyDescent="0.2">
      <c r="A55" s="15" t="s">
        <v>6238</v>
      </c>
      <c r="B55" s="14">
        <f t="shared" si="0"/>
        <v>0</v>
      </c>
      <c r="C55" s="14">
        <f>'Input Prescr. Lighting Measures'!B57</f>
        <v>53</v>
      </c>
      <c r="D55" s="14" t="str">
        <f>'Input Prescr. Lighting Measures'!C57</f>
        <v/>
      </c>
      <c r="E55" s="14" t="str">
        <f>'Input Prescr. Lighting Measures'!G57</f>
        <v/>
      </c>
      <c r="F55" s="14" t="str">
        <f>IF(ISNUMBER($D55)=TRUE,'Input Prescr. Lighting Measures'!AX57,"")</f>
        <v/>
      </c>
      <c r="G55" s="14" t="str">
        <f>IF(ISNUMBER($D55)=TRUE,'Input Prescr. Lighting Measures'!V57,"")</f>
        <v/>
      </c>
      <c r="H55" s="104" t="str">
        <f>IF(ISNUMBER($D55)=TRUE,'Input Prescr. Lighting Measures'!W57,"")</f>
        <v/>
      </c>
      <c r="I55" s="45" t="str">
        <f>IFERROR(Q55*MIN(Table_Measure_Caps[[#Totals],[Estimated Raw Incentive Total]], Table_Measure_Caps[[#Totals],[Gross Measure Cost Total]], Value_Project_CAP)/Table_Measure_Caps[[#Totals],[Estimated Raw Incentive Total]], "")</f>
        <v/>
      </c>
      <c r="J55" s="45">
        <f>'Input Prescr. Lighting Measures'!R57*'Input Prescr. Lighting Measures'!M57</f>
        <v>0</v>
      </c>
      <c r="K55" s="14">
        <f>'Input Prescr. Lighting Measures'!S57</f>
        <v>0</v>
      </c>
      <c r="L55" s="15" t="e">
        <f>'Input Prescr. Lighting Measures'!AG57</f>
        <v>#N/A</v>
      </c>
      <c r="M55" s="15" t="str">
        <f>IF(ISNUMBER($D55)=TRUE,'Input Prescr. Lighting Measures'!K57,"")</f>
        <v/>
      </c>
      <c r="N55" s="15" t="str">
        <f>IF(ISNUMBER($D55)=TRUE,'Input Prescr. Lighting Measures'!N57,"")</f>
        <v/>
      </c>
      <c r="O55" s="31" t="str">
        <f t="shared" si="1"/>
        <v>Version 4.1 - 2026</v>
      </c>
      <c r="P55" s="89" t="str">
        <f>IF(ISNUMBER($D55)=TRUE,'Input Prescr. Lighting Measures'!F57,"")</f>
        <v/>
      </c>
      <c r="Q55" s="42" t="str">
        <f>'Input Prescr. Lighting Measures'!U57</f>
        <v/>
      </c>
    </row>
    <row r="56" spans="1:17" x14ac:dyDescent="0.2">
      <c r="A56" s="15" t="s">
        <v>6238</v>
      </c>
      <c r="B56" s="14">
        <f t="shared" si="0"/>
        <v>0</v>
      </c>
      <c r="C56" s="14">
        <f>'Input Prescr. Lighting Measures'!B58</f>
        <v>54</v>
      </c>
      <c r="D56" s="14" t="str">
        <f>'Input Prescr. Lighting Measures'!C58</f>
        <v/>
      </c>
      <c r="E56" s="14" t="str">
        <f>'Input Prescr. Lighting Measures'!G58</f>
        <v/>
      </c>
      <c r="F56" s="14" t="str">
        <f>IF(ISNUMBER($D56)=TRUE,'Input Prescr. Lighting Measures'!AX58,"")</f>
        <v/>
      </c>
      <c r="G56" s="14" t="str">
        <f>IF(ISNUMBER($D56)=TRUE,'Input Prescr. Lighting Measures'!V58,"")</f>
        <v/>
      </c>
      <c r="H56" s="104" t="str">
        <f>IF(ISNUMBER($D56)=TRUE,'Input Prescr. Lighting Measures'!W58,"")</f>
        <v/>
      </c>
      <c r="I56" s="45" t="str">
        <f>IFERROR(Q56*MIN(Table_Measure_Caps[[#Totals],[Estimated Raw Incentive Total]], Table_Measure_Caps[[#Totals],[Gross Measure Cost Total]], Value_Project_CAP)/Table_Measure_Caps[[#Totals],[Estimated Raw Incentive Total]], "")</f>
        <v/>
      </c>
      <c r="J56" s="45">
        <f>'Input Prescr. Lighting Measures'!R58*'Input Prescr. Lighting Measures'!M58</f>
        <v>0</v>
      </c>
      <c r="K56" s="14">
        <f>'Input Prescr. Lighting Measures'!S58</f>
        <v>0</v>
      </c>
      <c r="L56" s="15" t="e">
        <f>'Input Prescr. Lighting Measures'!AG58</f>
        <v>#N/A</v>
      </c>
      <c r="M56" s="15" t="str">
        <f>IF(ISNUMBER($D56)=TRUE,'Input Prescr. Lighting Measures'!K58,"")</f>
        <v/>
      </c>
      <c r="N56" s="15" t="str">
        <f>IF(ISNUMBER($D56)=TRUE,'Input Prescr. Lighting Measures'!N58,"")</f>
        <v/>
      </c>
      <c r="O56" s="31" t="str">
        <f t="shared" si="1"/>
        <v>Version 4.1 - 2026</v>
      </c>
      <c r="P56" s="89" t="str">
        <f>IF(ISNUMBER($D56)=TRUE,'Input Prescr. Lighting Measures'!F58,"")</f>
        <v/>
      </c>
      <c r="Q56" s="42" t="str">
        <f>'Input Prescr. Lighting Measures'!U58</f>
        <v/>
      </c>
    </row>
    <row r="57" spans="1:17" x14ac:dyDescent="0.2">
      <c r="A57" s="15" t="s">
        <v>6238</v>
      </c>
      <c r="B57" s="14">
        <f t="shared" si="0"/>
        <v>0</v>
      </c>
      <c r="C57" s="14">
        <f>'Input Prescr. Lighting Measures'!B59</f>
        <v>55</v>
      </c>
      <c r="D57" s="14" t="str">
        <f>'Input Prescr. Lighting Measures'!C59</f>
        <v/>
      </c>
      <c r="E57" s="14" t="str">
        <f>'Input Prescr. Lighting Measures'!G59</f>
        <v/>
      </c>
      <c r="F57" s="14" t="str">
        <f>IF(ISNUMBER($D57)=TRUE,'Input Prescr. Lighting Measures'!AX59,"")</f>
        <v/>
      </c>
      <c r="G57" s="14" t="str">
        <f>IF(ISNUMBER($D57)=TRUE,'Input Prescr. Lighting Measures'!V59,"")</f>
        <v/>
      </c>
      <c r="H57" s="104" t="str">
        <f>IF(ISNUMBER($D57)=TRUE,'Input Prescr. Lighting Measures'!W59,"")</f>
        <v/>
      </c>
      <c r="I57" s="45" t="str">
        <f>IFERROR(Q57*MIN(Table_Measure_Caps[[#Totals],[Estimated Raw Incentive Total]], Table_Measure_Caps[[#Totals],[Gross Measure Cost Total]], Value_Project_CAP)/Table_Measure_Caps[[#Totals],[Estimated Raw Incentive Total]], "")</f>
        <v/>
      </c>
      <c r="J57" s="45">
        <f>'Input Prescr. Lighting Measures'!R59*'Input Prescr. Lighting Measures'!M59</f>
        <v>0</v>
      </c>
      <c r="K57" s="14">
        <f>'Input Prescr. Lighting Measures'!S59</f>
        <v>0</v>
      </c>
      <c r="L57" s="15" t="e">
        <f>'Input Prescr. Lighting Measures'!AG59</f>
        <v>#N/A</v>
      </c>
      <c r="M57" s="15" t="str">
        <f>IF(ISNUMBER($D57)=TRUE,'Input Prescr. Lighting Measures'!K59,"")</f>
        <v/>
      </c>
      <c r="N57" s="15" t="str">
        <f>IF(ISNUMBER($D57)=TRUE,'Input Prescr. Lighting Measures'!N59,"")</f>
        <v/>
      </c>
      <c r="O57" s="31" t="str">
        <f t="shared" si="1"/>
        <v>Version 4.1 - 2026</v>
      </c>
      <c r="P57" s="89" t="str">
        <f>IF(ISNUMBER($D57)=TRUE,'Input Prescr. Lighting Measures'!F59,"")</f>
        <v/>
      </c>
      <c r="Q57" s="42" t="str">
        <f>'Input Prescr. Lighting Measures'!U59</f>
        <v/>
      </c>
    </row>
    <row r="58" spans="1:17" x14ac:dyDescent="0.2">
      <c r="A58" s="15" t="s">
        <v>6238</v>
      </c>
      <c r="B58" s="14">
        <f t="shared" si="0"/>
        <v>0</v>
      </c>
      <c r="C58" s="14">
        <f>'Input Prescr. Lighting Measures'!B60</f>
        <v>56</v>
      </c>
      <c r="D58" s="14" t="str">
        <f>'Input Prescr. Lighting Measures'!C60</f>
        <v/>
      </c>
      <c r="E58" s="14" t="str">
        <f>'Input Prescr. Lighting Measures'!G60</f>
        <v/>
      </c>
      <c r="F58" s="14" t="str">
        <f>IF(ISNUMBER($D58)=TRUE,'Input Prescr. Lighting Measures'!AX60,"")</f>
        <v/>
      </c>
      <c r="G58" s="14" t="str">
        <f>IF(ISNUMBER($D58)=TRUE,'Input Prescr. Lighting Measures'!V60,"")</f>
        <v/>
      </c>
      <c r="H58" s="104" t="str">
        <f>IF(ISNUMBER($D58)=TRUE,'Input Prescr. Lighting Measures'!W60,"")</f>
        <v/>
      </c>
      <c r="I58" s="45" t="str">
        <f>IFERROR(Q58*MIN(Table_Measure_Caps[[#Totals],[Estimated Raw Incentive Total]], Table_Measure_Caps[[#Totals],[Gross Measure Cost Total]], Value_Project_CAP)/Table_Measure_Caps[[#Totals],[Estimated Raw Incentive Total]], "")</f>
        <v/>
      </c>
      <c r="J58" s="45">
        <f>'Input Prescr. Lighting Measures'!R60*'Input Prescr. Lighting Measures'!M60</f>
        <v>0</v>
      </c>
      <c r="K58" s="14">
        <f>'Input Prescr. Lighting Measures'!S60</f>
        <v>0</v>
      </c>
      <c r="L58" s="15" t="e">
        <f>'Input Prescr. Lighting Measures'!AG60</f>
        <v>#N/A</v>
      </c>
      <c r="M58" s="15" t="str">
        <f>IF(ISNUMBER($D58)=TRUE,'Input Prescr. Lighting Measures'!K60,"")</f>
        <v/>
      </c>
      <c r="N58" s="15" t="str">
        <f>IF(ISNUMBER($D58)=TRUE,'Input Prescr. Lighting Measures'!N60,"")</f>
        <v/>
      </c>
      <c r="O58" s="31" t="str">
        <f t="shared" si="1"/>
        <v>Version 4.1 - 2026</v>
      </c>
      <c r="P58" s="89" t="str">
        <f>IF(ISNUMBER($D58)=TRUE,'Input Prescr. Lighting Measures'!F60,"")</f>
        <v/>
      </c>
      <c r="Q58" s="42" t="str">
        <f>'Input Prescr. Lighting Measures'!U60</f>
        <v/>
      </c>
    </row>
    <row r="59" spans="1:17" x14ac:dyDescent="0.2">
      <c r="A59" s="15" t="s">
        <v>6238</v>
      </c>
      <c r="B59" s="14">
        <f t="shared" si="0"/>
        <v>0</v>
      </c>
      <c r="C59" s="14">
        <f>'Input Prescr. Lighting Measures'!B61</f>
        <v>57</v>
      </c>
      <c r="D59" s="14" t="str">
        <f>'Input Prescr. Lighting Measures'!C61</f>
        <v/>
      </c>
      <c r="E59" s="14" t="str">
        <f>'Input Prescr. Lighting Measures'!G61</f>
        <v/>
      </c>
      <c r="F59" s="14" t="str">
        <f>IF(ISNUMBER($D59)=TRUE,'Input Prescr. Lighting Measures'!AX61,"")</f>
        <v/>
      </c>
      <c r="G59" s="14" t="str">
        <f>IF(ISNUMBER($D59)=TRUE,'Input Prescr. Lighting Measures'!V61,"")</f>
        <v/>
      </c>
      <c r="H59" s="104" t="str">
        <f>IF(ISNUMBER($D59)=TRUE,'Input Prescr. Lighting Measures'!W61,"")</f>
        <v/>
      </c>
      <c r="I59" s="45" t="str">
        <f>IFERROR(Q59*MIN(Table_Measure_Caps[[#Totals],[Estimated Raw Incentive Total]], Table_Measure_Caps[[#Totals],[Gross Measure Cost Total]], Value_Project_CAP)/Table_Measure_Caps[[#Totals],[Estimated Raw Incentive Total]], "")</f>
        <v/>
      </c>
      <c r="J59" s="45">
        <f>'Input Prescr. Lighting Measures'!R61*'Input Prescr. Lighting Measures'!M61</f>
        <v>0</v>
      </c>
      <c r="K59" s="14">
        <f>'Input Prescr. Lighting Measures'!S61</f>
        <v>0</v>
      </c>
      <c r="L59" s="15" t="e">
        <f>'Input Prescr. Lighting Measures'!AG61</f>
        <v>#N/A</v>
      </c>
      <c r="M59" s="15" t="str">
        <f>IF(ISNUMBER($D59)=TRUE,'Input Prescr. Lighting Measures'!K61,"")</f>
        <v/>
      </c>
      <c r="N59" s="15" t="str">
        <f>IF(ISNUMBER($D59)=TRUE,'Input Prescr. Lighting Measures'!N61,"")</f>
        <v/>
      </c>
      <c r="O59" s="31" t="str">
        <f t="shared" si="1"/>
        <v>Version 4.1 - 2026</v>
      </c>
      <c r="P59" s="89" t="str">
        <f>IF(ISNUMBER($D59)=TRUE,'Input Prescr. Lighting Measures'!F61,"")</f>
        <v/>
      </c>
      <c r="Q59" s="42" t="str">
        <f>'Input Prescr. Lighting Measures'!U61</f>
        <v/>
      </c>
    </row>
    <row r="60" spans="1:17" x14ac:dyDescent="0.2">
      <c r="A60" s="15" t="s">
        <v>6238</v>
      </c>
      <c r="B60" s="14">
        <f t="shared" si="0"/>
        <v>0</v>
      </c>
      <c r="C60" s="14">
        <f>'Input Prescr. Lighting Measures'!B62</f>
        <v>58</v>
      </c>
      <c r="D60" s="14" t="str">
        <f>'Input Prescr. Lighting Measures'!C62</f>
        <v/>
      </c>
      <c r="E60" s="14" t="str">
        <f>'Input Prescr. Lighting Measures'!G62</f>
        <v/>
      </c>
      <c r="F60" s="14" t="str">
        <f>IF(ISNUMBER($D60)=TRUE,'Input Prescr. Lighting Measures'!AX62,"")</f>
        <v/>
      </c>
      <c r="G60" s="14" t="str">
        <f>IF(ISNUMBER($D60)=TRUE,'Input Prescr. Lighting Measures'!V62,"")</f>
        <v/>
      </c>
      <c r="H60" s="104" t="str">
        <f>IF(ISNUMBER($D60)=TRUE,'Input Prescr. Lighting Measures'!W62,"")</f>
        <v/>
      </c>
      <c r="I60" s="45" t="str">
        <f>IFERROR(Q60*MIN(Table_Measure_Caps[[#Totals],[Estimated Raw Incentive Total]], Table_Measure_Caps[[#Totals],[Gross Measure Cost Total]], Value_Project_CAP)/Table_Measure_Caps[[#Totals],[Estimated Raw Incentive Total]], "")</f>
        <v/>
      </c>
      <c r="J60" s="45">
        <f>'Input Prescr. Lighting Measures'!R62*'Input Prescr. Lighting Measures'!M62</f>
        <v>0</v>
      </c>
      <c r="K60" s="14">
        <f>'Input Prescr. Lighting Measures'!S62</f>
        <v>0</v>
      </c>
      <c r="L60" s="15" t="e">
        <f>'Input Prescr. Lighting Measures'!AG62</f>
        <v>#N/A</v>
      </c>
      <c r="M60" s="15" t="str">
        <f>IF(ISNUMBER($D60)=TRUE,'Input Prescr. Lighting Measures'!K62,"")</f>
        <v/>
      </c>
      <c r="N60" s="15" t="str">
        <f>IF(ISNUMBER($D60)=TRUE,'Input Prescr. Lighting Measures'!N62,"")</f>
        <v/>
      </c>
      <c r="O60" s="31" t="str">
        <f t="shared" si="1"/>
        <v>Version 4.1 - 2026</v>
      </c>
      <c r="P60" s="89" t="str">
        <f>IF(ISNUMBER($D60)=TRUE,'Input Prescr. Lighting Measures'!F62,"")</f>
        <v/>
      </c>
      <c r="Q60" s="42" t="str">
        <f>'Input Prescr. Lighting Measures'!U62</f>
        <v/>
      </c>
    </row>
    <row r="61" spans="1:17" x14ac:dyDescent="0.2">
      <c r="A61" s="15" t="s">
        <v>6238</v>
      </c>
      <c r="B61" s="14">
        <f t="shared" si="0"/>
        <v>0</v>
      </c>
      <c r="C61" s="14">
        <f>'Input Prescr. Lighting Measures'!B63</f>
        <v>59</v>
      </c>
      <c r="D61" s="14" t="str">
        <f>'Input Prescr. Lighting Measures'!C63</f>
        <v/>
      </c>
      <c r="E61" s="14" t="str">
        <f>'Input Prescr. Lighting Measures'!G63</f>
        <v/>
      </c>
      <c r="F61" s="14" t="str">
        <f>IF(ISNUMBER($D61)=TRUE,'Input Prescr. Lighting Measures'!AX63,"")</f>
        <v/>
      </c>
      <c r="G61" s="14" t="str">
        <f>IF(ISNUMBER($D61)=TRUE,'Input Prescr. Lighting Measures'!V63,"")</f>
        <v/>
      </c>
      <c r="H61" s="104" t="str">
        <f>IF(ISNUMBER($D61)=TRUE,'Input Prescr. Lighting Measures'!W63,"")</f>
        <v/>
      </c>
      <c r="I61" s="45" t="str">
        <f>IFERROR(Q61*MIN(Table_Measure_Caps[[#Totals],[Estimated Raw Incentive Total]], Table_Measure_Caps[[#Totals],[Gross Measure Cost Total]], Value_Project_CAP)/Table_Measure_Caps[[#Totals],[Estimated Raw Incentive Total]], "")</f>
        <v/>
      </c>
      <c r="J61" s="45">
        <f>'Input Prescr. Lighting Measures'!R63*'Input Prescr. Lighting Measures'!M63</f>
        <v>0</v>
      </c>
      <c r="K61" s="14">
        <f>'Input Prescr. Lighting Measures'!S63</f>
        <v>0</v>
      </c>
      <c r="L61" s="15" t="e">
        <f>'Input Prescr. Lighting Measures'!AG63</f>
        <v>#N/A</v>
      </c>
      <c r="M61" s="15" t="str">
        <f>IF(ISNUMBER($D61)=TRUE,'Input Prescr. Lighting Measures'!K63,"")</f>
        <v/>
      </c>
      <c r="N61" s="15" t="str">
        <f>IF(ISNUMBER($D61)=TRUE,'Input Prescr. Lighting Measures'!N63,"")</f>
        <v/>
      </c>
      <c r="O61" s="31" t="str">
        <f t="shared" si="1"/>
        <v>Version 4.1 - 2026</v>
      </c>
      <c r="P61" s="89" t="str">
        <f>IF(ISNUMBER($D61)=TRUE,'Input Prescr. Lighting Measures'!F63,"")</f>
        <v/>
      </c>
      <c r="Q61" s="42" t="str">
        <f>'Input Prescr. Lighting Measures'!U63</f>
        <v/>
      </c>
    </row>
    <row r="62" spans="1:17" x14ac:dyDescent="0.2">
      <c r="A62" s="15" t="s">
        <v>6238</v>
      </c>
      <c r="B62" s="14">
        <f t="shared" si="0"/>
        <v>0</v>
      </c>
      <c r="C62" s="14">
        <f>'Input Prescr. Lighting Measures'!B64</f>
        <v>60</v>
      </c>
      <c r="D62" s="14" t="str">
        <f>'Input Prescr. Lighting Measures'!C64</f>
        <v/>
      </c>
      <c r="E62" s="14" t="str">
        <f>'Input Prescr. Lighting Measures'!G64</f>
        <v/>
      </c>
      <c r="F62" s="14" t="str">
        <f>IF(ISNUMBER($D62)=TRUE,'Input Prescr. Lighting Measures'!AX64,"")</f>
        <v/>
      </c>
      <c r="G62" s="14" t="str">
        <f>IF(ISNUMBER($D62)=TRUE,'Input Prescr. Lighting Measures'!V64,"")</f>
        <v/>
      </c>
      <c r="H62" s="104" t="str">
        <f>IF(ISNUMBER($D62)=TRUE,'Input Prescr. Lighting Measures'!W64,"")</f>
        <v/>
      </c>
      <c r="I62" s="45" t="str">
        <f>IFERROR(Q62*MIN(Table_Measure_Caps[[#Totals],[Estimated Raw Incentive Total]], Table_Measure_Caps[[#Totals],[Gross Measure Cost Total]], Value_Project_CAP)/Table_Measure_Caps[[#Totals],[Estimated Raw Incentive Total]], "")</f>
        <v/>
      </c>
      <c r="J62" s="45">
        <f>'Input Prescr. Lighting Measures'!R64*'Input Prescr. Lighting Measures'!M64</f>
        <v>0</v>
      </c>
      <c r="K62" s="14">
        <f>'Input Prescr. Lighting Measures'!S64</f>
        <v>0</v>
      </c>
      <c r="L62" s="15" t="e">
        <f>'Input Prescr. Lighting Measures'!AG64</f>
        <v>#N/A</v>
      </c>
      <c r="M62" s="15" t="str">
        <f>IF(ISNUMBER($D62)=TRUE,'Input Prescr. Lighting Measures'!K64,"")</f>
        <v/>
      </c>
      <c r="N62" s="15" t="str">
        <f>IF(ISNUMBER($D62)=TRUE,'Input Prescr. Lighting Measures'!N64,"")</f>
        <v/>
      </c>
      <c r="O62" s="31" t="str">
        <f t="shared" si="1"/>
        <v>Version 4.1 - 2026</v>
      </c>
      <c r="P62" s="89" t="str">
        <f>IF(ISNUMBER($D62)=TRUE,'Input Prescr. Lighting Measures'!F64,"")</f>
        <v/>
      </c>
      <c r="Q62" s="42" t="str">
        <f>'Input Prescr. Lighting Measures'!U64</f>
        <v/>
      </c>
    </row>
    <row r="63" spans="1:17" x14ac:dyDescent="0.2">
      <c r="A63" s="15" t="s">
        <v>6238</v>
      </c>
      <c r="B63" s="14">
        <f t="shared" si="0"/>
        <v>0</v>
      </c>
      <c r="C63" s="14">
        <f>'Input Prescr. Lighting Measures'!B65</f>
        <v>61</v>
      </c>
      <c r="D63" s="14" t="str">
        <f>'Input Prescr. Lighting Measures'!C65</f>
        <v/>
      </c>
      <c r="E63" s="14" t="str">
        <f>'Input Prescr. Lighting Measures'!G65</f>
        <v/>
      </c>
      <c r="F63" s="14" t="str">
        <f>IF(ISNUMBER($D63)=TRUE,'Input Prescr. Lighting Measures'!AX65,"")</f>
        <v/>
      </c>
      <c r="G63" s="14" t="str">
        <f>IF(ISNUMBER($D63)=TRUE,'Input Prescr. Lighting Measures'!V65,"")</f>
        <v/>
      </c>
      <c r="H63" s="104" t="str">
        <f>IF(ISNUMBER($D63)=TRUE,'Input Prescr. Lighting Measures'!W65,"")</f>
        <v/>
      </c>
      <c r="I63" s="45" t="str">
        <f>IFERROR(Q63*MIN(Table_Measure_Caps[[#Totals],[Estimated Raw Incentive Total]], Table_Measure_Caps[[#Totals],[Gross Measure Cost Total]], Value_Project_CAP)/Table_Measure_Caps[[#Totals],[Estimated Raw Incentive Total]], "")</f>
        <v/>
      </c>
      <c r="J63" s="45">
        <f>'Input Prescr. Lighting Measures'!R65*'Input Prescr. Lighting Measures'!M65</f>
        <v>0</v>
      </c>
      <c r="K63" s="14">
        <f>'Input Prescr. Lighting Measures'!S65</f>
        <v>0</v>
      </c>
      <c r="L63" s="15" t="e">
        <f>'Input Prescr. Lighting Measures'!AG65</f>
        <v>#N/A</v>
      </c>
      <c r="M63" s="15" t="str">
        <f>IF(ISNUMBER($D63)=TRUE,'Input Prescr. Lighting Measures'!K65,"")</f>
        <v/>
      </c>
      <c r="N63" s="15" t="str">
        <f>IF(ISNUMBER($D63)=TRUE,'Input Prescr. Lighting Measures'!N65,"")</f>
        <v/>
      </c>
      <c r="O63" s="31" t="str">
        <f t="shared" si="1"/>
        <v>Version 4.1 - 2026</v>
      </c>
      <c r="P63" s="89" t="str">
        <f>IF(ISNUMBER($D63)=TRUE,'Input Prescr. Lighting Measures'!F65,"")</f>
        <v/>
      </c>
      <c r="Q63" s="42" t="str">
        <f>'Input Prescr. Lighting Measures'!U65</f>
        <v/>
      </c>
    </row>
    <row r="64" spans="1:17" x14ac:dyDescent="0.2">
      <c r="A64" s="15" t="s">
        <v>6238</v>
      </c>
      <c r="B64" s="14">
        <f t="shared" si="0"/>
        <v>0</v>
      </c>
      <c r="C64" s="14">
        <f>'Input Prescr. Lighting Measures'!B66</f>
        <v>62</v>
      </c>
      <c r="D64" s="14" t="str">
        <f>'Input Prescr. Lighting Measures'!C66</f>
        <v/>
      </c>
      <c r="E64" s="14" t="str">
        <f>'Input Prescr. Lighting Measures'!G66</f>
        <v/>
      </c>
      <c r="F64" s="14" t="str">
        <f>IF(ISNUMBER($D64)=TRUE,'Input Prescr. Lighting Measures'!AX66,"")</f>
        <v/>
      </c>
      <c r="G64" s="14" t="str">
        <f>IF(ISNUMBER($D64)=TRUE,'Input Prescr. Lighting Measures'!V66,"")</f>
        <v/>
      </c>
      <c r="H64" s="104" t="str">
        <f>IF(ISNUMBER($D64)=TRUE,'Input Prescr. Lighting Measures'!W66,"")</f>
        <v/>
      </c>
      <c r="I64" s="45" t="str">
        <f>IFERROR(Q64*MIN(Table_Measure_Caps[[#Totals],[Estimated Raw Incentive Total]], Table_Measure_Caps[[#Totals],[Gross Measure Cost Total]], Value_Project_CAP)/Table_Measure_Caps[[#Totals],[Estimated Raw Incentive Total]], "")</f>
        <v/>
      </c>
      <c r="J64" s="45">
        <f>'Input Prescr. Lighting Measures'!R66*'Input Prescr. Lighting Measures'!M66</f>
        <v>0</v>
      </c>
      <c r="K64" s="14">
        <f>'Input Prescr. Lighting Measures'!S66</f>
        <v>0</v>
      </c>
      <c r="L64" s="15" t="e">
        <f>'Input Prescr. Lighting Measures'!AG66</f>
        <v>#N/A</v>
      </c>
      <c r="M64" s="15" t="str">
        <f>IF(ISNUMBER($D64)=TRUE,'Input Prescr. Lighting Measures'!K66,"")</f>
        <v/>
      </c>
      <c r="N64" s="15" t="str">
        <f>IF(ISNUMBER($D64)=TRUE,'Input Prescr. Lighting Measures'!N66,"")</f>
        <v/>
      </c>
      <c r="O64" s="31" t="str">
        <f t="shared" si="1"/>
        <v>Version 4.1 - 2026</v>
      </c>
      <c r="P64" s="89" t="str">
        <f>IF(ISNUMBER($D64)=TRUE,'Input Prescr. Lighting Measures'!F66,"")</f>
        <v/>
      </c>
      <c r="Q64" s="42" t="str">
        <f>'Input Prescr. Lighting Measures'!U66</f>
        <v/>
      </c>
    </row>
    <row r="65" spans="1:17" x14ac:dyDescent="0.2">
      <c r="A65" s="15" t="s">
        <v>6238</v>
      </c>
      <c r="B65" s="14">
        <f t="shared" si="0"/>
        <v>0</v>
      </c>
      <c r="C65" s="14">
        <f>'Input Prescr. Lighting Measures'!B67</f>
        <v>63</v>
      </c>
      <c r="D65" s="14" t="str">
        <f>'Input Prescr. Lighting Measures'!C67</f>
        <v/>
      </c>
      <c r="E65" s="14" t="str">
        <f>'Input Prescr. Lighting Measures'!G67</f>
        <v/>
      </c>
      <c r="F65" s="14" t="str">
        <f>IF(ISNUMBER($D65)=TRUE,'Input Prescr. Lighting Measures'!AX67,"")</f>
        <v/>
      </c>
      <c r="G65" s="14" t="str">
        <f>IF(ISNUMBER($D65)=TRUE,'Input Prescr. Lighting Measures'!V67,"")</f>
        <v/>
      </c>
      <c r="H65" s="104" t="str">
        <f>IF(ISNUMBER($D65)=TRUE,'Input Prescr. Lighting Measures'!W67,"")</f>
        <v/>
      </c>
      <c r="I65" s="45" t="str">
        <f>IFERROR(Q65*MIN(Table_Measure_Caps[[#Totals],[Estimated Raw Incentive Total]], Table_Measure_Caps[[#Totals],[Gross Measure Cost Total]], Value_Project_CAP)/Table_Measure_Caps[[#Totals],[Estimated Raw Incentive Total]], "")</f>
        <v/>
      </c>
      <c r="J65" s="45">
        <f>'Input Prescr. Lighting Measures'!R67*'Input Prescr. Lighting Measures'!M67</f>
        <v>0</v>
      </c>
      <c r="K65" s="14">
        <f>'Input Prescr. Lighting Measures'!S67</f>
        <v>0</v>
      </c>
      <c r="L65" s="15" t="e">
        <f>'Input Prescr. Lighting Measures'!AG67</f>
        <v>#N/A</v>
      </c>
      <c r="M65" s="15" t="str">
        <f>IF(ISNUMBER($D65)=TRUE,'Input Prescr. Lighting Measures'!K67,"")</f>
        <v/>
      </c>
      <c r="N65" s="15" t="str">
        <f>IF(ISNUMBER($D65)=TRUE,'Input Prescr. Lighting Measures'!N67,"")</f>
        <v/>
      </c>
      <c r="O65" s="31" t="str">
        <f t="shared" si="1"/>
        <v>Version 4.1 - 2026</v>
      </c>
      <c r="P65" s="89" t="str">
        <f>IF(ISNUMBER($D65)=TRUE,'Input Prescr. Lighting Measures'!F67,"")</f>
        <v/>
      </c>
      <c r="Q65" s="42" t="str">
        <f>'Input Prescr. Lighting Measures'!U67</f>
        <v/>
      </c>
    </row>
    <row r="66" spans="1:17" x14ac:dyDescent="0.2">
      <c r="A66" s="15" t="s">
        <v>6238</v>
      </c>
      <c r="B66" s="14">
        <f t="shared" si="0"/>
        <v>0</v>
      </c>
      <c r="C66" s="14">
        <f>'Input Prescr. Lighting Measures'!B68</f>
        <v>64</v>
      </c>
      <c r="D66" s="14" t="str">
        <f>'Input Prescr. Lighting Measures'!C68</f>
        <v/>
      </c>
      <c r="E66" s="14" t="str">
        <f>'Input Prescr. Lighting Measures'!G68</f>
        <v/>
      </c>
      <c r="F66" s="14" t="str">
        <f>IF(ISNUMBER($D66)=TRUE,'Input Prescr. Lighting Measures'!AX68,"")</f>
        <v/>
      </c>
      <c r="G66" s="14" t="str">
        <f>IF(ISNUMBER($D66)=TRUE,'Input Prescr. Lighting Measures'!V68,"")</f>
        <v/>
      </c>
      <c r="H66" s="104" t="str">
        <f>IF(ISNUMBER($D66)=TRUE,'Input Prescr. Lighting Measures'!W68,"")</f>
        <v/>
      </c>
      <c r="I66" s="45" t="str">
        <f>IFERROR(Q66*MIN(Table_Measure_Caps[[#Totals],[Estimated Raw Incentive Total]], Table_Measure_Caps[[#Totals],[Gross Measure Cost Total]], Value_Project_CAP)/Table_Measure_Caps[[#Totals],[Estimated Raw Incentive Total]], "")</f>
        <v/>
      </c>
      <c r="J66" s="45">
        <f>'Input Prescr. Lighting Measures'!R68*'Input Prescr. Lighting Measures'!M68</f>
        <v>0</v>
      </c>
      <c r="K66" s="14">
        <f>'Input Prescr. Lighting Measures'!S68</f>
        <v>0</v>
      </c>
      <c r="L66" s="15" t="e">
        <f>'Input Prescr. Lighting Measures'!AG68</f>
        <v>#N/A</v>
      </c>
      <c r="M66" s="15" t="str">
        <f>IF(ISNUMBER($D66)=TRUE,'Input Prescr. Lighting Measures'!K68,"")</f>
        <v/>
      </c>
      <c r="N66" s="15" t="str">
        <f>IF(ISNUMBER($D66)=TRUE,'Input Prescr. Lighting Measures'!N68,"")</f>
        <v/>
      </c>
      <c r="O66" s="31" t="str">
        <f t="shared" ref="O66:O129" si="2">Value_Application_Version</f>
        <v>Version 4.1 - 2026</v>
      </c>
      <c r="P66" s="89" t="str">
        <f>IF(ISNUMBER($D66)=TRUE,'Input Prescr. Lighting Measures'!F68,"")</f>
        <v/>
      </c>
      <c r="Q66" s="42" t="str">
        <f>'Input Prescr. Lighting Measures'!U68</f>
        <v/>
      </c>
    </row>
    <row r="67" spans="1:17" x14ac:dyDescent="0.2">
      <c r="A67" s="15" t="s">
        <v>6238</v>
      </c>
      <c r="B67" s="14">
        <f t="shared" si="0"/>
        <v>0</v>
      </c>
      <c r="C67" s="14">
        <f>'Input Prescr. Lighting Measures'!B69</f>
        <v>65</v>
      </c>
      <c r="D67" s="14" t="str">
        <f>'Input Prescr. Lighting Measures'!C69</f>
        <v/>
      </c>
      <c r="E67" s="14" t="str">
        <f>'Input Prescr. Lighting Measures'!G69</f>
        <v/>
      </c>
      <c r="F67" s="14" t="str">
        <f>IF(ISNUMBER($D67)=TRUE,'Input Prescr. Lighting Measures'!AX69,"")</f>
        <v/>
      </c>
      <c r="G67" s="14" t="str">
        <f>IF(ISNUMBER($D67)=TRUE,'Input Prescr. Lighting Measures'!V69,"")</f>
        <v/>
      </c>
      <c r="H67" s="104" t="str">
        <f>IF(ISNUMBER($D67)=TRUE,'Input Prescr. Lighting Measures'!W69,"")</f>
        <v/>
      </c>
      <c r="I67" s="45" t="str">
        <f>IFERROR(Q67*MIN(Table_Measure_Caps[[#Totals],[Estimated Raw Incentive Total]], Table_Measure_Caps[[#Totals],[Gross Measure Cost Total]], Value_Project_CAP)/Table_Measure_Caps[[#Totals],[Estimated Raw Incentive Total]], "")</f>
        <v/>
      </c>
      <c r="J67" s="45">
        <f>'Input Prescr. Lighting Measures'!R69*'Input Prescr. Lighting Measures'!M69</f>
        <v>0</v>
      </c>
      <c r="K67" s="14">
        <f>'Input Prescr. Lighting Measures'!S69</f>
        <v>0</v>
      </c>
      <c r="L67" s="15" t="e">
        <f>'Input Prescr. Lighting Measures'!AG69</f>
        <v>#N/A</v>
      </c>
      <c r="M67" s="15" t="str">
        <f>IF(ISNUMBER($D67)=TRUE,'Input Prescr. Lighting Measures'!K69,"")</f>
        <v/>
      </c>
      <c r="N67" s="15" t="str">
        <f>IF(ISNUMBER($D67)=TRUE,'Input Prescr. Lighting Measures'!N69,"")</f>
        <v/>
      </c>
      <c r="O67" s="31" t="str">
        <f t="shared" si="2"/>
        <v>Version 4.1 - 2026</v>
      </c>
      <c r="P67" s="89" t="str">
        <f>IF(ISNUMBER($D67)=TRUE,'Input Prescr. Lighting Measures'!F69,"")</f>
        <v/>
      </c>
      <c r="Q67" s="42" t="str">
        <f>'Input Prescr. Lighting Measures'!U69</f>
        <v/>
      </c>
    </row>
    <row r="68" spans="1:17" x14ac:dyDescent="0.2">
      <c r="A68" s="15" t="s">
        <v>6238</v>
      </c>
      <c r="B68" s="14">
        <f t="shared" si="0"/>
        <v>0</v>
      </c>
      <c r="C68" s="14">
        <f>'Input Prescr. Lighting Measures'!B70</f>
        <v>66</v>
      </c>
      <c r="D68" s="14" t="str">
        <f>'Input Prescr. Lighting Measures'!C70</f>
        <v/>
      </c>
      <c r="E68" s="14" t="str">
        <f>'Input Prescr. Lighting Measures'!G70</f>
        <v/>
      </c>
      <c r="F68" s="14" t="str">
        <f>IF(ISNUMBER($D68)=TRUE,'Input Prescr. Lighting Measures'!AX70,"")</f>
        <v/>
      </c>
      <c r="G68" s="14" t="str">
        <f>IF(ISNUMBER($D68)=TRUE,'Input Prescr. Lighting Measures'!V70,"")</f>
        <v/>
      </c>
      <c r="H68" s="104" t="str">
        <f>IF(ISNUMBER($D68)=TRUE,'Input Prescr. Lighting Measures'!W70,"")</f>
        <v/>
      </c>
      <c r="I68" s="45" t="str">
        <f>IFERROR(Q68*MIN(Table_Measure_Caps[[#Totals],[Estimated Raw Incentive Total]], Table_Measure_Caps[[#Totals],[Gross Measure Cost Total]], Value_Project_CAP)/Table_Measure_Caps[[#Totals],[Estimated Raw Incentive Total]], "")</f>
        <v/>
      </c>
      <c r="J68" s="45">
        <f>'Input Prescr. Lighting Measures'!R70*'Input Prescr. Lighting Measures'!M70</f>
        <v>0</v>
      </c>
      <c r="K68" s="14">
        <f>'Input Prescr. Lighting Measures'!S70</f>
        <v>0</v>
      </c>
      <c r="L68" s="15" t="e">
        <f>'Input Prescr. Lighting Measures'!AG70</f>
        <v>#N/A</v>
      </c>
      <c r="M68" s="15" t="str">
        <f>IF(ISNUMBER($D68)=TRUE,'Input Prescr. Lighting Measures'!K70,"")</f>
        <v/>
      </c>
      <c r="N68" s="15" t="str">
        <f>IF(ISNUMBER($D68)=TRUE,'Input Prescr. Lighting Measures'!N70,"")</f>
        <v/>
      </c>
      <c r="O68" s="31" t="str">
        <f t="shared" si="2"/>
        <v>Version 4.1 - 2026</v>
      </c>
      <c r="P68" s="89" t="str">
        <f>IF(ISNUMBER($D68)=TRUE,'Input Prescr. Lighting Measures'!F70,"")</f>
        <v/>
      </c>
      <c r="Q68" s="42" t="str">
        <f>'Input Prescr. Lighting Measures'!U70</f>
        <v/>
      </c>
    </row>
    <row r="69" spans="1:17" x14ac:dyDescent="0.2">
      <c r="A69" s="15" t="s">
        <v>6238</v>
      </c>
      <c r="B69" s="14">
        <f t="shared" si="0"/>
        <v>0</v>
      </c>
      <c r="C69" s="14">
        <f>'Input Prescr. Lighting Measures'!B71</f>
        <v>67</v>
      </c>
      <c r="D69" s="14" t="str">
        <f>'Input Prescr. Lighting Measures'!C71</f>
        <v/>
      </c>
      <c r="E69" s="14" t="str">
        <f>'Input Prescr. Lighting Measures'!G71</f>
        <v/>
      </c>
      <c r="F69" s="14" t="str">
        <f>IF(ISNUMBER($D69)=TRUE,'Input Prescr. Lighting Measures'!AX71,"")</f>
        <v/>
      </c>
      <c r="G69" s="14" t="str">
        <f>IF(ISNUMBER($D69)=TRUE,'Input Prescr. Lighting Measures'!V71,"")</f>
        <v/>
      </c>
      <c r="H69" s="104" t="str">
        <f>IF(ISNUMBER($D69)=TRUE,'Input Prescr. Lighting Measures'!W71,"")</f>
        <v/>
      </c>
      <c r="I69" s="45" t="str">
        <f>IFERROR(Q69*MIN(Table_Measure_Caps[[#Totals],[Estimated Raw Incentive Total]], Table_Measure_Caps[[#Totals],[Gross Measure Cost Total]], Value_Project_CAP)/Table_Measure_Caps[[#Totals],[Estimated Raw Incentive Total]], "")</f>
        <v/>
      </c>
      <c r="J69" s="45">
        <f>'Input Prescr. Lighting Measures'!R71*'Input Prescr. Lighting Measures'!M71</f>
        <v>0</v>
      </c>
      <c r="K69" s="14">
        <f>'Input Prescr. Lighting Measures'!S71</f>
        <v>0</v>
      </c>
      <c r="L69" s="15" t="e">
        <f>'Input Prescr. Lighting Measures'!AG71</f>
        <v>#N/A</v>
      </c>
      <c r="M69" s="15" t="str">
        <f>IF(ISNUMBER($D69)=TRUE,'Input Prescr. Lighting Measures'!K71,"")</f>
        <v/>
      </c>
      <c r="N69" s="15" t="str">
        <f>IF(ISNUMBER($D69)=TRUE,'Input Prescr. Lighting Measures'!N71,"")</f>
        <v/>
      </c>
      <c r="O69" s="31" t="str">
        <f t="shared" si="2"/>
        <v>Version 4.1 - 2026</v>
      </c>
      <c r="P69" s="89" t="str">
        <f>IF(ISNUMBER($D69)=TRUE,'Input Prescr. Lighting Measures'!F71,"")</f>
        <v/>
      </c>
      <c r="Q69" s="42" t="str">
        <f>'Input Prescr. Lighting Measures'!U71</f>
        <v/>
      </c>
    </row>
    <row r="70" spans="1:17" x14ac:dyDescent="0.2">
      <c r="A70" s="15" t="s">
        <v>6238</v>
      </c>
      <c r="B70" s="14">
        <f t="shared" si="0"/>
        <v>0</v>
      </c>
      <c r="C70" s="14">
        <f>'Input Prescr. Lighting Measures'!B72</f>
        <v>68</v>
      </c>
      <c r="D70" s="14" t="str">
        <f>'Input Prescr. Lighting Measures'!C72</f>
        <v/>
      </c>
      <c r="E70" s="14" t="str">
        <f>'Input Prescr. Lighting Measures'!G72</f>
        <v/>
      </c>
      <c r="F70" s="14" t="str">
        <f>IF(ISNUMBER($D70)=TRUE,'Input Prescr. Lighting Measures'!AX72,"")</f>
        <v/>
      </c>
      <c r="G70" s="14" t="str">
        <f>IF(ISNUMBER($D70)=TRUE,'Input Prescr. Lighting Measures'!V72,"")</f>
        <v/>
      </c>
      <c r="H70" s="104" t="str">
        <f>IF(ISNUMBER($D70)=TRUE,'Input Prescr. Lighting Measures'!W72,"")</f>
        <v/>
      </c>
      <c r="I70" s="45" t="str">
        <f>IFERROR(Q70*MIN(Table_Measure_Caps[[#Totals],[Estimated Raw Incentive Total]], Table_Measure_Caps[[#Totals],[Gross Measure Cost Total]], Value_Project_CAP)/Table_Measure_Caps[[#Totals],[Estimated Raw Incentive Total]], "")</f>
        <v/>
      </c>
      <c r="J70" s="45">
        <f>'Input Prescr. Lighting Measures'!R72*'Input Prescr. Lighting Measures'!M72</f>
        <v>0</v>
      </c>
      <c r="K70" s="14">
        <f>'Input Prescr. Lighting Measures'!S72</f>
        <v>0</v>
      </c>
      <c r="L70" s="15" t="e">
        <f>'Input Prescr. Lighting Measures'!AG72</f>
        <v>#N/A</v>
      </c>
      <c r="M70" s="15" t="str">
        <f>IF(ISNUMBER($D70)=TRUE,'Input Prescr. Lighting Measures'!K72,"")</f>
        <v/>
      </c>
      <c r="N70" s="15" t="str">
        <f>IF(ISNUMBER($D70)=TRUE,'Input Prescr. Lighting Measures'!N72,"")</f>
        <v/>
      </c>
      <c r="O70" s="31" t="str">
        <f t="shared" si="2"/>
        <v>Version 4.1 - 2026</v>
      </c>
      <c r="P70" s="89" t="str">
        <f>IF(ISNUMBER($D70)=TRUE,'Input Prescr. Lighting Measures'!F72,"")</f>
        <v/>
      </c>
      <c r="Q70" s="42" t="str">
        <f>'Input Prescr. Lighting Measures'!U72</f>
        <v/>
      </c>
    </row>
    <row r="71" spans="1:17" x14ac:dyDescent="0.2">
      <c r="A71" s="15" t="s">
        <v>6238</v>
      </c>
      <c r="B71" s="14">
        <f t="shared" si="0"/>
        <v>0</v>
      </c>
      <c r="C71" s="14">
        <f>'Input Prescr. Lighting Measures'!B73</f>
        <v>69</v>
      </c>
      <c r="D71" s="14" t="str">
        <f>'Input Prescr. Lighting Measures'!C73</f>
        <v/>
      </c>
      <c r="E71" s="14" t="str">
        <f>'Input Prescr. Lighting Measures'!G73</f>
        <v/>
      </c>
      <c r="F71" s="14" t="str">
        <f>IF(ISNUMBER($D71)=TRUE,'Input Prescr. Lighting Measures'!AX73,"")</f>
        <v/>
      </c>
      <c r="G71" s="14" t="str">
        <f>IF(ISNUMBER($D71)=TRUE,'Input Prescr. Lighting Measures'!V73,"")</f>
        <v/>
      </c>
      <c r="H71" s="104" t="str">
        <f>IF(ISNUMBER($D71)=TRUE,'Input Prescr. Lighting Measures'!W73,"")</f>
        <v/>
      </c>
      <c r="I71" s="45" t="str">
        <f>IFERROR(Q71*MIN(Table_Measure_Caps[[#Totals],[Estimated Raw Incentive Total]], Table_Measure_Caps[[#Totals],[Gross Measure Cost Total]], Value_Project_CAP)/Table_Measure_Caps[[#Totals],[Estimated Raw Incentive Total]], "")</f>
        <v/>
      </c>
      <c r="J71" s="45">
        <f>'Input Prescr. Lighting Measures'!R73*'Input Prescr. Lighting Measures'!M73</f>
        <v>0</v>
      </c>
      <c r="K71" s="14">
        <f>'Input Prescr. Lighting Measures'!S73</f>
        <v>0</v>
      </c>
      <c r="L71" s="15" t="e">
        <f>'Input Prescr. Lighting Measures'!AG73</f>
        <v>#N/A</v>
      </c>
      <c r="M71" s="15" t="str">
        <f>IF(ISNUMBER($D71)=TRUE,'Input Prescr. Lighting Measures'!K73,"")</f>
        <v/>
      </c>
      <c r="N71" s="15" t="str">
        <f>IF(ISNUMBER($D71)=TRUE,'Input Prescr. Lighting Measures'!N73,"")</f>
        <v/>
      </c>
      <c r="O71" s="31" t="str">
        <f t="shared" si="2"/>
        <v>Version 4.1 - 2026</v>
      </c>
      <c r="P71" s="89" t="str">
        <f>IF(ISNUMBER($D71)=TRUE,'Input Prescr. Lighting Measures'!F73,"")</f>
        <v/>
      </c>
      <c r="Q71" s="42" t="str">
        <f>'Input Prescr. Lighting Measures'!U73</f>
        <v/>
      </c>
    </row>
    <row r="72" spans="1:17" x14ac:dyDescent="0.2">
      <c r="A72" s="15" t="s">
        <v>6238</v>
      </c>
      <c r="B72" s="14">
        <f t="shared" si="0"/>
        <v>0</v>
      </c>
      <c r="C72" s="14">
        <f>'Input Prescr. Lighting Measures'!B74</f>
        <v>70</v>
      </c>
      <c r="D72" s="14" t="str">
        <f>'Input Prescr. Lighting Measures'!C74</f>
        <v/>
      </c>
      <c r="E72" s="14" t="str">
        <f>'Input Prescr. Lighting Measures'!G74</f>
        <v/>
      </c>
      <c r="F72" s="14" t="str">
        <f>IF(ISNUMBER($D72)=TRUE,'Input Prescr. Lighting Measures'!AX74,"")</f>
        <v/>
      </c>
      <c r="G72" s="14" t="str">
        <f>IF(ISNUMBER($D72)=TRUE,'Input Prescr. Lighting Measures'!V74,"")</f>
        <v/>
      </c>
      <c r="H72" s="104" t="str">
        <f>IF(ISNUMBER($D72)=TRUE,'Input Prescr. Lighting Measures'!W74,"")</f>
        <v/>
      </c>
      <c r="I72" s="45" t="str">
        <f>IFERROR(Q72*MIN(Table_Measure_Caps[[#Totals],[Estimated Raw Incentive Total]], Table_Measure_Caps[[#Totals],[Gross Measure Cost Total]], Value_Project_CAP)/Table_Measure_Caps[[#Totals],[Estimated Raw Incentive Total]], "")</f>
        <v/>
      </c>
      <c r="J72" s="45">
        <f>'Input Prescr. Lighting Measures'!R74*'Input Prescr. Lighting Measures'!M74</f>
        <v>0</v>
      </c>
      <c r="K72" s="14">
        <f>'Input Prescr. Lighting Measures'!S74</f>
        <v>0</v>
      </c>
      <c r="L72" s="15" t="e">
        <f>'Input Prescr. Lighting Measures'!AG74</f>
        <v>#N/A</v>
      </c>
      <c r="M72" s="15" t="str">
        <f>IF(ISNUMBER($D72)=TRUE,'Input Prescr. Lighting Measures'!K74,"")</f>
        <v/>
      </c>
      <c r="N72" s="15" t="str">
        <f>IF(ISNUMBER($D72)=TRUE,'Input Prescr. Lighting Measures'!N74,"")</f>
        <v/>
      </c>
      <c r="O72" s="31" t="str">
        <f t="shared" si="2"/>
        <v>Version 4.1 - 2026</v>
      </c>
      <c r="P72" s="89" t="str">
        <f>IF(ISNUMBER($D72)=TRUE,'Input Prescr. Lighting Measures'!F74,"")</f>
        <v/>
      </c>
      <c r="Q72" s="42" t="str">
        <f>'Input Prescr. Lighting Measures'!U74</f>
        <v/>
      </c>
    </row>
    <row r="73" spans="1:17" x14ac:dyDescent="0.2">
      <c r="A73" s="15" t="s">
        <v>6238</v>
      </c>
      <c r="B73" s="14">
        <f t="shared" si="0"/>
        <v>0</v>
      </c>
      <c r="C73" s="14">
        <f>'Input Prescr. Lighting Measures'!B75</f>
        <v>71</v>
      </c>
      <c r="D73" s="14" t="str">
        <f>'Input Prescr. Lighting Measures'!C75</f>
        <v/>
      </c>
      <c r="E73" s="14" t="str">
        <f>'Input Prescr. Lighting Measures'!G75</f>
        <v/>
      </c>
      <c r="F73" s="14" t="str">
        <f>IF(ISNUMBER($D73)=TRUE,'Input Prescr. Lighting Measures'!AX75,"")</f>
        <v/>
      </c>
      <c r="G73" s="14" t="str">
        <f>IF(ISNUMBER($D73)=TRUE,'Input Prescr. Lighting Measures'!V75,"")</f>
        <v/>
      </c>
      <c r="H73" s="104" t="str">
        <f>IF(ISNUMBER($D73)=TRUE,'Input Prescr. Lighting Measures'!W75,"")</f>
        <v/>
      </c>
      <c r="I73" s="45" t="str">
        <f>IFERROR(Q73*MIN(Table_Measure_Caps[[#Totals],[Estimated Raw Incentive Total]], Table_Measure_Caps[[#Totals],[Gross Measure Cost Total]], Value_Project_CAP)/Table_Measure_Caps[[#Totals],[Estimated Raw Incentive Total]], "")</f>
        <v/>
      </c>
      <c r="J73" s="45">
        <f>'Input Prescr. Lighting Measures'!R75*'Input Prescr. Lighting Measures'!M75</f>
        <v>0</v>
      </c>
      <c r="K73" s="14">
        <f>'Input Prescr. Lighting Measures'!S75</f>
        <v>0</v>
      </c>
      <c r="L73" s="15" t="e">
        <f>'Input Prescr. Lighting Measures'!AG75</f>
        <v>#N/A</v>
      </c>
      <c r="M73" s="15" t="str">
        <f>IF(ISNUMBER($D73)=TRUE,'Input Prescr. Lighting Measures'!K75,"")</f>
        <v/>
      </c>
      <c r="N73" s="15" t="str">
        <f>IF(ISNUMBER($D73)=TRUE,'Input Prescr. Lighting Measures'!N75,"")</f>
        <v/>
      </c>
      <c r="O73" s="31" t="str">
        <f t="shared" si="2"/>
        <v>Version 4.1 - 2026</v>
      </c>
      <c r="P73" s="89" t="str">
        <f>IF(ISNUMBER($D73)=TRUE,'Input Prescr. Lighting Measures'!F75,"")</f>
        <v/>
      </c>
      <c r="Q73" s="42" t="str">
        <f>'Input Prescr. Lighting Measures'!U75</f>
        <v/>
      </c>
    </row>
    <row r="74" spans="1:17" x14ac:dyDescent="0.2">
      <c r="A74" s="15" t="s">
        <v>6238</v>
      </c>
      <c r="B74" s="14">
        <f t="shared" si="0"/>
        <v>0</v>
      </c>
      <c r="C74" s="14">
        <f>'Input Prescr. Lighting Measures'!B76</f>
        <v>72</v>
      </c>
      <c r="D74" s="14" t="str">
        <f>'Input Prescr. Lighting Measures'!C76</f>
        <v/>
      </c>
      <c r="E74" s="14" t="str">
        <f>'Input Prescr. Lighting Measures'!G76</f>
        <v/>
      </c>
      <c r="F74" s="14" t="str">
        <f>IF(ISNUMBER($D74)=TRUE,'Input Prescr. Lighting Measures'!AX76,"")</f>
        <v/>
      </c>
      <c r="G74" s="14" t="str">
        <f>IF(ISNUMBER($D74)=TRUE,'Input Prescr. Lighting Measures'!V76,"")</f>
        <v/>
      </c>
      <c r="H74" s="104" t="str">
        <f>IF(ISNUMBER($D74)=TRUE,'Input Prescr. Lighting Measures'!W76,"")</f>
        <v/>
      </c>
      <c r="I74" s="45" t="str">
        <f>IFERROR(Q74*MIN(Table_Measure_Caps[[#Totals],[Estimated Raw Incentive Total]], Table_Measure_Caps[[#Totals],[Gross Measure Cost Total]], Value_Project_CAP)/Table_Measure_Caps[[#Totals],[Estimated Raw Incentive Total]], "")</f>
        <v/>
      </c>
      <c r="J74" s="45">
        <f>'Input Prescr. Lighting Measures'!R76*'Input Prescr. Lighting Measures'!M76</f>
        <v>0</v>
      </c>
      <c r="K74" s="14">
        <f>'Input Prescr. Lighting Measures'!S76</f>
        <v>0</v>
      </c>
      <c r="L74" s="15" t="e">
        <f>'Input Prescr. Lighting Measures'!AG76</f>
        <v>#N/A</v>
      </c>
      <c r="M74" s="15" t="str">
        <f>IF(ISNUMBER($D74)=TRUE,'Input Prescr. Lighting Measures'!K76,"")</f>
        <v/>
      </c>
      <c r="N74" s="15" t="str">
        <f>IF(ISNUMBER($D74)=TRUE,'Input Prescr. Lighting Measures'!N76,"")</f>
        <v/>
      </c>
      <c r="O74" s="31" t="str">
        <f t="shared" si="2"/>
        <v>Version 4.1 - 2026</v>
      </c>
      <c r="P74" s="89" t="str">
        <f>IF(ISNUMBER($D74)=TRUE,'Input Prescr. Lighting Measures'!F76,"")</f>
        <v/>
      </c>
      <c r="Q74" s="42" t="str">
        <f>'Input Prescr. Lighting Measures'!U76</f>
        <v/>
      </c>
    </row>
    <row r="75" spans="1:17" x14ac:dyDescent="0.2">
      <c r="A75" s="15" t="s">
        <v>6238</v>
      </c>
      <c r="B75" s="14">
        <f t="shared" si="0"/>
        <v>0</v>
      </c>
      <c r="C75" s="14">
        <f>'Input Prescr. Lighting Measures'!B77</f>
        <v>73</v>
      </c>
      <c r="D75" s="14" t="str">
        <f>'Input Prescr. Lighting Measures'!C77</f>
        <v/>
      </c>
      <c r="E75" s="14" t="str">
        <f>'Input Prescr. Lighting Measures'!G77</f>
        <v/>
      </c>
      <c r="F75" s="14" t="str">
        <f>IF(ISNUMBER($D75)=TRUE,'Input Prescr. Lighting Measures'!AX77,"")</f>
        <v/>
      </c>
      <c r="G75" s="14" t="str">
        <f>IF(ISNUMBER($D75)=TRUE,'Input Prescr. Lighting Measures'!V77,"")</f>
        <v/>
      </c>
      <c r="H75" s="104" t="str">
        <f>IF(ISNUMBER($D75)=TRUE,'Input Prescr. Lighting Measures'!W77,"")</f>
        <v/>
      </c>
      <c r="I75" s="45" t="str">
        <f>IFERROR(Q75*MIN(Table_Measure_Caps[[#Totals],[Estimated Raw Incentive Total]], Table_Measure_Caps[[#Totals],[Gross Measure Cost Total]], Value_Project_CAP)/Table_Measure_Caps[[#Totals],[Estimated Raw Incentive Total]], "")</f>
        <v/>
      </c>
      <c r="J75" s="45">
        <f>'Input Prescr. Lighting Measures'!R77*'Input Prescr. Lighting Measures'!M77</f>
        <v>0</v>
      </c>
      <c r="K75" s="14">
        <f>'Input Prescr. Lighting Measures'!S77</f>
        <v>0</v>
      </c>
      <c r="L75" s="15" t="e">
        <f>'Input Prescr. Lighting Measures'!AG77</f>
        <v>#N/A</v>
      </c>
      <c r="M75" s="15" t="str">
        <f>IF(ISNUMBER($D75)=TRUE,'Input Prescr. Lighting Measures'!K77,"")</f>
        <v/>
      </c>
      <c r="N75" s="15" t="str">
        <f>IF(ISNUMBER($D75)=TRUE,'Input Prescr. Lighting Measures'!N77,"")</f>
        <v/>
      </c>
      <c r="O75" s="31" t="str">
        <f t="shared" si="2"/>
        <v>Version 4.1 - 2026</v>
      </c>
      <c r="P75" s="89" t="str">
        <f>IF(ISNUMBER($D75)=TRUE,'Input Prescr. Lighting Measures'!F77,"")</f>
        <v/>
      </c>
      <c r="Q75" s="42" t="str">
        <f>'Input Prescr. Lighting Measures'!U77</f>
        <v/>
      </c>
    </row>
    <row r="76" spans="1:17" x14ac:dyDescent="0.2">
      <c r="A76" s="15" t="s">
        <v>6238</v>
      </c>
      <c r="B76" s="14">
        <f t="shared" si="0"/>
        <v>0</v>
      </c>
      <c r="C76" s="14">
        <f>'Input Prescr. Lighting Measures'!B78</f>
        <v>74</v>
      </c>
      <c r="D76" s="14" t="str">
        <f>'Input Prescr. Lighting Measures'!C78</f>
        <v/>
      </c>
      <c r="E76" s="14" t="str">
        <f>'Input Prescr. Lighting Measures'!G78</f>
        <v/>
      </c>
      <c r="F76" s="14" t="str">
        <f>IF(ISNUMBER($D76)=TRUE,'Input Prescr. Lighting Measures'!AX78,"")</f>
        <v/>
      </c>
      <c r="G76" s="14" t="str">
        <f>IF(ISNUMBER($D76)=TRUE,'Input Prescr. Lighting Measures'!V78,"")</f>
        <v/>
      </c>
      <c r="H76" s="104" t="str">
        <f>IF(ISNUMBER($D76)=TRUE,'Input Prescr. Lighting Measures'!W78,"")</f>
        <v/>
      </c>
      <c r="I76" s="45" t="str">
        <f>IFERROR(Q76*MIN(Table_Measure_Caps[[#Totals],[Estimated Raw Incentive Total]], Table_Measure_Caps[[#Totals],[Gross Measure Cost Total]], Value_Project_CAP)/Table_Measure_Caps[[#Totals],[Estimated Raw Incentive Total]], "")</f>
        <v/>
      </c>
      <c r="J76" s="45">
        <f>'Input Prescr. Lighting Measures'!R78*'Input Prescr. Lighting Measures'!M78</f>
        <v>0</v>
      </c>
      <c r="K76" s="14">
        <f>'Input Prescr. Lighting Measures'!S78</f>
        <v>0</v>
      </c>
      <c r="L76" s="15" t="e">
        <f>'Input Prescr. Lighting Measures'!AG78</f>
        <v>#N/A</v>
      </c>
      <c r="M76" s="15" t="str">
        <f>IF(ISNUMBER($D76)=TRUE,'Input Prescr. Lighting Measures'!K78,"")</f>
        <v/>
      </c>
      <c r="N76" s="15" t="str">
        <f>IF(ISNUMBER($D76)=TRUE,'Input Prescr. Lighting Measures'!N78,"")</f>
        <v/>
      </c>
      <c r="O76" s="31" t="str">
        <f t="shared" si="2"/>
        <v>Version 4.1 - 2026</v>
      </c>
      <c r="P76" s="89" t="str">
        <f>IF(ISNUMBER($D76)=TRUE,'Input Prescr. Lighting Measures'!F78,"")</f>
        <v/>
      </c>
      <c r="Q76" s="42" t="str">
        <f>'Input Prescr. Lighting Measures'!U78</f>
        <v/>
      </c>
    </row>
    <row r="77" spans="1:17" x14ac:dyDescent="0.2">
      <c r="A77" s="15" t="s">
        <v>6238</v>
      </c>
      <c r="B77" s="14">
        <f t="shared" si="0"/>
        <v>0</v>
      </c>
      <c r="C77" s="14">
        <f>'Input Prescr. Lighting Measures'!B79</f>
        <v>75</v>
      </c>
      <c r="D77" s="14" t="str">
        <f>'Input Prescr. Lighting Measures'!C79</f>
        <v/>
      </c>
      <c r="E77" s="14" t="str">
        <f>'Input Prescr. Lighting Measures'!G79</f>
        <v/>
      </c>
      <c r="F77" s="14" t="str">
        <f>IF(ISNUMBER($D77)=TRUE,'Input Prescr. Lighting Measures'!AX79,"")</f>
        <v/>
      </c>
      <c r="G77" s="14" t="str">
        <f>IF(ISNUMBER($D77)=TRUE,'Input Prescr. Lighting Measures'!V79,"")</f>
        <v/>
      </c>
      <c r="H77" s="104" t="str">
        <f>IF(ISNUMBER($D77)=TRUE,'Input Prescr. Lighting Measures'!W79,"")</f>
        <v/>
      </c>
      <c r="I77" s="45" t="str">
        <f>IFERROR(Q77*MIN(Table_Measure_Caps[[#Totals],[Estimated Raw Incentive Total]], Table_Measure_Caps[[#Totals],[Gross Measure Cost Total]], Value_Project_CAP)/Table_Measure_Caps[[#Totals],[Estimated Raw Incentive Total]], "")</f>
        <v/>
      </c>
      <c r="J77" s="45">
        <f>'Input Prescr. Lighting Measures'!R79*'Input Prescr. Lighting Measures'!M79</f>
        <v>0</v>
      </c>
      <c r="K77" s="14">
        <f>'Input Prescr. Lighting Measures'!S79</f>
        <v>0</v>
      </c>
      <c r="L77" s="15" t="e">
        <f>'Input Prescr. Lighting Measures'!AG79</f>
        <v>#N/A</v>
      </c>
      <c r="M77" s="15" t="str">
        <f>IF(ISNUMBER($D77)=TRUE,'Input Prescr. Lighting Measures'!K79,"")</f>
        <v/>
      </c>
      <c r="N77" s="15" t="str">
        <f>IF(ISNUMBER($D77)=TRUE,'Input Prescr. Lighting Measures'!N79,"")</f>
        <v/>
      </c>
      <c r="O77" s="31" t="str">
        <f t="shared" si="2"/>
        <v>Version 4.1 - 2026</v>
      </c>
      <c r="P77" s="89" t="str">
        <f>IF(ISNUMBER($D77)=TRUE,'Input Prescr. Lighting Measures'!F79,"")</f>
        <v/>
      </c>
      <c r="Q77" s="42" t="str">
        <f>'Input Prescr. Lighting Measures'!U79</f>
        <v/>
      </c>
    </row>
    <row r="78" spans="1:17" x14ac:dyDescent="0.2">
      <c r="A78" s="15" t="s">
        <v>6238</v>
      </c>
      <c r="B78" s="14">
        <f t="shared" si="0"/>
        <v>0</v>
      </c>
      <c r="C78" s="14">
        <f>'Input Prescr. Lighting Measures'!B80</f>
        <v>76</v>
      </c>
      <c r="D78" s="14" t="str">
        <f>'Input Prescr. Lighting Measures'!C80</f>
        <v/>
      </c>
      <c r="E78" s="14" t="str">
        <f>'Input Prescr. Lighting Measures'!G80</f>
        <v/>
      </c>
      <c r="F78" s="14" t="str">
        <f>IF(ISNUMBER($D78)=TRUE,'Input Prescr. Lighting Measures'!AX80,"")</f>
        <v/>
      </c>
      <c r="G78" s="14" t="str">
        <f>IF(ISNUMBER($D78)=TRUE,'Input Prescr. Lighting Measures'!V80,"")</f>
        <v/>
      </c>
      <c r="H78" s="104" t="str">
        <f>IF(ISNUMBER($D78)=TRUE,'Input Prescr. Lighting Measures'!W80,"")</f>
        <v/>
      </c>
      <c r="I78" s="45" t="str">
        <f>IFERROR(Q78*MIN(Table_Measure_Caps[[#Totals],[Estimated Raw Incentive Total]], Table_Measure_Caps[[#Totals],[Gross Measure Cost Total]], Value_Project_CAP)/Table_Measure_Caps[[#Totals],[Estimated Raw Incentive Total]], "")</f>
        <v/>
      </c>
      <c r="J78" s="45">
        <f>'Input Prescr. Lighting Measures'!R80*'Input Prescr. Lighting Measures'!M80</f>
        <v>0</v>
      </c>
      <c r="K78" s="14">
        <f>'Input Prescr. Lighting Measures'!S80</f>
        <v>0</v>
      </c>
      <c r="L78" s="15" t="e">
        <f>'Input Prescr. Lighting Measures'!AG80</f>
        <v>#N/A</v>
      </c>
      <c r="M78" s="15" t="str">
        <f>IF(ISNUMBER($D78)=TRUE,'Input Prescr. Lighting Measures'!K80,"")</f>
        <v/>
      </c>
      <c r="N78" s="15" t="str">
        <f>IF(ISNUMBER($D78)=TRUE,'Input Prescr. Lighting Measures'!N80,"")</f>
        <v/>
      </c>
      <c r="O78" s="31" t="str">
        <f t="shared" si="2"/>
        <v>Version 4.1 - 2026</v>
      </c>
      <c r="P78" s="89" t="str">
        <f>IF(ISNUMBER($D78)=TRUE,'Input Prescr. Lighting Measures'!F80,"")</f>
        <v/>
      </c>
      <c r="Q78" s="42" t="str">
        <f>'Input Prescr. Lighting Measures'!U80</f>
        <v/>
      </c>
    </row>
    <row r="79" spans="1:17" x14ac:dyDescent="0.2">
      <c r="A79" s="15" t="s">
        <v>6238</v>
      </c>
      <c r="B79" s="14">
        <f t="shared" si="0"/>
        <v>0</v>
      </c>
      <c r="C79" s="14">
        <f>'Input Prescr. Lighting Measures'!B81</f>
        <v>77</v>
      </c>
      <c r="D79" s="14" t="str">
        <f>'Input Prescr. Lighting Measures'!C81</f>
        <v/>
      </c>
      <c r="E79" s="14" t="str">
        <f>'Input Prescr. Lighting Measures'!G81</f>
        <v/>
      </c>
      <c r="F79" s="14" t="str">
        <f>IF(ISNUMBER($D79)=TRUE,'Input Prescr. Lighting Measures'!AX81,"")</f>
        <v/>
      </c>
      <c r="G79" s="14" t="str">
        <f>IF(ISNUMBER($D79)=TRUE,'Input Prescr. Lighting Measures'!V81,"")</f>
        <v/>
      </c>
      <c r="H79" s="104" t="str">
        <f>IF(ISNUMBER($D79)=TRUE,'Input Prescr. Lighting Measures'!W81,"")</f>
        <v/>
      </c>
      <c r="I79" s="45" t="str">
        <f>IFERROR(Q79*MIN(Table_Measure_Caps[[#Totals],[Estimated Raw Incentive Total]], Table_Measure_Caps[[#Totals],[Gross Measure Cost Total]], Value_Project_CAP)/Table_Measure_Caps[[#Totals],[Estimated Raw Incentive Total]], "")</f>
        <v/>
      </c>
      <c r="J79" s="45">
        <f>'Input Prescr. Lighting Measures'!R81*'Input Prescr. Lighting Measures'!M81</f>
        <v>0</v>
      </c>
      <c r="K79" s="14">
        <f>'Input Prescr. Lighting Measures'!S81</f>
        <v>0</v>
      </c>
      <c r="L79" s="15" t="e">
        <f>'Input Prescr. Lighting Measures'!AG81</f>
        <v>#N/A</v>
      </c>
      <c r="M79" s="15" t="str">
        <f>IF(ISNUMBER($D79)=TRUE,'Input Prescr. Lighting Measures'!K81,"")</f>
        <v/>
      </c>
      <c r="N79" s="15" t="str">
        <f>IF(ISNUMBER($D79)=TRUE,'Input Prescr. Lighting Measures'!N81,"")</f>
        <v/>
      </c>
      <c r="O79" s="31" t="str">
        <f t="shared" si="2"/>
        <v>Version 4.1 - 2026</v>
      </c>
      <c r="P79" s="89" t="str">
        <f>IF(ISNUMBER($D79)=TRUE,'Input Prescr. Lighting Measures'!F81,"")</f>
        <v/>
      </c>
      <c r="Q79" s="42" t="str">
        <f>'Input Prescr. Lighting Measures'!U81</f>
        <v/>
      </c>
    </row>
    <row r="80" spans="1:17" x14ac:dyDescent="0.2">
      <c r="A80" s="15" t="s">
        <v>6238</v>
      </c>
      <c r="B80" s="14">
        <f t="shared" si="0"/>
        <v>0</v>
      </c>
      <c r="C80" s="14">
        <f>'Input Prescr. Lighting Measures'!B82</f>
        <v>78</v>
      </c>
      <c r="D80" s="14" t="str">
        <f>'Input Prescr. Lighting Measures'!C82</f>
        <v/>
      </c>
      <c r="E80" s="14" t="str">
        <f>'Input Prescr. Lighting Measures'!G82</f>
        <v/>
      </c>
      <c r="F80" s="14" t="str">
        <f>IF(ISNUMBER($D80)=TRUE,'Input Prescr. Lighting Measures'!AX82,"")</f>
        <v/>
      </c>
      <c r="G80" s="14" t="str">
        <f>IF(ISNUMBER($D80)=TRUE,'Input Prescr. Lighting Measures'!V82,"")</f>
        <v/>
      </c>
      <c r="H80" s="104" t="str">
        <f>IF(ISNUMBER($D80)=TRUE,'Input Prescr. Lighting Measures'!W82,"")</f>
        <v/>
      </c>
      <c r="I80" s="45" t="str">
        <f>IFERROR(Q80*MIN(Table_Measure_Caps[[#Totals],[Estimated Raw Incentive Total]], Table_Measure_Caps[[#Totals],[Gross Measure Cost Total]], Value_Project_CAP)/Table_Measure_Caps[[#Totals],[Estimated Raw Incentive Total]], "")</f>
        <v/>
      </c>
      <c r="J80" s="45">
        <f>'Input Prescr. Lighting Measures'!R82*'Input Prescr. Lighting Measures'!M82</f>
        <v>0</v>
      </c>
      <c r="K80" s="14">
        <f>'Input Prescr. Lighting Measures'!S82</f>
        <v>0</v>
      </c>
      <c r="L80" s="15" t="e">
        <f>'Input Prescr. Lighting Measures'!AG82</f>
        <v>#N/A</v>
      </c>
      <c r="M80" s="15" t="str">
        <f>IF(ISNUMBER($D80)=TRUE,'Input Prescr. Lighting Measures'!K82,"")</f>
        <v/>
      </c>
      <c r="N80" s="15" t="str">
        <f>IF(ISNUMBER($D80)=TRUE,'Input Prescr. Lighting Measures'!N82,"")</f>
        <v/>
      </c>
      <c r="O80" s="31" t="str">
        <f t="shared" si="2"/>
        <v>Version 4.1 - 2026</v>
      </c>
      <c r="P80" s="89" t="str">
        <f>IF(ISNUMBER($D80)=TRUE,'Input Prescr. Lighting Measures'!F82,"")</f>
        <v/>
      </c>
      <c r="Q80" s="42" t="str">
        <f>'Input Prescr. Lighting Measures'!U82</f>
        <v/>
      </c>
    </row>
    <row r="81" spans="1:17" x14ac:dyDescent="0.2">
      <c r="A81" s="15" t="s">
        <v>6238</v>
      </c>
      <c r="B81" s="14">
        <f t="shared" si="0"/>
        <v>0</v>
      </c>
      <c r="C81" s="14">
        <f>'Input Prescr. Lighting Measures'!B83</f>
        <v>79</v>
      </c>
      <c r="D81" s="14" t="str">
        <f>'Input Prescr. Lighting Measures'!C83</f>
        <v/>
      </c>
      <c r="E81" s="14" t="str">
        <f>'Input Prescr. Lighting Measures'!G83</f>
        <v/>
      </c>
      <c r="F81" s="14" t="str">
        <f>IF(ISNUMBER($D81)=TRUE,'Input Prescr. Lighting Measures'!AX83,"")</f>
        <v/>
      </c>
      <c r="G81" s="14" t="str">
        <f>IF(ISNUMBER($D81)=TRUE,'Input Prescr. Lighting Measures'!V83,"")</f>
        <v/>
      </c>
      <c r="H81" s="104" t="str">
        <f>IF(ISNUMBER($D81)=TRUE,'Input Prescr. Lighting Measures'!W83,"")</f>
        <v/>
      </c>
      <c r="I81" s="45" t="str">
        <f>IFERROR(Q81*MIN(Table_Measure_Caps[[#Totals],[Estimated Raw Incentive Total]], Table_Measure_Caps[[#Totals],[Gross Measure Cost Total]], Value_Project_CAP)/Table_Measure_Caps[[#Totals],[Estimated Raw Incentive Total]], "")</f>
        <v/>
      </c>
      <c r="J81" s="45">
        <f>'Input Prescr. Lighting Measures'!R83*'Input Prescr. Lighting Measures'!M83</f>
        <v>0</v>
      </c>
      <c r="K81" s="14">
        <f>'Input Prescr. Lighting Measures'!S83</f>
        <v>0</v>
      </c>
      <c r="L81" s="15" t="e">
        <f>'Input Prescr. Lighting Measures'!AG83</f>
        <v>#N/A</v>
      </c>
      <c r="M81" s="15" t="str">
        <f>IF(ISNUMBER($D81)=TRUE,'Input Prescr. Lighting Measures'!K83,"")</f>
        <v/>
      </c>
      <c r="N81" s="15" t="str">
        <f>IF(ISNUMBER($D81)=TRUE,'Input Prescr. Lighting Measures'!N83,"")</f>
        <v/>
      </c>
      <c r="O81" s="31" t="str">
        <f t="shared" si="2"/>
        <v>Version 4.1 - 2026</v>
      </c>
      <c r="P81" s="89" t="str">
        <f>IF(ISNUMBER($D81)=TRUE,'Input Prescr. Lighting Measures'!F83,"")</f>
        <v/>
      </c>
      <c r="Q81" s="42" t="str">
        <f>'Input Prescr. Lighting Measures'!U83</f>
        <v/>
      </c>
    </row>
    <row r="82" spans="1:17" x14ac:dyDescent="0.2">
      <c r="A82" s="15" t="s">
        <v>6238</v>
      </c>
      <c r="B82" s="14">
        <f t="shared" si="0"/>
        <v>0</v>
      </c>
      <c r="C82" s="14">
        <f>'Input Prescr. Lighting Measures'!B84</f>
        <v>80</v>
      </c>
      <c r="D82" s="14" t="str">
        <f>'Input Prescr. Lighting Measures'!C84</f>
        <v/>
      </c>
      <c r="E82" s="14" t="str">
        <f>'Input Prescr. Lighting Measures'!G84</f>
        <v/>
      </c>
      <c r="F82" s="14" t="str">
        <f>IF(ISNUMBER($D82)=TRUE,'Input Prescr. Lighting Measures'!AX84,"")</f>
        <v/>
      </c>
      <c r="G82" s="14" t="str">
        <f>IF(ISNUMBER($D82)=TRUE,'Input Prescr. Lighting Measures'!V84,"")</f>
        <v/>
      </c>
      <c r="H82" s="104" t="str">
        <f>IF(ISNUMBER($D82)=TRUE,'Input Prescr. Lighting Measures'!W84,"")</f>
        <v/>
      </c>
      <c r="I82" s="45" t="str">
        <f>IFERROR(Q82*MIN(Table_Measure_Caps[[#Totals],[Estimated Raw Incentive Total]], Table_Measure_Caps[[#Totals],[Gross Measure Cost Total]], Value_Project_CAP)/Table_Measure_Caps[[#Totals],[Estimated Raw Incentive Total]], "")</f>
        <v/>
      </c>
      <c r="J82" s="45">
        <f>'Input Prescr. Lighting Measures'!R84*'Input Prescr. Lighting Measures'!M84</f>
        <v>0</v>
      </c>
      <c r="K82" s="14">
        <f>'Input Prescr. Lighting Measures'!S84</f>
        <v>0</v>
      </c>
      <c r="L82" s="15" t="e">
        <f>'Input Prescr. Lighting Measures'!AG84</f>
        <v>#N/A</v>
      </c>
      <c r="M82" s="15" t="str">
        <f>IF(ISNUMBER($D82)=TRUE,'Input Prescr. Lighting Measures'!K84,"")</f>
        <v/>
      </c>
      <c r="N82" s="15" t="str">
        <f>IF(ISNUMBER($D82)=TRUE,'Input Prescr. Lighting Measures'!N84,"")</f>
        <v/>
      </c>
      <c r="O82" s="31" t="str">
        <f t="shared" si="2"/>
        <v>Version 4.1 - 2026</v>
      </c>
      <c r="P82" s="89" t="str">
        <f>IF(ISNUMBER($D82)=TRUE,'Input Prescr. Lighting Measures'!F84,"")</f>
        <v/>
      </c>
      <c r="Q82" s="42" t="str">
        <f>'Input Prescr. Lighting Measures'!U84</f>
        <v/>
      </c>
    </row>
    <row r="83" spans="1:17" x14ac:dyDescent="0.2">
      <c r="A83" s="15" t="s">
        <v>6238</v>
      </c>
      <c r="B83" s="14">
        <f t="shared" si="0"/>
        <v>0</v>
      </c>
      <c r="C83" s="14">
        <f>'Input Prescr. Lighting Measures'!B85</f>
        <v>81</v>
      </c>
      <c r="D83" s="14" t="str">
        <f>'Input Prescr. Lighting Measures'!C85</f>
        <v/>
      </c>
      <c r="E83" s="14" t="str">
        <f>'Input Prescr. Lighting Measures'!G85</f>
        <v/>
      </c>
      <c r="F83" s="14" t="str">
        <f>IF(ISNUMBER($D83)=TRUE,'Input Prescr. Lighting Measures'!AX85,"")</f>
        <v/>
      </c>
      <c r="G83" s="14" t="str">
        <f>IF(ISNUMBER($D83)=TRUE,'Input Prescr. Lighting Measures'!V85,"")</f>
        <v/>
      </c>
      <c r="H83" s="104" t="str">
        <f>IF(ISNUMBER($D83)=TRUE,'Input Prescr. Lighting Measures'!W85,"")</f>
        <v/>
      </c>
      <c r="I83" s="45" t="str">
        <f>IFERROR(Q83*MIN(Table_Measure_Caps[[#Totals],[Estimated Raw Incentive Total]], Table_Measure_Caps[[#Totals],[Gross Measure Cost Total]], Value_Project_CAP)/Table_Measure_Caps[[#Totals],[Estimated Raw Incentive Total]], "")</f>
        <v/>
      </c>
      <c r="J83" s="45">
        <f>'Input Prescr. Lighting Measures'!R85*'Input Prescr. Lighting Measures'!M85</f>
        <v>0</v>
      </c>
      <c r="K83" s="14">
        <f>'Input Prescr. Lighting Measures'!S85</f>
        <v>0</v>
      </c>
      <c r="L83" s="15" t="e">
        <f>'Input Prescr. Lighting Measures'!AG85</f>
        <v>#N/A</v>
      </c>
      <c r="M83" s="15" t="str">
        <f>IF(ISNUMBER($D83)=TRUE,'Input Prescr. Lighting Measures'!K85,"")</f>
        <v/>
      </c>
      <c r="N83" s="15" t="str">
        <f>IF(ISNUMBER($D83)=TRUE,'Input Prescr. Lighting Measures'!N85,"")</f>
        <v/>
      </c>
      <c r="O83" s="31" t="str">
        <f t="shared" si="2"/>
        <v>Version 4.1 - 2026</v>
      </c>
      <c r="P83" s="89" t="str">
        <f>IF(ISNUMBER($D83)=TRUE,'Input Prescr. Lighting Measures'!F85,"")</f>
        <v/>
      </c>
      <c r="Q83" s="42" t="str">
        <f>'Input Prescr. Lighting Measures'!U85</f>
        <v/>
      </c>
    </row>
    <row r="84" spans="1:17" x14ac:dyDescent="0.2">
      <c r="A84" s="15" t="s">
        <v>6238</v>
      </c>
      <c r="B84" s="14">
        <f t="shared" si="0"/>
        <v>0</v>
      </c>
      <c r="C84" s="14">
        <f>'Input Prescr. Lighting Measures'!B86</f>
        <v>82</v>
      </c>
      <c r="D84" s="14" t="str">
        <f>'Input Prescr. Lighting Measures'!C86</f>
        <v/>
      </c>
      <c r="E84" s="14" t="str">
        <f>'Input Prescr. Lighting Measures'!G86</f>
        <v/>
      </c>
      <c r="F84" s="14" t="str">
        <f>IF(ISNUMBER($D84)=TRUE,'Input Prescr. Lighting Measures'!AX86,"")</f>
        <v/>
      </c>
      <c r="G84" s="14" t="str">
        <f>IF(ISNUMBER($D84)=TRUE,'Input Prescr. Lighting Measures'!V86,"")</f>
        <v/>
      </c>
      <c r="H84" s="104" t="str">
        <f>IF(ISNUMBER($D84)=TRUE,'Input Prescr. Lighting Measures'!W86,"")</f>
        <v/>
      </c>
      <c r="I84" s="45" t="str">
        <f>IFERROR(Q84*MIN(Table_Measure_Caps[[#Totals],[Estimated Raw Incentive Total]], Table_Measure_Caps[[#Totals],[Gross Measure Cost Total]], Value_Project_CAP)/Table_Measure_Caps[[#Totals],[Estimated Raw Incentive Total]], "")</f>
        <v/>
      </c>
      <c r="J84" s="45">
        <f>'Input Prescr. Lighting Measures'!R86*'Input Prescr. Lighting Measures'!M86</f>
        <v>0</v>
      </c>
      <c r="K84" s="14">
        <f>'Input Prescr. Lighting Measures'!S86</f>
        <v>0</v>
      </c>
      <c r="L84" s="15" t="e">
        <f>'Input Prescr. Lighting Measures'!AG86</f>
        <v>#N/A</v>
      </c>
      <c r="M84" s="15" t="str">
        <f>IF(ISNUMBER($D84)=TRUE,'Input Prescr. Lighting Measures'!K86,"")</f>
        <v/>
      </c>
      <c r="N84" s="15" t="str">
        <f>IF(ISNUMBER($D84)=TRUE,'Input Prescr. Lighting Measures'!N86,"")</f>
        <v/>
      </c>
      <c r="O84" s="31" t="str">
        <f t="shared" si="2"/>
        <v>Version 4.1 - 2026</v>
      </c>
      <c r="P84" s="89" t="str">
        <f>IF(ISNUMBER($D84)=TRUE,'Input Prescr. Lighting Measures'!F86,"")</f>
        <v/>
      </c>
      <c r="Q84" s="42" t="str">
        <f>'Input Prescr. Lighting Measures'!U86</f>
        <v/>
      </c>
    </row>
    <row r="85" spans="1:17" x14ac:dyDescent="0.2">
      <c r="A85" s="15" t="s">
        <v>6238</v>
      </c>
      <c r="B85" s="14">
        <f t="shared" si="0"/>
        <v>0</v>
      </c>
      <c r="C85" s="14">
        <f>'Input Prescr. Lighting Measures'!B87</f>
        <v>83</v>
      </c>
      <c r="D85" s="14" t="str">
        <f>'Input Prescr. Lighting Measures'!C87</f>
        <v/>
      </c>
      <c r="E85" s="14" t="str">
        <f>'Input Prescr. Lighting Measures'!G87</f>
        <v/>
      </c>
      <c r="F85" s="14" t="str">
        <f>IF(ISNUMBER($D85)=TRUE,'Input Prescr. Lighting Measures'!AX87,"")</f>
        <v/>
      </c>
      <c r="G85" s="14" t="str">
        <f>IF(ISNUMBER($D85)=TRUE,'Input Prescr. Lighting Measures'!V87,"")</f>
        <v/>
      </c>
      <c r="H85" s="104" t="str">
        <f>IF(ISNUMBER($D85)=TRUE,'Input Prescr. Lighting Measures'!W87,"")</f>
        <v/>
      </c>
      <c r="I85" s="45" t="str">
        <f>IFERROR(Q85*MIN(Table_Measure_Caps[[#Totals],[Estimated Raw Incentive Total]], Table_Measure_Caps[[#Totals],[Gross Measure Cost Total]], Value_Project_CAP)/Table_Measure_Caps[[#Totals],[Estimated Raw Incentive Total]], "")</f>
        <v/>
      </c>
      <c r="J85" s="45">
        <f>'Input Prescr. Lighting Measures'!R87*'Input Prescr. Lighting Measures'!M87</f>
        <v>0</v>
      </c>
      <c r="K85" s="14">
        <f>'Input Prescr. Lighting Measures'!S87</f>
        <v>0</v>
      </c>
      <c r="L85" s="15" t="e">
        <f>'Input Prescr. Lighting Measures'!AG87</f>
        <v>#N/A</v>
      </c>
      <c r="M85" s="15" t="str">
        <f>IF(ISNUMBER($D85)=TRUE,'Input Prescr. Lighting Measures'!K87,"")</f>
        <v/>
      </c>
      <c r="N85" s="15" t="str">
        <f>IF(ISNUMBER($D85)=TRUE,'Input Prescr. Lighting Measures'!N87,"")</f>
        <v/>
      </c>
      <c r="O85" s="31" t="str">
        <f t="shared" si="2"/>
        <v>Version 4.1 - 2026</v>
      </c>
      <c r="P85" s="89" t="str">
        <f>IF(ISNUMBER($D85)=TRUE,'Input Prescr. Lighting Measures'!F87,"")</f>
        <v/>
      </c>
      <c r="Q85" s="42" t="str">
        <f>'Input Prescr. Lighting Measures'!U87</f>
        <v/>
      </c>
    </row>
    <row r="86" spans="1:17" x14ac:dyDescent="0.2">
      <c r="A86" s="15" t="s">
        <v>6238</v>
      </c>
      <c r="B86" s="14">
        <f t="shared" si="0"/>
        <v>0</v>
      </c>
      <c r="C86" s="14">
        <f>'Input Prescr. Lighting Measures'!B88</f>
        <v>84</v>
      </c>
      <c r="D86" s="14" t="str">
        <f>'Input Prescr. Lighting Measures'!C88</f>
        <v/>
      </c>
      <c r="E86" s="14" t="str">
        <f>'Input Prescr. Lighting Measures'!G88</f>
        <v/>
      </c>
      <c r="F86" s="14" t="str">
        <f>IF(ISNUMBER($D86)=TRUE,'Input Prescr. Lighting Measures'!AX88,"")</f>
        <v/>
      </c>
      <c r="G86" s="14" t="str">
        <f>IF(ISNUMBER($D86)=TRUE,'Input Prescr. Lighting Measures'!V88,"")</f>
        <v/>
      </c>
      <c r="H86" s="104" t="str">
        <f>IF(ISNUMBER($D86)=TRUE,'Input Prescr. Lighting Measures'!W88,"")</f>
        <v/>
      </c>
      <c r="I86" s="45" t="str">
        <f>IFERROR(Q86*MIN(Table_Measure_Caps[[#Totals],[Estimated Raw Incentive Total]], Table_Measure_Caps[[#Totals],[Gross Measure Cost Total]], Value_Project_CAP)/Table_Measure_Caps[[#Totals],[Estimated Raw Incentive Total]], "")</f>
        <v/>
      </c>
      <c r="J86" s="45">
        <f>'Input Prescr. Lighting Measures'!R88*'Input Prescr. Lighting Measures'!M88</f>
        <v>0</v>
      </c>
      <c r="K86" s="14">
        <f>'Input Prescr. Lighting Measures'!S88</f>
        <v>0</v>
      </c>
      <c r="L86" s="15" t="e">
        <f>'Input Prescr. Lighting Measures'!AG88</f>
        <v>#N/A</v>
      </c>
      <c r="M86" s="15" t="str">
        <f>IF(ISNUMBER($D86)=TRUE,'Input Prescr. Lighting Measures'!K88,"")</f>
        <v/>
      </c>
      <c r="N86" s="15" t="str">
        <f>IF(ISNUMBER($D86)=TRUE,'Input Prescr. Lighting Measures'!N88,"")</f>
        <v/>
      </c>
      <c r="O86" s="31" t="str">
        <f t="shared" si="2"/>
        <v>Version 4.1 - 2026</v>
      </c>
      <c r="P86" s="89" t="str">
        <f>IF(ISNUMBER($D86)=TRUE,'Input Prescr. Lighting Measures'!F88,"")</f>
        <v/>
      </c>
      <c r="Q86" s="42" t="str">
        <f>'Input Prescr. Lighting Measures'!U88</f>
        <v/>
      </c>
    </row>
    <row r="87" spans="1:17" x14ac:dyDescent="0.2">
      <c r="A87" s="15" t="s">
        <v>6238</v>
      </c>
      <c r="B87" s="14">
        <f t="shared" si="0"/>
        <v>0</v>
      </c>
      <c r="C87" s="14">
        <f>'Input Prescr. Lighting Measures'!B89</f>
        <v>85</v>
      </c>
      <c r="D87" s="14" t="str">
        <f>'Input Prescr. Lighting Measures'!C89</f>
        <v/>
      </c>
      <c r="E87" s="14" t="str">
        <f>'Input Prescr. Lighting Measures'!G89</f>
        <v/>
      </c>
      <c r="F87" s="14" t="str">
        <f>IF(ISNUMBER($D87)=TRUE,'Input Prescr. Lighting Measures'!AX89,"")</f>
        <v/>
      </c>
      <c r="G87" s="14" t="str">
        <f>IF(ISNUMBER($D87)=TRUE,'Input Prescr. Lighting Measures'!V89,"")</f>
        <v/>
      </c>
      <c r="H87" s="104" t="str">
        <f>IF(ISNUMBER($D87)=TRUE,'Input Prescr. Lighting Measures'!W89,"")</f>
        <v/>
      </c>
      <c r="I87" s="45" t="str">
        <f>IFERROR(Q87*MIN(Table_Measure_Caps[[#Totals],[Estimated Raw Incentive Total]], Table_Measure_Caps[[#Totals],[Gross Measure Cost Total]], Value_Project_CAP)/Table_Measure_Caps[[#Totals],[Estimated Raw Incentive Total]], "")</f>
        <v/>
      </c>
      <c r="J87" s="45">
        <f>'Input Prescr. Lighting Measures'!R89*'Input Prescr. Lighting Measures'!M89</f>
        <v>0</v>
      </c>
      <c r="K87" s="14">
        <f>'Input Prescr. Lighting Measures'!S89</f>
        <v>0</v>
      </c>
      <c r="L87" s="15" t="e">
        <f>'Input Prescr. Lighting Measures'!AG89</f>
        <v>#N/A</v>
      </c>
      <c r="M87" s="15" t="str">
        <f>IF(ISNUMBER($D87)=TRUE,'Input Prescr. Lighting Measures'!K89,"")</f>
        <v/>
      </c>
      <c r="N87" s="15" t="str">
        <f>IF(ISNUMBER($D87)=TRUE,'Input Prescr. Lighting Measures'!N89,"")</f>
        <v/>
      </c>
      <c r="O87" s="31" t="str">
        <f t="shared" si="2"/>
        <v>Version 4.1 - 2026</v>
      </c>
      <c r="P87" s="89" t="str">
        <f>IF(ISNUMBER($D87)=TRUE,'Input Prescr. Lighting Measures'!F89,"")</f>
        <v/>
      </c>
      <c r="Q87" s="42" t="str">
        <f>'Input Prescr. Lighting Measures'!U89</f>
        <v/>
      </c>
    </row>
    <row r="88" spans="1:17" x14ac:dyDescent="0.2">
      <c r="A88" s="15" t="s">
        <v>6238</v>
      </c>
      <c r="B88" s="14">
        <f t="shared" si="0"/>
        <v>0</v>
      </c>
      <c r="C88" s="14">
        <f>'Input Prescr. Lighting Measures'!B90</f>
        <v>86</v>
      </c>
      <c r="D88" s="14" t="str">
        <f>'Input Prescr. Lighting Measures'!C90</f>
        <v/>
      </c>
      <c r="E88" s="14" t="str">
        <f>'Input Prescr. Lighting Measures'!G90</f>
        <v/>
      </c>
      <c r="F88" s="14" t="str">
        <f>IF(ISNUMBER($D88)=TRUE,'Input Prescr. Lighting Measures'!AX90,"")</f>
        <v/>
      </c>
      <c r="G88" s="14" t="str">
        <f>IF(ISNUMBER($D88)=TRUE,'Input Prescr. Lighting Measures'!V90,"")</f>
        <v/>
      </c>
      <c r="H88" s="104" t="str">
        <f>IF(ISNUMBER($D88)=TRUE,'Input Prescr. Lighting Measures'!W90,"")</f>
        <v/>
      </c>
      <c r="I88" s="45" t="str">
        <f>IFERROR(Q88*MIN(Table_Measure_Caps[[#Totals],[Estimated Raw Incentive Total]], Table_Measure_Caps[[#Totals],[Gross Measure Cost Total]], Value_Project_CAP)/Table_Measure_Caps[[#Totals],[Estimated Raw Incentive Total]], "")</f>
        <v/>
      </c>
      <c r="J88" s="45">
        <f>'Input Prescr. Lighting Measures'!R90*'Input Prescr. Lighting Measures'!M90</f>
        <v>0</v>
      </c>
      <c r="K88" s="14">
        <f>'Input Prescr. Lighting Measures'!S90</f>
        <v>0</v>
      </c>
      <c r="L88" s="15" t="e">
        <f>'Input Prescr. Lighting Measures'!AG90</f>
        <v>#N/A</v>
      </c>
      <c r="M88" s="15" t="str">
        <f>IF(ISNUMBER($D88)=TRUE,'Input Prescr. Lighting Measures'!K90,"")</f>
        <v/>
      </c>
      <c r="N88" s="15" t="str">
        <f>IF(ISNUMBER($D88)=TRUE,'Input Prescr. Lighting Measures'!N90,"")</f>
        <v/>
      </c>
      <c r="O88" s="31" t="str">
        <f t="shared" si="2"/>
        <v>Version 4.1 - 2026</v>
      </c>
      <c r="P88" s="89" t="str">
        <f>IF(ISNUMBER($D88)=TRUE,'Input Prescr. Lighting Measures'!F90,"")</f>
        <v/>
      </c>
      <c r="Q88" s="42" t="str">
        <f>'Input Prescr. Lighting Measures'!U90</f>
        <v/>
      </c>
    </row>
    <row r="89" spans="1:17" x14ac:dyDescent="0.2">
      <c r="A89" s="15" t="s">
        <v>6238</v>
      </c>
      <c r="B89" s="14">
        <f t="shared" si="0"/>
        <v>0</v>
      </c>
      <c r="C89" s="14">
        <f>'Input Prescr. Lighting Measures'!B91</f>
        <v>87</v>
      </c>
      <c r="D89" s="14" t="str">
        <f>'Input Prescr. Lighting Measures'!C91</f>
        <v/>
      </c>
      <c r="E89" s="14" t="str">
        <f>'Input Prescr. Lighting Measures'!G91</f>
        <v/>
      </c>
      <c r="F89" s="14" t="str">
        <f>IF(ISNUMBER($D89)=TRUE,'Input Prescr. Lighting Measures'!AX91,"")</f>
        <v/>
      </c>
      <c r="G89" s="14" t="str">
        <f>IF(ISNUMBER($D89)=TRUE,'Input Prescr. Lighting Measures'!V91,"")</f>
        <v/>
      </c>
      <c r="H89" s="104" t="str">
        <f>IF(ISNUMBER($D89)=TRUE,'Input Prescr. Lighting Measures'!W91,"")</f>
        <v/>
      </c>
      <c r="I89" s="45" t="str">
        <f>IFERROR(Q89*MIN(Table_Measure_Caps[[#Totals],[Estimated Raw Incentive Total]], Table_Measure_Caps[[#Totals],[Gross Measure Cost Total]], Value_Project_CAP)/Table_Measure_Caps[[#Totals],[Estimated Raw Incentive Total]], "")</f>
        <v/>
      </c>
      <c r="J89" s="45">
        <f>'Input Prescr. Lighting Measures'!R91*'Input Prescr. Lighting Measures'!M91</f>
        <v>0</v>
      </c>
      <c r="K89" s="14">
        <f>'Input Prescr. Lighting Measures'!S91</f>
        <v>0</v>
      </c>
      <c r="L89" s="15" t="e">
        <f>'Input Prescr. Lighting Measures'!AG91</f>
        <v>#N/A</v>
      </c>
      <c r="M89" s="15" t="str">
        <f>IF(ISNUMBER($D89)=TRUE,'Input Prescr. Lighting Measures'!K91,"")</f>
        <v/>
      </c>
      <c r="N89" s="15" t="str">
        <f>IF(ISNUMBER($D89)=TRUE,'Input Prescr. Lighting Measures'!N91,"")</f>
        <v/>
      </c>
      <c r="O89" s="31" t="str">
        <f t="shared" si="2"/>
        <v>Version 4.1 - 2026</v>
      </c>
      <c r="P89" s="89" t="str">
        <f>IF(ISNUMBER($D89)=TRUE,'Input Prescr. Lighting Measures'!F91,"")</f>
        <v/>
      </c>
      <c r="Q89" s="42" t="str">
        <f>'Input Prescr. Lighting Measures'!U91</f>
        <v/>
      </c>
    </row>
    <row r="90" spans="1:17" x14ac:dyDescent="0.2">
      <c r="A90" s="15" t="s">
        <v>6238</v>
      </c>
      <c r="B90" s="14">
        <f t="shared" si="0"/>
        <v>0</v>
      </c>
      <c r="C90" s="14">
        <f>'Input Prescr. Lighting Measures'!B92</f>
        <v>88</v>
      </c>
      <c r="D90" s="14" t="str">
        <f>'Input Prescr. Lighting Measures'!C92</f>
        <v/>
      </c>
      <c r="E90" s="14" t="str">
        <f>'Input Prescr. Lighting Measures'!G92</f>
        <v/>
      </c>
      <c r="F90" s="14" t="str">
        <f>IF(ISNUMBER($D90)=TRUE,'Input Prescr. Lighting Measures'!AX92,"")</f>
        <v/>
      </c>
      <c r="G90" s="14" t="str">
        <f>IF(ISNUMBER($D90)=TRUE,'Input Prescr. Lighting Measures'!V92,"")</f>
        <v/>
      </c>
      <c r="H90" s="104" t="str">
        <f>IF(ISNUMBER($D90)=TRUE,'Input Prescr. Lighting Measures'!W92,"")</f>
        <v/>
      </c>
      <c r="I90" s="45" t="str">
        <f>IFERROR(Q90*MIN(Table_Measure_Caps[[#Totals],[Estimated Raw Incentive Total]], Table_Measure_Caps[[#Totals],[Gross Measure Cost Total]], Value_Project_CAP)/Table_Measure_Caps[[#Totals],[Estimated Raw Incentive Total]], "")</f>
        <v/>
      </c>
      <c r="J90" s="45">
        <f>'Input Prescr. Lighting Measures'!R92*'Input Prescr. Lighting Measures'!M92</f>
        <v>0</v>
      </c>
      <c r="K90" s="14">
        <f>'Input Prescr. Lighting Measures'!S92</f>
        <v>0</v>
      </c>
      <c r="L90" s="15" t="e">
        <f>'Input Prescr. Lighting Measures'!AG92</f>
        <v>#N/A</v>
      </c>
      <c r="M90" s="15" t="str">
        <f>IF(ISNUMBER($D90)=TRUE,'Input Prescr. Lighting Measures'!K92,"")</f>
        <v/>
      </c>
      <c r="N90" s="15" t="str">
        <f>IF(ISNUMBER($D90)=TRUE,'Input Prescr. Lighting Measures'!N92,"")</f>
        <v/>
      </c>
      <c r="O90" s="31" t="str">
        <f t="shared" si="2"/>
        <v>Version 4.1 - 2026</v>
      </c>
      <c r="P90" s="89" t="str">
        <f>IF(ISNUMBER($D90)=TRUE,'Input Prescr. Lighting Measures'!F92,"")</f>
        <v/>
      </c>
      <c r="Q90" s="42" t="str">
        <f>'Input Prescr. Lighting Measures'!U92</f>
        <v/>
      </c>
    </row>
    <row r="91" spans="1:17" x14ac:dyDescent="0.2">
      <c r="A91" s="15" t="s">
        <v>6238</v>
      </c>
      <c r="B91" s="14">
        <f t="shared" si="0"/>
        <v>0</v>
      </c>
      <c r="C91" s="14">
        <f>'Input Prescr. Lighting Measures'!B93</f>
        <v>89</v>
      </c>
      <c r="D91" s="14" t="str">
        <f>'Input Prescr. Lighting Measures'!C93</f>
        <v/>
      </c>
      <c r="E91" s="14" t="str">
        <f>'Input Prescr. Lighting Measures'!G93</f>
        <v/>
      </c>
      <c r="F91" s="14" t="str">
        <f>IF(ISNUMBER($D91)=TRUE,'Input Prescr. Lighting Measures'!AX93,"")</f>
        <v/>
      </c>
      <c r="G91" s="14" t="str">
        <f>IF(ISNUMBER($D91)=TRUE,'Input Prescr. Lighting Measures'!V93,"")</f>
        <v/>
      </c>
      <c r="H91" s="104" t="str">
        <f>IF(ISNUMBER($D91)=TRUE,'Input Prescr. Lighting Measures'!W93,"")</f>
        <v/>
      </c>
      <c r="I91" s="45" t="str">
        <f>IFERROR(Q91*MIN(Table_Measure_Caps[[#Totals],[Estimated Raw Incentive Total]], Table_Measure_Caps[[#Totals],[Gross Measure Cost Total]], Value_Project_CAP)/Table_Measure_Caps[[#Totals],[Estimated Raw Incentive Total]], "")</f>
        <v/>
      </c>
      <c r="J91" s="45">
        <f>'Input Prescr. Lighting Measures'!R93*'Input Prescr. Lighting Measures'!M93</f>
        <v>0</v>
      </c>
      <c r="K91" s="14">
        <f>'Input Prescr. Lighting Measures'!S93</f>
        <v>0</v>
      </c>
      <c r="L91" s="15" t="e">
        <f>'Input Prescr. Lighting Measures'!AG93</f>
        <v>#N/A</v>
      </c>
      <c r="M91" s="15" t="str">
        <f>IF(ISNUMBER($D91)=TRUE,'Input Prescr. Lighting Measures'!K93,"")</f>
        <v/>
      </c>
      <c r="N91" s="15" t="str">
        <f>IF(ISNUMBER($D91)=TRUE,'Input Prescr. Lighting Measures'!N93,"")</f>
        <v/>
      </c>
      <c r="O91" s="31" t="str">
        <f t="shared" si="2"/>
        <v>Version 4.1 - 2026</v>
      </c>
      <c r="P91" s="89" t="str">
        <f>IF(ISNUMBER($D91)=TRUE,'Input Prescr. Lighting Measures'!F93,"")</f>
        <v/>
      </c>
      <c r="Q91" s="42" t="str">
        <f>'Input Prescr. Lighting Measures'!U93</f>
        <v/>
      </c>
    </row>
    <row r="92" spans="1:17" x14ac:dyDescent="0.2">
      <c r="A92" s="15" t="s">
        <v>6238</v>
      </c>
      <c r="B92" s="14">
        <f t="shared" si="0"/>
        <v>0</v>
      </c>
      <c r="C92" s="14">
        <f>'Input Prescr. Lighting Measures'!B94</f>
        <v>90</v>
      </c>
      <c r="D92" s="14" t="str">
        <f>'Input Prescr. Lighting Measures'!C94</f>
        <v/>
      </c>
      <c r="E92" s="14" t="str">
        <f>'Input Prescr. Lighting Measures'!G94</f>
        <v/>
      </c>
      <c r="F92" s="14" t="str">
        <f>IF(ISNUMBER($D92)=TRUE,'Input Prescr. Lighting Measures'!AX94,"")</f>
        <v/>
      </c>
      <c r="G92" s="14" t="str">
        <f>IF(ISNUMBER($D92)=TRUE,'Input Prescr. Lighting Measures'!V94,"")</f>
        <v/>
      </c>
      <c r="H92" s="104" t="str">
        <f>IF(ISNUMBER($D92)=TRUE,'Input Prescr. Lighting Measures'!W94,"")</f>
        <v/>
      </c>
      <c r="I92" s="45" t="str">
        <f>IFERROR(Q92*MIN(Table_Measure_Caps[[#Totals],[Estimated Raw Incentive Total]], Table_Measure_Caps[[#Totals],[Gross Measure Cost Total]], Value_Project_CAP)/Table_Measure_Caps[[#Totals],[Estimated Raw Incentive Total]], "")</f>
        <v/>
      </c>
      <c r="J92" s="45">
        <f>'Input Prescr. Lighting Measures'!R94*'Input Prescr. Lighting Measures'!M94</f>
        <v>0</v>
      </c>
      <c r="K92" s="14">
        <f>'Input Prescr. Lighting Measures'!S94</f>
        <v>0</v>
      </c>
      <c r="L92" s="15" t="e">
        <f>'Input Prescr. Lighting Measures'!AG94</f>
        <v>#N/A</v>
      </c>
      <c r="M92" s="15" t="str">
        <f>IF(ISNUMBER($D92)=TRUE,'Input Prescr. Lighting Measures'!K94,"")</f>
        <v/>
      </c>
      <c r="N92" s="15" t="str">
        <f>IF(ISNUMBER($D92)=TRUE,'Input Prescr. Lighting Measures'!N94,"")</f>
        <v/>
      </c>
      <c r="O92" s="31" t="str">
        <f t="shared" si="2"/>
        <v>Version 4.1 - 2026</v>
      </c>
      <c r="P92" s="89" t="str">
        <f>IF(ISNUMBER($D92)=TRUE,'Input Prescr. Lighting Measures'!F94,"")</f>
        <v/>
      </c>
      <c r="Q92" s="42" t="str">
        <f>'Input Prescr. Lighting Measures'!U94</f>
        <v/>
      </c>
    </row>
    <row r="93" spans="1:17" x14ac:dyDescent="0.2">
      <c r="A93" s="15" t="s">
        <v>6238</v>
      </c>
      <c r="B93" s="14">
        <f t="shared" si="0"/>
        <v>0</v>
      </c>
      <c r="C93" s="14">
        <f>'Input Prescr. Lighting Measures'!B95</f>
        <v>91</v>
      </c>
      <c r="D93" s="14" t="str">
        <f>'Input Prescr. Lighting Measures'!C95</f>
        <v/>
      </c>
      <c r="E93" s="14" t="str">
        <f>'Input Prescr. Lighting Measures'!G95</f>
        <v/>
      </c>
      <c r="F93" s="14" t="str">
        <f>IF(ISNUMBER($D93)=TRUE,'Input Prescr. Lighting Measures'!AX95,"")</f>
        <v/>
      </c>
      <c r="G93" s="14" t="str">
        <f>IF(ISNUMBER($D93)=TRUE,'Input Prescr. Lighting Measures'!V95,"")</f>
        <v/>
      </c>
      <c r="H93" s="104" t="str">
        <f>IF(ISNUMBER($D93)=TRUE,'Input Prescr. Lighting Measures'!W95,"")</f>
        <v/>
      </c>
      <c r="I93" s="45" t="str">
        <f>IFERROR(Q93*MIN(Table_Measure_Caps[[#Totals],[Estimated Raw Incentive Total]], Table_Measure_Caps[[#Totals],[Gross Measure Cost Total]], Value_Project_CAP)/Table_Measure_Caps[[#Totals],[Estimated Raw Incentive Total]], "")</f>
        <v/>
      </c>
      <c r="J93" s="45">
        <f>'Input Prescr. Lighting Measures'!R95*'Input Prescr. Lighting Measures'!M95</f>
        <v>0</v>
      </c>
      <c r="K93" s="14">
        <f>'Input Prescr. Lighting Measures'!S95</f>
        <v>0</v>
      </c>
      <c r="L93" s="15" t="e">
        <f>'Input Prescr. Lighting Measures'!AG95</f>
        <v>#N/A</v>
      </c>
      <c r="M93" s="15" t="str">
        <f>IF(ISNUMBER($D93)=TRUE,'Input Prescr. Lighting Measures'!K95,"")</f>
        <v/>
      </c>
      <c r="N93" s="15" t="str">
        <f>IF(ISNUMBER($D93)=TRUE,'Input Prescr. Lighting Measures'!N95,"")</f>
        <v/>
      </c>
      <c r="O93" s="31" t="str">
        <f t="shared" si="2"/>
        <v>Version 4.1 - 2026</v>
      </c>
      <c r="P93" s="89" t="str">
        <f>IF(ISNUMBER($D93)=TRUE,'Input Prescr. Lighting Measures'!F95,"")</f>
        <v/>
      </c>
      <c r="Q93" s="42" t="str">
        <f>'Input Prescr. Lighting Measures'!U95</f>
        <v/>
      </c>
    </row>
    <row r="94" spans="1:17" x14ac:dyDescent="0.2">
      <c r="A94" s="15" t="s">
        <v>6238</v>
      </c>
      <c r="B94" s="14">
        <f t="shared" si="0"/>
        <v>0</v>
      </c>
      <c r="C94" s="14">
        <f>'Input Prescr. Lighting Measures'!B96</f>
        <v>92</v>
      </c>
      <c r="D94" s="14" t="str">
        <f>'Input Prescr. Lighting Measures'!C96</f>
        <v/>
      </c>
      <c r="E94" s="14" t="str">
        <f>'Input Prescr. Lighting Measures'!G96</f>
        <v/>
      </c>
      <c r="F94" s="14" t="str">
        <f>IF(ISNUMBER($D94)=TRUE,'Input Prescr. Lighting Measures'!AX96,"")</f>
        <v/>
      </c>
      <c r="G94" s="14" t="str">
        <f>IF(ISNUMBER($D94)=TRUE,'Input Prescr. Lighting Measures'!V96,"")</f>
        <v/>
      </c>
      <c r="H94" s="104" t="str">
        <f>IF(ISNUMBER($D94)=TRUE,'Input Prescr. Lighting Measures'!W96,"")</f>
        <v/>
      </c>
      <c r="I94" s="45" t="str">
        <f>IFERROR(Q94*MIN(Table_Measure_Caps[[#Totals],[Estimated Raw Incentive Total]], Table_Measure_Caps[[#Totals],[Gross Measure Cost Total]], Value_Project_CAP)/Table_Measure_Caps[[#Totals],[Estimated Raw Incentive Total]], "")</f>
        <v/>
      </c>
      <c r="J94" s="45">
        <f>'Input Prescr. Lighting Measures'!R96*'Input Prescr. Lighting Measures'!M96</f>
        <v>0</v>
      </c>
      <c r="K94" s="14">
        <f>'Input Prescr. Lighting Measures'!S96</f>
        <v>0</v>
      </c>
      <c r="L94" s="15" t="e">
        <f>'Input Prescr. Lighting Measures'!AG96</f>
        <v>#N/A</v>
      </c>
      <c r="M94" s="15" t="str">
        <f>IF(ISNUMBER($D94)=TRUE,'Input Prescr. Lighting Measures'!K96,"")</f>
        <v/>
      </c>
      <c r="N94" s="15" t="str">
        <f>IF(ISNUMBER($D94)=TRUE,'Input Prescr. Lighting Measures'!N96,"")</f>
        <v/>
      </c>
      <c r="O94" s="31" t="str">
        <f t="shared" si="2"/>
        <v>Version 4.1 - 2026</v>
      </c>
      <c r="P94" s="89" t="str">
        <f>IF(ISNUMBER($D94)=TRUE,'Input Prescr. Lighting Measures'!F96,"")</f>
        <v/>
      </c>
      <c r="Q94" s="42" t="str">
        <f>'Input Prescr. Lighting Measures'!U96</f>
        <v/>
      </c>
    </row>
    <row r="95" spans="1:17" x14ac:dyDescent="0.2">
      <c r="A95" s="15" t="s">
        <v>6238</v>
      </c>
      <c r="B95" s="14">
        <f t="shared" si="0"/>
        <v>0</v>
      </c>
      <c r="C95" s="14">
        <f>'Input Prescr. Lighting Measures'!B97</f>
        <v>93</v>
      </c>
      <c r="D95" s="14" t="str">
        <f>'Input Prescr. Lighting Measures'!C97</f>
        <v/>
      </c>
      <c r="E95" s="14" t="str">
        <f>'Input Prescr. Lighting Measures'!G97</f>
        <v/>
      </c>
      <c r="F95" s="14" t="str">
        <f>IF(ISNUMBER($D95)=TRUE,'Input Prescr. Lighting Measures'!AX97,"")</f>
        <v/>
      </c>
      <c r="G95" s="14" t="str">
        <f>IF(ISNUMBER($D95)=TRUE,'Input Prescr. Lighting Measures'!V97,"")</f>
        <v/>
      </c>
      <c r="H95" s="104" t="str">
        <f>IF(ISNUMBER($D95)=TRUE,'Input Prescr. Lighting Measures'!W97,"")</f>
        <v/>
      </c>
      <c r="I95" s="45" t="str">
        <f>IFERROR(Q95*MIN(Table_Measure_Caps[[#Totals],[Estimated Raw Incentive Total]], Table_Measure_Caps[[#Totals],[Gross Measure Cost Total]], Value_Project_CAP)/Table_Measure_Caps[[#Totals],[Estimated Raw Incentive Total]], "")</f>
        <v/>
      </c>
      <c r="J95" s="45">
        <f>'Input Prescr. Lighting Measures'!R97*'Input Prescr. Lighting Measures'!M97</f>
        <v>0</v>
      </c>
      <c r="K95" s="14">
        <f>'Input Prescr. Lighting Measures'!S97</f>
        <v>0</v>
      </c>
      <c r="L95" s="15" t="e">
        <f>'Input Prescr. Lighting Measures'!AG97</f>
        <v>#N/A</v>
      </c>
      <c r="M95" s="15" t="str">
        <f>IF(ISNUMBER($D95)=TRUE,'Input Prescr. Lighting Measures'!K97,"")</f>
        <v/>
      </c>
      <c r="N95" s="15" t="str">
        <f>IF(ISNUMBER($D95)=TRUE,'Input Prescr. Lighting Measures'!N97,"")</f>
        <v/>
      </c>
      <c r="O95" s="31" t="str">
        <f t="shared" si="2"/>
        <v>Version 4.1 - 2026</v>
      </c>
      <c r="P95" s="89" t="str">
        <f>IF(ISNUMBER($D95)=TRUE,'Input Prescr. Lighting Measures'!F97,"")</f>
        <v/>
      </c>
      <c r="Q95" s="42" t="str">
        <f>'Input Prescr. Lighting Measures'!U97</f>
        <v/>
      </c>
    </row>
    <row r="96" spans="1:17" x14ac:dyDescent="0.2">
      <c r="A96" s="15" t="s">
        <v>6238</v>
      </c>
      <c r="B96" s="14">
        <f t="shared" si="0"/>
        <v>0</v>
      </c>
      <c r="C96" s="14">
        <f>'Input Prescr. Lighting Measures'!B98</f>
        <v>94</v>
      </c>
      <c r="D96" s="14" t="str">
        <f>'Input Prescr. Lighting Measures'!C98</f>
        <v/>
      </c>
      <c r="E96" s="14" t="str">
        <f>'Input Prescr. Lighting Measures'!G98</f>
        <v/>
      </c>
      <c r="F96" s="14" t="str">
        <f>IF(ISNUMBER($D96)=TRUE,'Input Prescr. Lighting Measures'!AX98,"")</f>
        <v/>
      </c>
      <c r="G96" s="14" t="str">
        <f>IF(ISNUMBER($D96)=TRUE,'Input Prescr. Lighting Measures'!V98,"")</f>
        <v/>
      </c>
      <c r="H96" s="104" t="str">
        <f>IF(ISNUMBER($D96)=TRUE,'Input Prescr. Lighting Measures'!W98,"")</f>
        <v/>
      </c>
      <c r="I96" s="45" t="str">
        <f>IFERROR(Q96*MIN(Table_Measure_Caps[[#Totals],[Estimated Raw Incentive Total]], Table_Measure_Caps[[#Totals],[Gross Measure Cost Total]], Value_Project_CAP)/Table_Measure_Caps[[#Totals],[Estimated Raw Incentive Total]], "")</f>
        <v/>
      </c>
      <c r="J96" s="45">
        <f>'Input Prescr. Lighting Measures'!R98*'Input Prescr. Lighting Measures'!M98</f>
        <v>0</v>
      </c>
      <c r="K96" s="14">
        <f>'Input Prescr. Lighting Measures'!S98</f>
        <v>0</v>
      </c>
      <c r="L96" s="15" t="e">
        <f>'Input Prescr. Lighting Measures'!AG98</f>
        <v>#N/A</v>
      </c>
      <c r="M96" s="15" t="str">
        <f>IF(ISNUMBER($D96)=TRUE,'Input Prescr. Lighting Measures'!K98,"")</f>
        <v/>
      </c>
      <c r="N96" s="15" t="str">
        <f>IF(ISNUMBER($D96)=TRUE,'Input Prescr. Lighting Measures'!N98,"")</f>
        <v/>
      </c>
      <c r="O96" s="31" t="str">
        <f t="shared" si="2"/>
        <v>Version 4.1 - 2026</v>
      </c>
      <c r="P96" s="89" t="str">
        <f>IF(ISNUMBER($D96)=TRUE,'Input Prescr. Lighting Measures'!F98,"")</f>
        <v/>
      </c>
      <c r="Q96" s="42" t="str">
        <f>'Input Prescr. Lighting Measures'!U98</f>
        <v/>
      </c>
    </row>
    <row r="97" spans="1:17" x14ac:dyDescent="0.2">
      <c r="A97" s="15" t="s">
        <v>6238</v>
      </c>
      <c r="B97" s="14">
        <f t="shared" si="0"/>
        <v>0</v>
      </c>
      <c r="C97" s="14">
        <f>'Input Prescr. Lighting Measures'!B99</f>
        <v>95</v>
      </c>
      <c r="D97" s="14" t="str">
        <f>'Input Prescr. Lighting Measures'!C99</f>
        <v/>
      </c>
      <c r="E97" s="14" t="str">
        <f>'Input Prescr. Lighting Measures'!G99</f>
        <v/>
      </c>
      <c r="F97" s="14" t="str">
        <f>IF(ISNUMBER($D97)=TRUE,'Input Prescr. Lighting Measures'!AX99,"")</f>
        <v/>
      </c>
      <c r="G97" s="14" t="str">
        <f>IF(ISNUMBER($D97)=TRUE,'Input Prescr. Lighting Measures'!V99,"")</f>
        <v/>
      </c>
      <c r="H97" s="104" t="str">
        <f>IF(ISNUMBER($D97)=TRUE,'Input Prescr. Lighting Measures'!W99,"")</f>
        <v/>
      </c>
      <c r="I97" s="45" t="str">
        <f>IFERROR(Q97*MIN(Table_Measure_Caps[[#Totals],[Estimated Raw Incentive Total]], Table_Measure_Caps[[#Totals],[Gross Measure Cost Total]], Value_Project_CAP)/Table_Measure_Caps[[#Totals],[Estimated Raw Incentive Total]], "")</f>
        <v/>
      </c>
      <c r="J97" s="45">
        <f>'Input Prescr. Lighting Measures'!R99*'Input Prescr. Lighting Measures'!M99</f>
        <v>0</v>
      </c>
      <c r="K97" s="14">
        <f>'Input Prescr. Lighting Measures'!S99</f>
        <v>0</v>
      </c>
      <c r="L97" s="15" t="e">
        <f>'Input Prescr. Lighting Measures'!AG99</f>
        <v>#N/A</v>
      </c>
      <c r="M97" s="15" t="str">
        <f>IF(ISNUMBER($D97)=TRUE,'Input Prescr. Lighting Measures'!K99,"")</f>
        <v/>
      </c>
      <c r="N97" s="15" t="str">
        <f>IF(ISNUMBER($D97)=TRUE,'Input Prescr. Lighting Measures'!N99,"")</f>
        <v/>
      </c>
      <c r="O97" s="31" t="str">
        <f t="shared" si="2"/>
        <v>Version 4.1 - 2026</v>
      </c>
      <c r="P97" s="89" t="str">
        <f>IF(ISNUMBER($D97)=TRUE,'Input Prescr. Lighting Measures'!F99,"")</f>
        <v/>
      </c>
      <c r="Q97" s="42" t="str">
        <f>'Input Prescr. Lighting Measures'!U99</f>
        <v/>
      </c>
    </row>
    <row r="98" spans="1:17" x14ac:dyDescent="0.2">
      <c r="A98" s="15" t="s">
        <v>6238</v>
      </c>
      <c r="B98" s="14">
        <f t="shared" si="0"/>
        <v>0</v>
      </c>
      <c r="C98" s="14">
        <f>'Input Prescr. Lighting Measures'!B100</f>
        <v>96</v>
      </c>
      <c r="D98" s="14" t="str">
        <f>'Input Prescr. Lighting Measures'!C100</f>
        <v/>
      </c>
      <c r="E98" s="14" t="str">
        <f>'Input Prescr. Lighting Measures'!G100</f>
        <v/>
      </c>
      <c r="F98" s="14" t="str">
        <f>IF(ISNUMBER($D98)=TRUE,'Input Prescr. Lighting Measures'!AX100,"")</f>
        <v/>
      </c>
      <c r="G98" s="14" t="str">
        <f>IF(ISNUMBER($D98)=TRUE,'Input Prescr. Lighting Measures'!V100,"")</f>
        <v/>
      </c>
      <c r="H98" s="104" t="str">
        <f>IF(ISNUMBER($D98)=TRUE,'Input Prescr. Lighting Measures'!W100,"")</f>
        <v/>
      </c>
      <c r="I98" s="45" t="str">
        <f>IFERROR(Q98*MIN(Table_Measure_Caps[[#Totals],[Estimated Raw Incentive Total]], Table_Measure_Caps[[#Totals],[Gross Measure Cost Total]], Value_Project_CAP)/Table_Measure_Caps[[#Totals],[Estimated Raw Incentive Total]], "")</f>
        <v/>
      </c>
      <c r="J98" s="45">
        <f>'Input Prescr. Lighting Measures'!R100*'Input Prescr. Lighting Measures'!M100</f>
        <v>0</v>
      </c>
      <c r="K98" s="14">
        <f>'Input Prescr. Lighting Measures'!S100</f>
        <v>0</v>
      </c>
      <c r="L98" s="15" t="e">
        <f>'Input Prescr. Lighting Measures'!AG100</f>
        <v>#N/A</v>
      </c>
      <c r="M98" s="15" t="str">
        <f>IF(ISNUMBER($D98)=TRUE,'Input Prescr. Lighting Measures'!K100,"")</f>
        <v/>
      </c>
      <c r="N98" s="15" t="str">
        <f>IF(ISNUMBER($D98)=TRUE,'Input Prescr. Lighting Measures'!N100,"")</f>
        <v/>
      </c>
      <c r="O98" s="31" t="str">
        <f t="shared" si="2"/>
        <v>Version 4.1 - 2026</v>
      </c>
      <c r="P98" s="89" t="str">
        <f>IF(ISNUMBER($D98)=TRUE,'Input Prescr. Lighting Measures'!F100,"")</f>
        <v/>
      </c>
      <c r="Q98" s="42" t="str">
        <f>'Input Prescr. Lighting Measures'!U100</f>
        <v/>
      </c>
    </row>
    <row r="99" spans="1:17" x14ac:dyDescent="0.2">
      <c r="A99" s="15" t="s">
        <v>6238</v>
      </c>
      <c r="B99" s="14">
        <f t="shared" si="0"/>
        <v>0</v>
      </c>
      <c r="C99" s="14">
        <f>'Input Prescr. Lighting Measures'!B101</f>
        <v>97</v>
      </c>
      <c r="D99" s="14" t="str">
        <f>'Input Prescr. Lighting Measures'!C101</f>
        <v/>
      </c>
      <c r="E99" s="14" t="str">
        <f>'Input Prescr. Lighting Measures'!G101</f>
        <v/>
      </c>
      <c r="F99" s="14" t="str">
        <f>IF(ISNUMBER($D99)=TRUE,'Input Prescr. Lighting Measures'!AX101,"")</f>
        <v/>
      </c>
      <c r="G99" s="14" t="str">
        <f>IF(ISNUMBER($D99)=TRUE,'Input Prescr. Lighting Measures'!V101,"")</f>
        <v/>
      </c>
      <c r="H99" s="104" t="str">
        <f>IF(ISNUMBER($D99)=TRUE,'Input Prescr. Lighting Measures'!W101,"")</f>
        <v/>
      </c>
      <c r="I99" s="45" t="str">
        <f>IFERROR(Q99*MIN(Table_Measure_Caps[[#Totals],[Estimated Raw Incentive Total]], Table_Measure_Caps[[#Totals],[Gross Measure Cost Total]], Value_Project_CAP)/Table_Measure_Caps[[#Totals],[Estimated Raw Incentive Total]], "")</f>
        <v/>
      </c>
      <c r="J99" s="45">
        <f>'Input Prescr. Lighting Measures'!R101*'Input Prescr. Lighting Measures'!M101</f>
        <v>0</v>
      </c>
      <c r="K99" s="14">
        <f>'Input Prescr. Lighting Measures'!S101</f>
        <v>0</v>
      </c>
      <c r="L99" s="15" t="e">
        <f>'Input Prescr. Lighting Measures'!AG101</f>
        <v>#N/A</v>
      </c>
      <c r="M99" s="15" t="str">
        <f>IF(ISNUMBER($D99)=TRUE,'Input Prescr. Lighting Measures'!K101,"")</f>
        <v/>
      </c>
      <c r="N99" s="15" t="str">
        <f>IF(ISNUMBER($D99)=TRUE,'Input Prescr. Lighting Measures'!N101,"")</f>
        <v/>
      </c>
      <c r="O99" s="31" t="str">
        <f t="shared" si="2"/>
        <v>Version 4.1 - 2026</v>
      </c>
      <c r="P99" s="89" t="str">
        <f>IF(ISNUMBER($D99)=TRUE,'Input Prescr. Lighting Measures'!F101,"")</f>
        <v/>
      </c>
      <c r="Q99" s="42" t="str">
        <f>'Input Prescr. Lighting Measures'!U101</f>
        <v/>
      </c>
    </row>
    <row r="100" spans="1:17" x14ac:dyDescent="0.2">
      <c r="A100" s="15" t="s">
        <v>6238</v>
      </c>
      <c r="B100" s="14">
        <f t="shared" si="0"/>
        <v>0</v>
      </c>
      <c r="C100" s="14">
        <f>'Input Prescr. Lighting Measures'!B102</f>
        <v>98</v>
      </c>
      <c r="D100" s="14" t="str">
        <f>'Input Prescr. Lighting Measures'!C102</f>
        <v/>
      </c>
      <c r="E100" s="14" t="str">
        <f>'Input Prescr. Lighting Measures'!G102</f>
        <v/>
      </c>
      <c r="F100" s="14" t="str">
        <f>IF(ISNUMBER($D100)=TRUE,'Input Prescr. Lighting Measures'!AX102,"")</f>
        <v/>
      </c>
      <c r="G100" s="14" t="str">
        <f>IF(ISNUMBER($D100)=TRUE,'Input Prescr. Lighting Measures'!V102,"")</f>
        <v/>
      </c>
      <c r="H100" s="104" t="str">
        <f>IF(ISNUMBER($D100)=TRUE,'Input Prescr. Lighting Measures'!W102,"")</f>
        <v/>
      </c>
      <c r="I100" s="45" t="str">
        <f>IFERROR(Q100*MIN(Table_Measure_Caps[[#Totals],[Estimated Raw Incentive Total]], Table_Measure_Caps[[#Totals],[Gross Measure Cost Total]], Value_Project_CAP)/Table_Measure_Caps[[#Totals],[Estimated Raw Incentive Total]], "")</f>
        <v/>
      </c>
      <c r="J100" s="45">
        <f>'Input Prescr. Lighting Measures'!R102*'Input Prescr. Lighting Measures'!M102</f>
        <v>0</v>
      </c>
      <c r="K100" s="14">
        <f>'Input Prescr. Lighting Measures'!S102</f>
        <v>0</v>
      </c>
      <c r="L100" s="15" t="e">
        <f>'Input Prescr. Lighting Measures'!AG102</f>
        <v>#N/A</v>
      </c>
      <c r="M100" s="15" t="str">
        <f>IF(ISNUMBER($D100)=TRUE,'Input Prescr. Lighting Measures'!K102,"")</f>
        <v/>
      </c>
      <c r="N100" s="15" t="str">
        <f>IF(ISNUMBER($D100)=TRUE,'Input Prescr. Lighting Measures'!N102,"")</f>
        <v/>
      </c>
      <c r="O100" s="31" t="str">
        <f t="shared" si="2"/>
        <v>Version 4.1 - 2026</v>
      </c>
      <c r="P100" s="89" t="str">
        <f>IF(ISNUMBER($D100)=TRUE,'Input Prescr. Lighting Measures'!F102,"")</f>
        <v/>
      </c>
      <c r="Q100" s="42" t="str">
        <f>'Input Prescr. Lighting Measures'!U102</f>
        <v/>
      </c>
    </row>
    <row r="101" spans="1:17" x14ac:dyDescent="0.2">
      <c r="A101" s="15" t="s">
        <v>6238</v>
      </c>
      <c r="B101" s="14">
        <f t="shared" si="0"/>
        <v>0</v>
      </c>
      <c r="C101" s="14">
        <f>'Input Prescr. Lighting Measures'!B103</f>
        <v>99</v>
      </c>
      <c r="D101" s="14" t="str">
        <f>'Input Prescr. Lighting Measures'!C103</f>
        <v/>
      </c>
      <c r="E101" s="14" t="str">
        <f>'Input Prescr. Lighting Measures'!G103</f>
        <v/>
      </c>
      <c r="F101" s="14" t="str">
        <f>IF(ISNUMBER($D101)=TRUE,'Input Prescr. Lighting Measures'!AX103,"")</f>
        <v/>
      </c>
      <c r="G101" s="14" t="str">
        <f>IF(ISNUMBER($D101)=TRUE,'Input Prescr. Lighting Measures'!V103,"")</f>
        <v/>
      </c>
      <c r="H101" s="104" t="str">
        <f>IF(ISNUMBER($D101)=TRUE,'Input Prescr. Lighting Measures'!W103,"")</f>
        <v/>
      </c>
      <c r="I101" s="45" t="str">
        <f>IFERROR(Q101*MIN(Table_Measure_Caps[[#Totals],[Estimated Raw Incentive Total]], Table_Measure_Caps[[#Totals],[Gross Measure Cost Total]], Value_Project_CAP)/Table_Measure_Caps[[#Totals],[Estimated Raw Incentive Total]], "")</f>
        <v/>
      </c>
      <c r="J101" s="45">
        <f>'Input Prescr. Lighting Measures'!R103*'Input Prescr. Lighting Measures'!M103</f>
        <v>0</v>
      </c>
      <c r="K101" s="14">
        <f>'Input Prescr. Lighting Measures'!S103</f>
        <v>0</v>
      </c>
      <c r="L101" s="15" t="e">
        <f>'Input Prescr. Lighting Measures'!AG103</f>
        <v>#N/A</v>
      </c>
      <c r="M101" s="15" t="str">
        <f>IF(ISNUMBER($D101)=TRUE,'Input Prescr. Lighting Measures'!K103,"")</f>
        <v/>
      </c>
      <c r="N101" s="15" t="str">
        <f>IF(ISNUMBER($D101)=TRUE,'Input Prescr. Lighting Measures'!N103,"")</f>
        <v/>
      </c>
      <c r="O101" s="31" t="str">
        <f t="shared" si="2"/>
        <v>Version 4.1 - 2026</v>
      </c>
      <c r="P101" s="89" t="str">
        <f>IF(ISNUMBER($D101)=TRUE,'Input Prescr. Lighting Measures'!F103,"")</f>
        <v/>
      </c>
      <c r="Q101" s="42" t="str">
        <f>'Input Prescr. Lighting Measures'!U103</f>
        <v/>
      </c>
    </row>
    <row r="102" spans="1:17" x14ac:dyDescent="0.2">
      <c r="A102" s="15" t="s">
        <v>6238</v>
      </c>
      <c r="B102" s="14">
        <f t="shared" si="0"/>
        <v>0</v>
      </c>
      <c r="C102" s="14">
        <f>'Input Prescr. Lighting Measures'!B104</f>
        <v>100</v>
      </c>
      <c r="D102" s="14" t="str">
        <f>'Input Prescr. Lighting Measures'!C104</f>
        <v/>
      </c>
      <c r="E102" s="14" t="str">
        <f>'Input Prescr. Lighting Measures'!G104</f>
        <v/>
      </c>
      <c r="F102" s="14" t="str">
        <f>IF(ISNUMBER($D102)=TRUE,'Input Prescr. Lighting Measures'!AX104,"")</f>
        <v/>
      </c>
      <c r="G102" s="14" t="str">
        <f>IF(ISNUMBER($D102)=TRUE,'Input Prescr. Lighting Measures'!V104,"")</f>
        <v/>
      </c>
      <c r="H102" s="104" t="str">
        <f>IF(ISNUMBER($D102)=TRUE,'Input Prescr. Lighting Measures'!W104,"")</f>
        <v/>
      </c>
      <c r="I102" s="45" t="str">
        <f>IFERROR(Q102*MIN(Table_Measure_Caps[[#Totals],[Estimated Raw Incentive Total]], Table_Measure_Caps[[#Totals],[Gross Measure Cost Total]], Value_Project_CAP)/Table_Measure_Caps[[#Totals],[Estimated Raw Incentive Total]], "")</f>
        <v/>
      </c>
      <c r="J102" s="45">
        <f>'Input Prescr. Lighting Measures'!R104*'Input Prescr. Lighting Measures'!M104</f>
        <v>0</v>
      </c>
      <c r="K102" s="14">
        <f>'Input Prescr. Lighting Measures'!S104</f>
        <v>0</v>
      </c>
      <c r="L102" s="15" t="e">
        <f>'Input Prescr. Lighting Measures'!AG104</f>
        <v>#N/A</v>
      </c>
      <c r="M102" s="15" t="str">
        <f>IF(ISNUMBER($D102)=TRUE,'Input Prescr. Lighting Measures'!K104,"")</f>
        <v/>
      </c>
      <c r="N102" s="15" t="str">
        <f>IF(ISNUMBER($D102)=TRUE,'Input Prescr. Lighting Measures'!N104,"")</f>
        <v/>
      </c>
      <c r="O102" s="31" t="str">
        <f t="shared" si="2"/>
        <v>Version 4.1 - 2026</v>
      </c>
      <c r="P102" s="89" t="str">
        <f>IF(ISNUMBER($D102)=TRUE,'Input Prescr. Lighting Measures'!F104,"")</f>
        <v/>
      </c>
      <c r="Q102" s="42" t="str">
        <f>'Input Prescr. Lighting Measures'!U104</f>
        <v/>
      </c>
    </row>
    <row r="103" spans="1:17" x14ac:dyDescent="0.2">
      <c r="A103" s="15" t="s">
        <v>6238</v>
      </c>
      <c r="B103" s="14">
        <f t="shared" si="0"/>
        <v>0</v>
      </c>
      <c r="C103" s="14">
        <f>'Input Prescr. Lighting Measures'!B105</f>
        <v>101</v>
      </c>
      <c r="D103" s="14" t="str">
        <f>'Input Prescr. Lighting Measures'!C105</f>
        <v/>
      </c>
      <c r="E103" s="14" t="str">
        <f>'Input Prescr. Lighting Measures'!G105</f>
        <v/>
      </c>
      <c r="F103" s="14" t="str">
        <f>IF(ISNUMBER($D103)=TRUE,'Input Prescr. Lighting Measures'!AX105,"")</f>
        <v/>
      </c>
      <c r="G103" s="14" t="str">
        <f>IF(ISNUMBER($D103)=TRUE,'Input Prescr. Lighting Measures'!V105,"")</f>
        <v/>
      </c>
      <c r="H103" s="104" t="str">
        <f>IF(ISNUMBER($D103)=TRUE,'Input Prescr. Lighting Measures'!W105,"")</f>
        <v/>
      </c>
      <c r="I103" s="45" t="str">
        <f>IFERROR(Q103*MIN(Table_Measure_Caps[[#Totals],[Estimated Raw Incentive Total]], Table_Measure_Caps[[#Totals],[Gross Measure Cost Total]], Value_Project_CAP)/Table_Measure_Caps[[#Totals],[Estimated Raw Incentive Total]], "")</f>
        <v/>
      </c>
      <c r="J103" s="45">
        <f>'Input Prescr. Lighting Measures'!R105*'Input Prescr. Lighting Measures'!M105</f>
        <v>0</v>
      </c>
      <c r="K103" s="14">
        <f>'Input Prescr. Lighting Measures'!S105</f>
        <v>0</v>
      </c>
      <c r="L103" s="15" t="e">
        <f>'Input Prescr. Lighting Measures'!AG105</f>
        <v>#N/A</v>
      </c>
      <c r="M103" s="15" t="str">
        <f>IF(ISNUMBER($D103)=TRUE,'Input Prescr. Lighting Measures'!K105,"")</f>
        <v/>
      </c>
      <c r="N103" s="15" t="str">
        <f>IF(ISNUMBER($D103)=TRUE,'Input Prescr. Lighting Measures'!N105,"")</f>
        <v/>
      </c>
      <c r="O103" s="31" t="str">
        <f t="shared" si="2"/>
        <v>Version 4.1 - 2026</v>
      </c>
      <c r="P103" s="89" t="str">
        <f>IF(ISNUMBER($D103)=TRUE,'Input Prescr. Lighting Measures'!F105,"")</f>
        <v/>
      </c>
      <c r="Q103" s="42" t="str">
        <f>'Input Prescr. Lighting Measures'!U105</f>
        <v/>
      </c>
    </row>
    <row r="104" spans="1:17" x14ac:dyDescent="0.2">
      <c r="A104" s="15" t="s">
        <v>6238</v>
      </c>
      <c r="B104" s="14">
        <f t="shared" si="0"/>
        <v>0</v>
      </c>
      <c r="C104" s="14">
        <f>'Input Prescr. Lighting Measures'!B106</f>
        <v>102</v>
      </c>
      <c r="D104" s="14" t="str">
        <f>'Input Prescr. Lighting Measures'!C106</f>
        <v/>
      </c>
      <c r="E104" s="14" t="str">
        <f>'Input Prescr. Lighting Measures'!G106</f>
        <v/>
      </c>
      <c r="F104" s="14" t="str">
        <f>IF(ISNUMBER($D104)=TRUE,'Input Prescr. Lighting Measures'!AX106,"")</f>
        <v/>
      </c>
      <c r="G104" s="14" t="str">
        <f>IF(ISNUMBER($D104)=TRUE,'Input Prescr. Lighting Measures'!V106,"")</f>
        <v/>
      </c>
      <c r="H104" s="104" t="str">
        <f>IF(ISNUMBER($D104)=TRUE,'Input Prescr. Lighting Measures'!W106,"")</f>
        <v/>
      </c>
      <c r="I104" s="45" t="str">
        <f>IFERROR(Q104*MIN(Table_Measure_Caps[[#Totals],[Estimated Raw Incentive Total]], Table_Measure_Caps[[#Totals],[Gross Measure Cost Total]], Value_Project_CAP)/Table_Measure_Caps[[#Totals],[Estimated Raw Incentive Total]], "")</f>
        <v/>
      </c>
      <c r="J104" s="45">
        <f>'Input Prescr. Lighting Measures'!R106*'Input Prescr. Lighting Measures'!M106</f>
        <v>0</v>
      </c>
      <c r="K104" s="14">
        <f>'Input Prescr. Lighting Measures'!S106</f>
        <v>0</v>
      </c>
      <c r="L104" s="15" t="e">
        <f>'Input Prescr. Lighting Measures'!AG106</f>
        <v>#N/A</v>
      </c>
      <c r="M104" s="15" t="str">
        <f>IF(ISNUMBER($D104)=TRUE,'Input Prescr. Lighting Measures'!K106,"")</f>
        <v/>
      </c>
      <c r="N104" s="15" t="str">
        <f>IF(ISNUMBER($D104)=TRUE,'Input Prescr. Lighting Measures'!N106,"")</f>
        <v/>
      </c>
      <c r="O104" s="31" t="str">
        <f t="shared" si="2"/>
        <v>Version 4.1 - 2026</v>
      </c>
      <c r="P104" s="89" t="str">
        <f>IF(ISNUMBER($D104)=TRUE,'Input Prescr. Lighting Measures'!F106,"")</f>
        <v/>
      </c>
      <c r="Q104" s="42" t="str">
        <f>'Input Prescr. Lighting Measures'!U106</f>
        <v/>
      </c>
    </row>
    <row r="105" spans="1:17" x14ac:dyDescent="0.2">
      <c r="A105" s="15" t="s">
        <v>6238</v>
      </c>
      <c r="B105" s="14">
        <f t="shared" si="0"/>
        <v>0</v>
      </c>
      <c r="C105" s="14">
        <f>'Input Prescr. Lighting Measures'!B107</f>
        <v>103</v>
      </c>
      <c r="D105" s="14" t="str">
        <f>'Input Prescr. Lighting Measures'!C107</f>
        <v/>
      </c>
      <c r="E105" s="14" t="str">
        <f>'Input Prescr. Lighting Measures'!G107</f>
        <v/>
      </c>
      <c r="F105" s="14" t="str">
        <f>IF(ISNUMBER($D105)=TRUE,'Input Prescr. Lighting Measures'!AX107,"")</f>
        <v/>
      </c>
      <c r="G105" s="14" t="str">
        <f>IF(ISNUMBER($D105)=TRUE,'Input Prescr. Lighting Measures'!V107,"")</f>
        <v/>
      </c>
      <c r="H105" s="104" t="str">
        <f>IF(ISNUMBER($D105)=TRUE,'Input Prescr. Lighting Measures'!W107,"")</f>
        <v/>
      </c>
      <c r="I105" s="45" t="str">
        <f>IFERROR(Q105*MIN(Table_Measure_Caps[[#Totals],[Estimated Raw Incentive Total]], Table_Measure_Caps[[#Totals],[Gross Measure Cost Total]], Value_Project_CAP)/Table_Measure_Caps[[#Totals],[Estimated Raw Incentive Total]], "")</f>
        <v/>
      </c>
      <c r="J105" s="45">
        <f>'Input Prescr. Lighting Measures'!R107*'Input Prescr. Lighting Measures'!M107</f>
        <v>0</v>
      </c>
      <c r="K105" s="14">
        <f>'Input Prescr. Lighting Measures'!S107</f>
        <v>0</v>
      </c>
      <c r="L105" s="15" t="e">
        <f>'Input Prescr. Lighting Measures'!AG107</f>
        <v>#N/A</v>
      </c>
      <c r="M105" s="15" t="str">
        <f>IF(ISNUMBER($D105)=TRUE,'Input Prescr. Lighting Measures'!K107,"")</f>
        <v/>
      </c>
      <c r="N105" s="15" t="str">
        <f>IF(ISNUMBER($D105)=TRUE,'Input Prescr. Lighting Measures'!N107,"")</f>
        <v/>
      </c>
      <c r="O105" s="31" t="str">
        <f t="shared" si="2"/>
        <v>Version 4.1 - 2026</v>
      </c>
      <c r="P105" s="89" t="str">
        <f>IF(ISNUMBER($D105)=TRUE,'Input Prescr. Lighting Measures'!F107,"")</f>
        <v/>
      </c>
      <c r="Q105" s="42" t="str">
        <f>'Input Prescr. Lighting Measures'!U107</f>
        <v/>
      </c>
    </row>
    <row r="106" spans="1:17" x14ac:dyDescent="0.2">
      <c r="A106" s="15" t="s">
        <v>6238</v>
      </c>
      <c r="B106" s="14">
        <f t="shared" si="0"/>
        <v>0</v>
      </c>
      <c r="C106" s="14">
        <f>'Input Prescr. Lighting Measures'!B108</f>
        <v>104</v>
      </c>
      <c r="D106" s="14" t="str">
        <f>'Input Prescr. Lighting Measures'!C108</f>
        <v/>
      </c>
      <c r="E106" s="14" t="str">
        <f>'Input Prescr. Lighting Measures'!G108</f>
        <v/>
      </c>
      <c r="F106" s="14" t="str">
        <f>IF(ISNUMBER($D106)=TRUE,'Input Prescr. Lighting Measures'!AX108,"")</f>
        <v/>
      </c>
      <c r="G106" s="14" t="str">
        <f>IF(ISNUMBER($D106)=TRUE,'Input Prescr. Lighting Measures'!V108,"")</f>
        <v/>
      </c>
      <c r="H106" s="104" t="str">
        <f>IF(ISNUMBER($D106)=TRUE,'Input Prescr. Lighting Measures'!W108,"")</f>
        <v/>
      </c>
      <c r="I106" s="45" t="str">
        <f>IFERROR(Q106*MIN(Table_Measure_Caps[[#Totals],[Estimated Raw Incentive Total]], Table_Measure_Caps[[#Totals],[Gross Measure Cost Total]], Value_Project_CAP)/Table_Measure_Caps[[#Totals],[Estimated Raw Incentive Total]], "")</f>
        <v/>
      </c>
      <c r="J106" s="45">
        <f>'Input Prescr. Lighting Measures'!R108*'Input Prescr. Lighting Measures'!M108</f>
        <v>0</v>
      </c>
      <c r="K106" s="14">
        <f>'Input Prescr. Lighting Measures'!S108</f>
        <v>0</v>
      </c>
      <c r="L106" s="15" t="e">
        <f>'Input Prescr. Lighting Measures'!AG108</f>
        <v>#N/A</v>
      </c>
      <c r="M106" s="15" t="str">
        <f>IF(ISNUMBER($D106)=TRUE,'Input Prescr. Lighting Measures'!K108,"")</f>
        <v/>
      </c>
      <c r="N106" s="15" t="str">
        <f>IF(ISNUMBER($D106)=TRUE,'Input Prescr. Lighting Measures'!N108,"")</f>
        <v/>
      </c>
      <c r="O106" s="31" t="str">
        <f t="shared" si="2"/>
        <v>Version 4.1 - 2026</v>
      </c>
      <c r="P106" s="89" t="str">
        <f>IF(ISNUMBER($D106)=TRUE,'Input Prescr. Lighting Measures'!F108,"")</f>
        <v/>
      </c>
      <c r="Q106" s="42" t="str">
        <f>'Input Prescr. Lighting Measures'!U108</f>
        <v/>
      </c>
    </row>
    <row r="107" spans="1:17" x14ac:dyDescent="0.2">
      <c r="A107" s="15" t="s">
        <v>6238</v>
      </c>
      <c r="B107" s="14">
        <f t="shared" si="0"/>
        <v>0</v>
      </c>
      <c r="C107" s="14">
        <f>'Input Prescr. Lighting Measures'!B109</f>
        <v>105</v>
      </c>
      <c r="D107" s="14" t="str">
        <f>'Input Prescr. Lighting Measures'!C109</f>
        <v/>
      </c>
      <c r="E107" s="14" t="str">
        <f>'Input Prescr. Lighting Measures'!G109</f>
        <v/>
      </c>
      <c r="F107" s="14" t="str">
        <f>IF(ISNUMBER($D107)=TRUE,'Input Prescr. Lighting Measures'!AX109,"")</f>
        <v/>
      </c>
      <c r="G107" s="14" t="str">
        <f>IF(ISNUMBER($D107)=TRUE,'Input Prescr. Lighting Measures'!V109,"")</f>
        <v/>
      </c>
      <c r="H107" s="104" t="str">
        <f>IF(ISNUMBER($D107)=TRUE,'Input Prescr. Lighting Measures'!W109,"")</f>
        <v/>
      </c>
      <c r="I107" s="45" t="str">
        <f>IFERROR(Q107*MIN(Table_Measure_Caps[[#Totals],[Estimated Raw Incentive Total]], Table_Measure_Caps[[#Totals],[Gross Measure Cost Total]], Value_Project_CAP)/Table_Measure_Caps[[#Totals],[Estimated Raw Incentive Total]], "")</f>
        <v/>
      </c>
      <c r="J107" s="45">
        <f>'Input Prescr. Lighting Measures'!R109*'Input Prescr. Lighting Measures'!M109</f>
        <v>0</v>
      </c>
      <c r="K107" s="14">
        <f>'Input Prescr. Lighting Measures'!S109</f>
        <v>0</v>
      </c>
      <c r="L107" s="15" t="e">
        <f>'Input Prescr. Lighting Measures'!AG109</f>
        <v>#N/A</v>
      </c>
      <c r="M107" s="15" t="str">
        <f>IF(ISNUMBER($D107)=TRUE,'Input Prescr. Lighting Measures'!K109,"")</f>
        <v/>
      </c>
      <c r="N107" s="15" t="str">
        <f>IF(ISNUMBER($D107)=TRUE,'Input Prescr. Lighting Measures'!N109,"")</f>
        <v/>
      </c>
      <c r="O107" s="31" t="str">
        <f t="shared" si="2"/>
        <v>Version 4.1 - 2026</v>
      </c>
      <c r="P107" s="89" t="str">
        <f>IF(ISNUMBER($D107)=TRUE,'Input Prescr. Lighting Measures'!F109,"")</f>
        <v/>
      </c>
      <c r="Q107" s="42" t="str">
        <f>'Input Prescr. Lighting Measures'!U109</f>
        <v/>
      </c>
    </row>
    <row r="108" spans="1:17" x14ac:dyDescent="0.2">
      <c r="A108" s="15" t="s">
        <v>6238</v>
      </c>
      <c r="B108" s="14">
        <f t="shared" si="0"/>
        <v>0</v>
      </c>
      <c r="C108" s="14">
        <f>'Input Prescr. Lighting Measures'!B110</f>
        <v>106</v>
      </c>
      <c r="D108" s="14" t="str">
        <f>'Input Prescr. Lighting Measures'!C110</f>
        <v/>
      </c>
      <c r="E108" s="14" t="str">
        <f>'Input Prescr. Lighting Measures'!G110</f>
        <v/>
      </c>
      <c r="F108" s="14" t="str">
        <f>IF(ISNUMBER($D108)=TRUE,'Input Prescr. Lighting Measures'!AX110,"")</f>
        <v/>
      </c>
      <c r="G108" s="14" t="str">
        <f>IF(ISNUMBER($D108)=TRUE,'Input Prescr. Lighting Measures'!V110,"")</f>
        <v/>
      </c>
      <c r="H108" s="104" t="str">
        <f>IF(ISNUMBER($D108)=TRUE,'Input Prescr. Lighting Measures'!W110,"")</f>
        <v/>
      </c>
      <c r="I108" s="45" t="str">
        <f>IFERROR(Q108*MIN(Table_Measure_Caps[[#Totals],[Estimated Raw Incentive Total]], Table_Measure_Caps[[#Totals],[Gross Measure Cost Total]], Value_Project_CAP)/Table_Measure_Caps[[#Totals],[Estimated Raw Incentive Total]], "")</f>
        <v/>
      </c>
      <c r="J108" s="45">
        <f>'Input Prescr. Lighting Measures'!R110*'Input Prescr. Lighting Measures'!M110</f>
        <v>0</v>
      </c>
      <c r="K108" s="14">
        <f>'Input Prescr. Lighting Measures'!S110</f>
        <v>0</v>
      </c>
      <c r="L108" s="15" t="e">
        <f>'Input Prescr. Lighting Measures'!AG110</f>
        <v>#N/A</v>
      </c>
      <c r="M108" s="15" t="str">
        <f>IF(ISNUMBER($D108)=TRUE,'Input Prescr. Lighting Measures'!K110,"")</f>
        <v/>
      </c>
      <c r="N108" s="15" t="str">
        <f>IF(ISNUMBER($D108)=TRUE,'Input Prescr. Lighting Measures'!N110,"")</f>
        <v/>
      </c>
      <c r="O108" s="31" t="str">
        <f t="shared" si="2"/>
        <v>Version 4.1 - 2026</v>
      </c>
      <c r="P108" s="89" t="str">
        <f>IF(ISNUMBER($D108)=TRUE,'Input Prescr. Lighting Measures'!F110,"")</f>
        <v/>
      </c>
      <c r="Q108" s="42" t="str">
        <f>'Input Prescr. Lighting Measures'!U110</f>
        <v/>
      </c>
    </row>
    <row r="109" spans="1:17" x14ac:dyDescent="0.2">
      <c r="A109" s="15" t="s">
        <v>6238</v>
      </c>
      <c r="B109" s="14">
        <f t="shared" si="0"/>
        <v>0</v>
      </c>
      <c r="C109" s="14">
        <f>'Input Prescr. Lighting Measures'!B111</f>
        <v>107</v>
      </c>
      <c r="D109" s="14" t="str">
        <f>'Input Prescr. Lighting Measures'!C111</f>
        <v/>
      </c>
      <c r="E109" s="14" t="str">
        <f>'Input Prescr. Lighting Measures'!G111</f>
        <v/>
      </c>
      <c r="F109" s="14" t="str">
        <f>IF(ISNUMBER($D109)=TRUE,'Input Prescr. Lighting Measures'!AX111,"")</f>
        <v/>
      </c>
      <c r="G109" s="14" t="str">
        <f>IF(ISNUMBER($D109)=TRUE,'Input Prescr. Lighting Measures'!V111,"")</f>
        <v/>
      </c>
      <c r="H109" s="104" t="str">
        <f>IF(ISNUMBER($D109)=TRUE,'Input Prescr. Lighting Measures'!W111,"")</f>
        <v/>
      </c>
      <c r="I109" s="45" t="str">
        <f>IFERROR(Q109*MIN(Table_Measure_Caps[[#Totals],[Estimated Raw Incentive Total]], Table_Measure_Caps[[#Totals],[Gross Measure Cost Total]], Value_Project_CAP)/Table_Measure_Caps[[#Totals],[Estimated Raw Incentive Total]], "")</f>
        <v/>
      </c>
      <c r="J109" s="45">
        <f>'Input Prescr. Lighting Measures'!R111*'Input Prescr. Lighting Measures'!M111</f>
        <v>0</v>
      </c>
      <c r="K109" s="14">
        <f>'Input Prescr. Lighting Measures'!S111</f>
        <v>0</v>
      </c>
      <c r="L109" s="15" t="e">
        <f>'Input Prescr. Lighting Measures'!AG111</f>
        <v>#N/A</v>
      </c>
      <c r="M109" s="15" t="str">
        <f>IF(ISNUMBER($D109)=TRUE,'Input Prescr. Lighting Measures'!K111,"")</f>
        <v/>
      </c>
      <c r="N109" s="15" t="str">
        <f>IF(ISNUMBER($D109)=TRUE,'Input Prescr. Lighting Measures'!N111,"")</f>
        <v/>
      </c>
      <c r="O109" s="31" t="str">
        <f t="shared" si="2"/>
        <v>Version 4.1 - 2026</v>
      </c>
      <c r="P109" s="89" t="str">
        <f>IF(ISNUMBER($D109)=TRUE,'Input Prescr. Lighting Measures'!F111,"")</f>
        <v/>
      </c>
      <c r="Q109" s="42" t="str">
        <f>'Input Prescr. Lighting Measures'!U111</f>
        <v/>
      </c>
    </row>
    <row r="110" spans="1:17" x14ac:dyDescent="0.2">
      <c r="A110" s="15" t="s">
        <v>6238</v>
      </c>
      <c r="B110" s="14">
        <f t="shared" si="0"/>
        <v>0</v>
      </c>
      <c r="C110" s="14">
        <f>'Input Prescr. Lighting Measures'!B112</f>
        <v>108</v>
      </c>
      <c r="D110" s="14" t="str">
        <f>'Input Prescr. Lighting Measures'!C112</f>
        <v/>
      </c>
      <c r="E110" s="14" t="str">
        <f>'Input Prescr. Lighting Measures'!G112</f>
        <v/>
      </c>
      <c r="F110" s="14" t="str">
        <f>IF(ISNUMBER($D110)=TRUE,'Input Prescr. Lighting Measures'!AX112,"")</f>
        <v/>
      </c>
      <c r="G110" s="14" t="str">
        <f>IF(ISNUMBER($D110)=TRUE,'Input Prescr. Lighting Measures'!V112,"")</f>
        <v/>
      </c>
      <c r="H110" s="104" t="str">
        <f>IF(ISNUMBER($D110)=TRUE,'Input Prescr. Lighting Measures'!W112,"")</f>
        <v/>
      </c>
      <c r="I110" s="45" t="str">
        <f>IFERROR(Q110*MIN(Table_Measure_Caps[[#Totals],[Estimated Raw Incentive Total]], Table_Measure_Caps[[#Totals],[Gross Measure Cost Total]], Value_Project_CAP)/Table_Measure_Caps[[#Totals],[Estimated Raw Incentive Total]], "")</f>
        <v/>
      </c>
      <c r="J110" s="45">
        <f>'Input Prescr. Lighting Measures'!R112*'Input Prescr. Lighting Measures'!M112</f>
        <v>0</v>
      </c>
      <c r="K110" s="14">
        <f>'Input Prescr. Lighting Measures'!S112</f>
        <v>0</v>
      </c>
      <c r="L110" s="15" t="e">
        <f>'Input Prescr. Lighting Measures'!AG112</f>
        <v>#N/A</v>
      </c>
      <c r="M110" s="15" t="str">
        <f>IF(ISNUMBER($D110)=TRUE,'Input Prescr. Lighting Measures'!K112,"")</f>
        <v/>
      </c>
      <c r="N110" s="15" t="str">
        <f>IF(ISNUMBER($D110)=TRUE,'Input Prescr. Lighting Measures'!N112,"")</f>
        <v/>
      </c>
      <c r="O110" s="31" t="str">
        <f t="shared" si="2"/>
        <v>Version 4.1 - 2026</v>
      </c>
      <c r="P110" s="89" t="str">
        <f>IF(ISNUMBER($D110)=TRUE,'Input Prescr. Lighting Measures'!F112,"")</f>
        <v/>
      </c>
      <c r="Q110" s="42" t="str">
        <f>'Input Prescr. Lighting Measures'!U112</f>
        <v/>
      </c>
    </row>
    <row r="111" spans="1:17" x14ac:dyDescent="0.2">
      <c r="A111" s="15" t="s">
        <v>6238</v>
      </c>
      <c r="B111" s="14">
        <f t="shared" si="0"/>
        <v>0</v>
      </c>
      <c r="C111" s="14">
        <f>'Input Prescr. Lighting Measures'!B113</f>
        <v>109</v>
      </c>
      <c r="D111" s="14" t="str">
        <f>'Input Prescr. Lighting Measures'!C113</f>
        <v/>
      </c>
      <c r="E111" s="14" t="str">
        <f>'Input Prescr. Lighting Measures'!G113</f>
        <v/>
      </c>
      <c r="F111" s="14" t="str">
        <f>IF(ISNUMBER($D111)=TRUE,'Input Prescr. Lighting Measures'!AX113,"")</f>
        <v/>
      </c>
      <c r="G111" s="14" t="str">
        <f>IF(ISNUMBER($D111)=TRUE,'Input Prescr. Lighting Measures'!V113,"")</f>
        <v/>
      </c>
      <c r="H111" s="104" t="str">
        <f>IF(ISNUMBER($D111)=TRUE,'Input Prescr. Lighting Measures'!W113,"")</f>
        <v/>
      </c>
      <c r="I111" s="45" t="str">
        <f>IFERROR(Q111*MIN(Table_Measure_Caps[[#Totals],[Estimated Raw Incentive Total]], Table_Measure_Caps[[#Totals],[Gross Measure Cost Total]], Value_Project_CAP)/Table_Measure_Caps[[#Totals],[Estimated Raw Incentive Total]], "")</f>
        <v/>
      </c>
      <c r="J111" s="45">
        <f>'Input Prescr. Lighting Measures'!R113*'Input Prescr. Lighting Measures'!M113</f>
        <v>0</v>
      </c>
      <c r="K111" s="14">
        <f>'Input Prescr. Lighting Measures'!S113</f>
        <v>0</v>
      </c>
      <c r="L111" s="15" t="e">
        <f>'Input Prescr. Lighting Measures'!AG113</f>
        <v>#N/A</v>
      </c>
      <c r="M111" s="15" t="str">
        <f>IF(ISNUMBER($D111)=TRUE,'Input Prescr. Lighting Measures'!K113,"")</f>
        <v/>
      </c>
      <c r="N111" s="15" t="str">
        <f>IF(ISNUMBER($D111)=TRUE,'Input Prescr. Lighting Measures'!N113,"")</f>
        <v/>
      </c>
      <c r="O111" s="31" t="str">
        <f t="shared" si="2"/>
        <v>Version 4.1 - 2026</v>
      </c>
      <c r="P111" s="89" t="str">
        <f>IF(ISNUMBER($D111)=TRUE,'Input Prescr. Lighting Measures'!F113,"")</f>
        <v/>
      </c>
      <c r="Q111" s="42" t="str">
        <f>'Input Prescr. Lighting Measures'!U113</f>
        <v/>
      </c>
    </row>
    <row r="112" spans="1:17" x14ac:dyDescent="0.2">
      <c r="A112" s="15" t="s">
        <v>6238</v>
      </c>
      <c r="B112" s="14">
        <f t="shared" si="0"/>
        <v>0</v>
      </c>
      <c r="C112" s="14">
        <f>'Input Prescr. Lighting Measures'!B114</f>
        <v>110</v>
      </c>
      <c r="D112" s="14" t="str">
        <f>'Input Prescr. Lighting Measures'!C114</f>
        <v/>
      </c>
      <c r="E112" s="14" t="str">
        <f>'Input Prescr. Lighting Measures'!G114</f>
        <v/>
      </c>
      <c r="F112" s="14" t="str">
        <f>IF(ISNUMBER($D112)=TRUE,'Input Prescr. Lighting Measures'!AX114,"")</f>
        <v/>
      </c>
      <c r="G112" s="14" t="str">
        <f>IF(ISNUMBER($D112)=TRUE,'Input Prescr. Lighting Measures'!V114,"")</f>
        <v/>
      </c>
      <c r="H112" s="104" t="str">
        <f>IF(ISNUMBER($D112)=TRUE,'Input Prescr. Lighting Measures'!W114,"")</f>
        <v/>
      </c>
      <c r="I112" s="45" t="str">
        <f>IFERROR(Q112*MIN(Table_Measure_Caps[[#Totals],[Estimated Raw Incentive Total]], Table_Measure_Caps[[#Totals],[Gross Measure Cost Total]], Value_Project_CAP)/Table_Measure_Caps[[#Totals],[Estimated Raw Incentive Total]], "")</f>
        <v/>
      </c>
      <c r="J112" s="45">
        <f>'Input Prescr. Lighting Measures'!R114*'Input Prescr. Lighting Measures'!M114</f>
        <v>0</v>
      </c>
      <c r="K112" s="14">
        <f>'Input Prescr. Lighting Measures'!S114</f>
        <v>0</v>
      </c>
      <c r="L112" s="15" t="e">
        <f>'Input Prescr. Lighting Measures'!AG114</f>
        <v>#N/A</v>
      </c>
      <c r="M112" s="15" t="str">
        <f>IF(ISNUMBER($D112)=TRUE,'Input Prescr. Lighting Measures'!K114,"")</f>
        <v/>
      </c>
      <c r="N112" s="15" t="str">
        <f>IF(ISNUMBER($D112)=TRUE,'Input Prescr. Lighting Measures'!N114,"")</f>
        <v/>
      </c>
      <c r="O112" s="31" t="str">
        <f t="shared" si="2"/>
        <v>Version 4.1 - 2026</v>
      </c>
      <c r="P112" s="89" t="str">
        <f>IF(ISNUMBER($D112)=TRUE,'Input Prescr. Lighting Measures'!F114,"")</f>
        <v/>
      </c>
      <c r="Q112" s="42" t="str">
        <f>'Input Prescr. Lighting Measures'!U114</f>
        <v/>
      </c>
    </row>
    <row r="113" spans="1:17" x14ac:dyDescent="0.2">
      <c r="A113" s="15" t="s">
        <v>6238</v>
      </c>
      <c r="B113" s="14">
        <f t="shared" si="0"/>
        <v>0</v>
      </c>
      <c r="C113" s="14">
        <f>'Input Prescr. Lighting Measures'!B115</f>
        <v>111</v>
      </c>
      <c r="D113" s="14" t="str">
        <f>'Input Prescr. Lighting Measures'!C115</f>
        <v/>
      </c>
      <c r="E113" s="14" t="str">
        <f>'Input Prescr. Lighting Measures'!G115</f>
        <v/>
      </c>
      <c r="F113" s="14" t="str">
        <f>IF(ISNUMBER($D113)=TRUE,'Input Prescr. Lighting Measures'!AX115,"")</f>
        <v/>
      </c>
      <c r="G113" s="14" t="str">
        <f>IF(ISNUMBER($D113)=TRUE,'Input Prescr. Lighting Measures'!V115,"")</f>
        <v/>
      </c>
      <c r="H113" s="104" t="str">
        <f>IF(ISNUMBER($D113)=TRUE,'Input Prescr. Lighting Measures'!W115,"")</f>
        <v/>
      </c>
      <c r="I113" s="45" t="str">
        <f>IFERROR(Q113*MIN(Table_Measure_Caps[[#Totals],[Estimated Raw Incentive Total]], Table_Measure_Caps[[#Totals],[Gross Measure Cost Total]], Value_Project_CAP)/Table_Measure_Caps[[#Totals],[Estimated Raw Incentive Total]], "")</f>
        <v/>
      </c>
      <c r="J113" s="45">
        <f>'Input Prescr. Lighting Measures'!R115*'Input Prescr. Lighting Measures'!M115</f>
        <v>0</v>
      </c>
      <c r="K113" s="14">
        <f>'Input Prescr. Lighting Measures'!S115</f>
        <v>0</v>
      </c>
      <c r="L113" s="15" t="e">
        <f>'Input Prescr. Lighting Measures'!AG115</f>
        <v>#N/A</v>
      </c>
      <c r="M113" s="15" t="str">
        <f>IF(ISNUMBER($D113)=TRUE,'Input Prescr. Lighting Measures'!K115,"")</f>
        <v/>
      </c>
      <c r="N113" s="15" t="str">
        <f>IF(ISNUMBER($D113)=TRUE,'Input Prescr. Lighting Measures'!N115,"")</f>
        <v/>
      </c>
      <c r="O113" s="31" t="str">
        <f t="shared" si="2"/>
        <v>Version 4.1 - 2026</v>
      </c>
      <c r="P113" s="89" t="str">
        <f>IF(ISNUMBER($D113)=TRUE,'Input Prescr. Lighting Measures'!F115,"")</f>
        <v/>
      </c>
      <c r="Q113" s="42" t="str">
        <f>'Input Prescr. Lighting Measures'!U115</f>
        <v/>
      </c>
    </row>
    <row r="114" spans="1:17" x14ac:dyDescent="0.2">
      <c r="A114" s="15" t="s">
        <v>6238</v>
      </c>
      <c r="B114" s="14">
        <f t="shared" si="0"/>
        <v>0</v>
      </c>
      <c r="C114" s="14">
        <f>'Input Prescr. Lighting Measures'!B116</f>
        <v>112</v>
      </c>
      <c r="D114" s="14" t="str">
        <f>'Input Prescr. Lighting Measures'!C116</f>
        <v/>
      </c>
      <c r="E114" s="14" t="str">
        <f>'Input Prescr. Lighting Measures'!G116</f>
        <v/>
      </c>
      <c r="F114" s="14" t="str">
        <f>IF(ISNUMBER($D114)=TRUE,'Input Prescr. Lighting Measures'!AX116,"")</f>
        <v/>
      </c>
      <c r="G114" s="14" t="str">
        <f>IF(ISNUMBER($D114)=TRUE,'Input Prescr. Lighting Measures'!V116,"")</f>
        <v/>
      </c>
      <c r="H114" s="104" t="str">
        <f>IF(ISNUMBER($D114)=TRUE,'Input Prescr. Lighting Measures'!W116,"")</f>
        <v/>
      </c>
      <c r="I114" s="45" t="str">
        <f>IFERROR(Q114*MIN(Table_Measure_Caps[[#Totals],[Estimated Raw Incentive Total]], Table_Measure_Caps[[#Totals],[Gross Measure Cost Total]], Value_Project_CAP)/Table_Measure_Caps[[#Totals],[Estimated Raw Incentive Total]], "")</f>
        <v/>
      </c>
      <c r="J114" s="45">
        <f>'Input Prescr. Lighting Measures'!R116*'Input Prescr. Lighting Measures'!M116</f>
        <v>0</v>
      </c>
      <c r="K114" s="14">
        <f>'Input Prescr. Lighting Measures'!S116</f>
        <v>0</v>
      </c>
      <c r="L114" s="15" t="e">
        <f>'Input Prescr. Lighting Measures'!AG116</f>
        <v>#N/A</v>
      </c>
      <c r="M114" s="15" t="str">
        <f>IF(ISNUMBER($D114)=TRUE,'Input Prescr. Lighting Measures'!K116,"")</f>
        <v/>
      </c>
      <c r="N114" s="15" t="str">
        <f>IF(ISNUMBER($D114)=TRUE,'Input Prescr. Lighting Measures'!N116,"")</f>
        <v/>
      </c>
      <c r="O114" s="31" t="str">
        <f t="shared" si="2"/>
        <v>Version 4.1 - 2026</v>
      </c>
      <c r="P114" s="89" t="str">
        <f>IF(ISNUMBER($D114)=TRUE,'Input Prescr. Lighting Measures'!F116,"")</f>
        <v/>
      </c>
      <c r="Q114" s="42" t="str">
        <f>'Input Prescr. Lighting Measures'!U116</f>
        <v/>
      </c>
    </row>
    <row r="115" spans="1:17" x14ac:dyDescent="0.2">
      <c r="A115" s="15" t="s">
        <v>6238</v>
      </c>
      <c r="B115" s="14">
        <f t="shared" si="0"/>
        <v>0</v>
      </c>
      <c r="C115" s="14">
        <f>'Input Prescr. Lighting Measures'!B117</f>
        <v>113</v>
      </c>
      <c r="D115" s="14" t="str">
        <f>'Input Prescr. Lighting Measures'!C117</f>
        <v/>
      </c>
      <c r="E115" s="14" t="str">
        <f>'Input Prescr. Lighting Measures'!G117</f>
        <v/>
      </c>
      <c r="F115" s="14" t="str">
        <f>IF(ISNUMBER($D115)=TRUE,'Input Prescr. Lighting Measures'!AX117,"")</f>
        <v/>
      </c>
      <c r="G115" s="14" t="str">
        <f>IF(ISNUMBER($D115)=TRUE,'Input Prescr. Lighting Measures'!V117,"")</f>
        <v/>
      </c>
      <c r="H115" s="104" t="str">
        <f>IF(ISNUMBER($D115)=TRUE,'Input Prescr. Lighting Measures'!W117,"")</f>
        <v/>
      </c>
      <c r="I115" s="45" t="str">
        <f>IFERROR(Q115*MIN(Table_Measure_Caps[[#Totals],[Estimated Raw Incentive Total]], Table_Measure_Caps[[#Totals],[Gross Measure Cost Total]], Value_Project_CAP)/Table_Measure_Caps[[#Totals],[Estimated Raw Incentive Total]], "")</f>
        <v/>
      </c>
      <c r="J115" s="45">
        <f>'Input Prescr. Lighting Measures'!R117*'Input Prescr. Lighting Measures'!M117</f>
        <v>0</v>
      </c>
      <c r="K115" s="14">
        <f>'Input Prescr. Lighting Measures'!S117</f>
        <v>0</v>
      </c>
      <c r="L115" s="15" t="e">
        <f>'Input Prescr. Lighting Measures'!AG117</f>
        <v>#N/A</v>
      </c>
      <c r="M115" s="15" t="str">
        <f>IF(ISNUMBER($D115)=TRUE,'Input Prescr. Lighting Measures'!K117,"")</f>
        <v/>
      </c>
      <c r="N115" s="15" t="str">
        <f>IF(ISNUMBER($D115)=TRUE,'Input Prescr. Lighting Measures'!N117,"")</f>
        <v/>
      </c>
      <c r="O115" s="31" t="str">
        <f t="shared" si="2"/>
        <v>Version 4.1 - 2026</v>
      </c>
      <c r="P115" s="89" t="str">
        <f>IF(ISNUMBER($D115)=TRUE,'Input Prescr. Lighting Measures'!F117,"")</f>
        <v/>
      </c>
      <c r="Q115" s="42" t="str">
        <f>'Input Prescr. Lighting Measures'!U117</f>
        <v/>
      </c>
    </row>
    <row r="116" spans="1:17" x14ac:dyDescent="0.2">
      <c r="A116" s="15" t="s">
        <v>6238</v>
      </c>
      <c r="B116" s="14">
        <f t="shared" si="0"/>
        <v>0</v>
      </c>
      <c r="C116" s="14">
        <f>'Input Prescr. Lighting Measures'!B118</f>
        <v>114</v>
      </c>
      <c r="D116" s="14" t="str">
        <f>'Input Prescr. Lighting Measures'!C118</f>
        <v/>
      </c>
      <c r="E116" s="14" t="str">
        <f>'Input Prescr. Lighting Measures'!G118</f>
        <v/>
      </c>
      <c r="F116" s="14" t="str">
        <f>IF(ISNUMBER($D116)=TRUE,'Input Prescr. Lighting Measures'!AX118,"")</f>
        <v/>
      </c>
      <c r="G116" s="14" t="str">
        <f>IF(ISNUMBER($D116)=TRUE,'Input Prescr. Lighting Measures'!V118,"")</f>
        <v/>
      </c>
      <c r="H116" s="104" t="str">
        <f>IF(ISNUMBER($D116)=TRUE,'Input Prescr. Lighting Measures'!W118,"")</f>
        <v/>
      </c>
      <c r="I116" s="45" t="str">
        <f>IFERROR(Q116*MIN(Table_Measure_Caps[[#Totals],[Estimated Raw Incentive Total]], Table_Measure_Caps[[#Totals],[Gross Measure Cost Total]], Value_Project_CAP)/Table_Measure_Caps[[#Totals],[Estimated Raw Incentive Total]], "")</f>
        <v/>
      </c>
      <c r="J116" s="45">
        <f>'Input Prescr. Lighting Measures'!R118*'Input Prescr. Lighting Measures'!M118</f>
        <v>0</v>
      </c>
      <c r="K116" s="14">
        <f>'Input Prescr. Lighting Measures'!S118</f>
        <v>0</v>
      </c>
      <c r="L116" s="15" t="e">
        <f>'Input Prescr. Lighting Measures'!AG118</f>
        <v>#N/A</v>
      </c>
      <c r="M116" s="15" t="str">
        <f>IF(ISNUMBER($D116)=TRUE,'Input Prescr. Lighting Measures'!K118,"")</f>
        <v/>
      </c>
      <c r="N116" s="15" t="str">
        <f>IF(ISNUMBER($D116)=TRUE,'Input Prescr. Lighting Measures'!N118,"")</f>
        <v/>
      </c>
      <c r="O116" s="31" t="str">
        <f t="shared" si="2"/>
        <v>Version 4.1 - 2026</v>
      </c>
      <c r="P116" s="89" t="str">
        <f>IF(ISNUMBER($D116)=TRUE,'Input Prescr. Lighting Measures'!F118,"")</f>
        <v/>
      </c>
      <c r="Q116" s="42" t="str">
        <f>'Input Prescr. Lighting Measures'!U118</f>
        <v/>
      </c>
    </row>
    <row r="117" spans="1:17" x14ac:dyDescent="0.2">
      <c r="A117" s="15" t="s">
        <v>6238</v>
      </c>
      <c r="B117" s="14">
        <f t="shared" si="0"/>
        <v>0</v>
      </c>
      <c r="C117" s="14">
        <f>'Input Prescr. Lighting Measures'!B119</f>
        <v>115</v>
      </c>
      <c r="D117" s="14" t="str">
        <f>'Input Prescr. Lighting Measures'!C119</f>
        <v/>
      </c>
      <c r="E117" s="14" t="str">
        <f>'Input Prescr. Lighting Measures'!G119</f>
        <v/>
      </c>
      <c r="F117" s="14" t="str">
        <f>IF(ISNUMBER($D117)=TRUE,'Input Prescr. Lighting Measures'!AX119,"")</f>
        <v/>
      </c>
      <c r="G117" s="14" t="str">
        <f>IF(ISNUMBER($D117)=TRUE,'Input Prescr. Lighting Measures'!V119,"")</f>
        <v/>
      </c>
      <c r="H117" s="104" t="str">
        <f>IF(ISNUMBER($D117)=TRUE,'Input Prescr. Lighting Measures'!W119,"")</f>
        <v/>
      </c>
      <c r="I117" s="45" t="str">
        <f>IFERROR(Q117*MIN(Table_Measure_Caps[[#Totals],[Estimated Raw Incentive Total]], Table_Measure_Caps[[#Totals],[Gross Measure Cost Total]], Value_Project_CAP)/Table_Measure_Caps[[#Totals],[Estimated Raw Incentive Total]], "")</f>
        <v/>
      </c>
      <c r="J117" s="45">
        <f>'Input Prescr. Lighting Measures'!R119*'Input Prescr. Lighting Measures'!M119</f>
        <v>0</v>
      </c>
      <c r="K117" s="14">
        <f>'Input Prescr. Lighting Measures'!S119</f>
        <v>0</v>
      </c>
      <c r="L117" s="15" t="e">
        <f>'Input Prescr. Lighting Measures'!AG119</f>
        <v>#N/A</v>
      </c>
      <c r="M117" s="15" t="str">
        <f>IF(ISNUMBER($D117)=TRUE,'Input Prescr. Lighting Measures'!K119,"")</f>
        <v/>
      </c>
      <c r="N117" s="15" t="str">
        <f>IF(ISNUMBER($D117)=TRUE,'Input Prescr. Lighting Measures'!N119,"")</f>
        <v/>
      </c>
      <c r="O117" s="31" t="str">
        <f t="shared" si="2"/>
        <v>Version 4.1 - 2026</v>
      </c>
      <c r="P117" s="89" t="str">
        <f>IF(ISNUMBER($D117)=TRUE,'Input Prescr. Lighting Measures'!F119,"")</f>
        <v/>
      </c>
      <c r="Q117" s="42" t="str">
        <f>'Input Prescr. Lighting Measures'!U119</f>
        <v/>
      </c>
    </row>
    <row r="118" spans="1:17" x14ac:dyDescent="0.2">
      <c r="A118" s="15" t="s">
        <v>6238</v>
      </c>
      <c r="B118" s="14">
        <f t="shared" si="0"/>
        <v>0</v>
      </c>
      <c r="C118" s="14">
        <f>'Input Prescr. Lighting Measures'!B120</f>
        <v>116</v>
      </c>
      <c r="D118" s="14" t="str">
        <f>'Input Prescr. Lighting Measures'!C120</f>
        <v/>
      </c>
      <c r="E118" s="14" t="str">
        <f>'Input Prescr. Lighting Measures'!G120</f>
        <v/>
      </c>
      <c r="F118" s="14" t="str">
        <f>IF(ISNUMBER($D118)=TRUE,'Input Prescr. Lighting Measures'!AX120,"")</f>
        <v/>
      </c>
      <c r="G118" s="14" t="str">
        <f>IF(ISNUMBER($D118)=TRUE,'Input Prescr. Lighting Measures'!V120,"")</f>
        <v/>
      </c>
      <c r="H118" s="104" t="str">
        <f>IF(ISNUMBER($D118)=TRUE,'Input Prescr. Lighting Measures'!W120,"")</f>
        <v/>
      </c>
      <c r="I118" s="45" t="str">
        <f>IFERROR(Q118*MIN(Table_Measure_Caps[[#Totals],[Estimated Raw Incentive Total]], Table_Measure_Caps[[#Totals],[Gross Measure Cost Total]], Value_Project_CAP)/Table_Measure_Caps[[#Totals],[Estimated Raw Incentive Total]], "")</f>
        <v/>
      </c>
      <c r="J118" s="45">
        <f>'Input Prescr. Lighting Measures'!R120*'Input Prescr. Lighting Measures'!M120</f>
        <v>0</v>
      </c>
      <c r="K118" s="14">
        <f>'Input Prescr. Lighting Measures'!S120</f>
        <v>0</v>
      </c>
      <c r="L118" s="15" t="e">
        <f>'Input Prescr. Lighting Measures'!AG120</f>
        <v>#N/A</v>
      </c>
      <c r="M118" s="15" t="str">
        <f>IF(ISNUMBER($D118)=TRUE,'Input Prescr. Lighting Measures'!K120,"")</f>
        <v/>
      </c>
      <c r="N118" s="15" t="str">
        <f>IF(ISNUMBER($D118)=TRUE,'Input Prescr. Lighting Measures'!N120,"")</f>
        <v/>
      </c>
      <c r="O118" s="31" t="str">
        <f t="shared" si="2"/>
        <v>Version 4.1 - 2026</v>
      </c>
      <c r="P118" s="89" t="str">
        <f>IF(ISNUMBER($D118)=TRUE,'Input Prescr. Lighting Measures'!F120,"")</f>
        <v/>
      </c>
      <c r="Q118" s="42" t="str">
        <f>'Input Prescr. Lighting Measures'!U120</f>
        <v/>
      </c>
    </row>
    <row r="119" spans="1:17" x14ac:dyDescent="0.2">
      <c r="A119" s="15" t="s">
        <v>6238</v>
      </c>
      <c r="B119" s="14">
        <f t="shared" si="0"/>
        <v>0</v>
      </c>
      <c r="C119" s="14">
        <f>'Input Prescr. Lighting Measures'!B121</f>
        <v>117</v>
      </c>
      <c r="D119" s="14" t="str">
        <f>'Input Prescr. Lighting Measures'!C121</f>
        <v/>
      </c>
      <c r="E119" s="14" t="str">
        <f>'Input Prescr. Lighting Measures'!G121</f>
        <v/>
      </c>
      <c r="F119" s="14" t="str">
        <f>IF(ISNUMBER($D119)=TRUE,'Input Prescr. Lighting Measures'!AX121,"")</f>
        <v/>
      </c>
      <c r="G119" s="14" t="str">
        <f>IF(ISNUMBER($D119)=TRUE,'Input Prescr. Lighting Measures'!V121,"")</f>
        <v/>
      </c>
      <c r="H119" s="104" t="str">
        <f>IF(ISNUMBER($D119)=TRUE,'Input Prescr. Lighting Measures'!W121,"")</f>
        <v/>
      </c>
      <c r="I119" s="45" t="str">
        <f>IFERROR(Q119*MIN(Table_Measure_Caps[[#Totals],[Estimated Raw Incentive Total]], Table_Measure_Caps[[#Totals],[Gross Measure Cost Total]], Value_Project_CAP)/Table_Measure_Caps[[#Totals],[Estimated Raw Incentive Total]], "")</f>
        <v/>
      </c>
      <c r="J119" s="45">
        <f>'Input Prescr. Lighting Measures'!R121*'Input Prescr. Lighting Measures'!M121</f>
        <v>0</v>
      </c>
      <c r="K119" s="14">
        <f>'Input Prescr. Lighting Measures'!S121</f>
        <v>0</v>
      </c>
      <c r="L119" s="15" t="e">
        <f>'Input Prescr. Lighting Measures'!AG121</f>
        <v>#N/A</v>
      </c>
      <c r="M119" s="15" t="str">
        <f>IF(ISNUMBER($D119)=TRUE,'Input Prescr. Lighting Measures'!K121,"")</f>
        <v/>
      </c>
      <c r="N119" s="15" t="str">
        <f>IF(ISNUMBER($D119)=TRUE,'Input Prescr. Lighting Measures'!N121,"")</f>
        <v/>
      </c>
      <c r="O119" s="31" t="str">
        <f t="shared" si="2"/>
        <v>Version 4.1 - 2026</v>
      </c>
      <c r="P119" s="89" t="str">
        <f>IF(ISNUMBER($D119)=TRUE,'Input Prescr. Lighting Measures'!F121,"")</f>
        <v/>
      </c>
      <c r="Q119" s="42" t="str">
        <f>'Input Prescr. Lighting Measures'!U121</f>
        <v/>
      </c>
    </row>
    <row r="120" spans="1:17" x14ac:dyDescent="0.2">
      <c r="A120" s="15" t="s">
        <v>6238</v>
      </c>
      <c r="B120" s="14">
        <f t="shared" si="0"/>
        <v>0</v>
      </c>
      <c r="C120" s="14">
        <f>'Input Prescr. Lighting Measures'!B122</f>
        <v>118</v>
      </c>
      <c r="D120" s="14" t="str">
        <f>'Input Prescr. Lighting Measures'!C122</f>
        <v/>
      </c>
      <c r="E120" s="14" t="str">
        <f>'Input Prescr. Lighting Measures'!G122</f>
        <v/>
      </c>
      <c r="F120" s="14" t="str">
        <f>IF(ISNUMBER($D120)=TRUE,'Input Prescr. Lighting Measures'!AX122,"")</f>
        <v/>
      </c>
      <c r="G120" s="14" t="str">
        <f>IF(ISNUMBER($D120)=TRUE,'Input Prescr. Lighting Measures'!V122,"")</f>
        <v/>
      </c>
      <c r="H120" s="104" t="str">
        <f>IF(ISNUMBER($D120)=TRUE,'Input Prescr. Lighting Measures'!W122,"")</f>
        <v/>
      </c>
      <c r="I120" s="45" t="str">
        <f>IFERROR(Q120*MIN(Table_Measure_Caps[[#Totals],[Estimated Raw Incentive Total]], Table_Measure_Caps[[#Totals],[Gross Measure Cost Total]], Value_Project_CAP)/Table_Measure_Caps[[#Totals],[Estimated Raw Incentive Total]], "")</f>
        <v/>
      </c>
      <c r="J120" s="45">
        <f>'Input Prescr. Lighting Measures'!R122*'Input Prescr. Lighting Measures'!M122</f>
        <v>0</v>
      </c>
      <c r="K120" s="14">
        <f>'Input Prescr. Lighting Measures'!S122</f>
        <v>0</v>
      </c>
      <c r="L120" s="15" t="e">
        <f>'Input Prescr. Lighting Measures'!AG122</f>
        <v>#N/A</v>
      </c>
      <c r="M120" s="15" t="str">
        <f>IF(ISNUMBER($D120)=TRUE,'Input Prescr. Lighting Measures'!K122,"")</f>
        <v/>
      </c>
      <c r="N120" s="15" t="str">
        <f>IF(ISNUMBER($D120)=TRUE,'Input Prescr. Lighting Measures'!N122,"")</f>
        <v/>
      </c>
      <c r="O120" s="31" t="str">
        <f t="shared" si="2"/>
        <v>Version 4.1 - 2026</v>
      </c>
      <c r="P120" s="89" t="str">
        <f>IF(ISNUMBER($D120)=TRUE,'Input Prescr. Lighting Measures'!F122,"")</f>
        <v/>
      </c>
      <c r="Q120" s="42" t="str">
        <f>'Input Prescr. Lighting Measures'!U122</f>
        <v/>
      </c>
    </row>
    <row r="121" spans="1:17" x14ac:dyDescent="0.2">
      <c r="A121" s="15" t="s">
        <v>6238</v>
      </c>
      <c r="B121" s="14">
        <f t="shared" si="0"/>
        <v>0</v>
      </c>
      <c r="C121" s="14">
        <f>'Input Prescr. Lighting Measures'!B123</f>
        <v>119</v>
      </c>
      <c r="D121" s="14" t="str">
        <f>'Input Prescr. Lighting Measures'!C123</f>
        <v/>
      </c>
      <c r="E121" s="14" t="str">
        <f>'Input Prescr. Lighting Measures'!G123</f>
        <v/>
      </c>
      <c r="F121" s="14" t="str">
        <f>IF(ISNUMBER($D121)=TRUE,'Input Prescr. Lighting Measures'!AX123,"")</f>
        <v/>
      </c>
      <c r="G121" s="14" t="str">
        <f>IF(ISNUMBER($D121)=TRUE,'Input Prescr. Lighting Measures'!V123,"")</f>
        <v/>
      </c>
      <c r="H121" s="104" t="str">
        <f>IF(ISNUMBER($D121)=TRUE,'Input Prescr. Lighting Measures'!W123,"")</f>
        <v/>
      </c>
      <c r="I121" s="45" t="str">
        <f>IFERROR(Q121*MIN(Table_Measure_Caps[[#Totals],[Estimated Raw Incentive Total]], Table_Measure_Caps[[#Totals],[Gross Measure Cost Total]], Value_Project_CAP)/Table_Measure_Caps[[#Totals],[Estimated Raw Incentive Total]], "")</f>
        <v/>
      </c>
      <c r="J121" s="45">
        <f>'Input Prescr. Lighting Measures'!R123*'Input Prescr. Lighting Measures'!M123</f>
        <v>0</v>
      </c>
      <c r="K121" s="14">
        <f>'Input Prescr. Lighting Measures'!S123</f>
        <v>0</v>
      </c>
      <c r="L121" s="15" t="e">
        <f>'Input Prescr. Lighting Measures'!AG123</f>
        <v>#N/A</v>
      </c>
      <c r="M121" s="15" t="str">
        <f>IF(ISNUMBER($D121)=TRUE,'Input Prescr. Lighting Measures'!K123,"")</f>
        <v/>
      </c>
      <c r="N121" s="15" t="str">
        <f>IF(ISNUMBER($D121)=TRUE,'Input Prescr. Lighting Measures'!N123,"")</f>
        <v/>
      </c>
      <c r="O121" s="31" t="str">
        <f t="shared" si="2"/>
        <v>Version 4.1 - 2026</v>
      </c>
      <c r="P121" s="89" t="str">
        <f>IF(ISNUMBER($D121)=TRUE,'Input Prescr. Lighting Measures'!F123,"")</f>
        <v/>
      </c>
      <c r="Q121" s="42" t="str">
        <f>'Input Prescr. Lighting Measures'!U123</f>
        <v/>
      </c>
    </row>
    <row r="122" spans="1:17" x14ac:dyDescent="0.2">
      <c r="A122" s="15" t="s">
        <v>6238</v>
      </c>
      <c r="B122" s="14">
        <f t="shared" si="0"/>
        <v>0</v>
      </c>
      <c r="C122" s="14">
        <f>'Input Prescr. Lighting Measures'!B124</f>
        <v>120</v>
      </c>
      <c r="D122" s="14" t="str">
        <f>'Input Prescr. Lighting Measures'!C124</f>
        <v/>
      </c>
      <c r="E122" s="14" t="str">
        <f>'Input Prescr. Lighting Measures'!G124</f>
        <v/>
      </c>
      <c r="F122" s="14" t="str">
        <f>IF(ISNUMBER($D122)=TRUE,'Input Prescr. Lighting Measures'!AX124,"")</f>
        <v/>
      </c>
      <c r="G122" s="14" t="str">
        <f>IF(ISNUMBER($D122)=TRUE,'Input Prescr. Lighting Measures'!V124,"")</f>
        <v/>
      </c>
      <c r="H122" s="104" t="str">
        <f>IF(ISNUMBER($D122)=TRUE,'Input Prescr. Lighting Measures'!W124,"")</f>
        <v/>
      </c>
      <c r="I122" s="45" t="str">
        <f>IFERROR(Q122*MIN(Table_Measure_Caps[[#Totals],[Estimated Raw Incentive Total]], Table_Measure_Caps[[#Totals],[Gross Measure Cost Total]], Value_Project_CAP)/Table_Measure_Caps[[#Totals],[Estimated Raw Incentive Total]], "")</f>
        <v/>
      </c>
      <c r="J122" s="45">
        <f>'Input Prescr. Lighting Measures'!R124*'Input Prescr. Lighting Measures'!M124</f>
        <v>0</v>
      </c>
      <c r="K122" s="14">
        <f>'Input Prescr. Lighting Measures'!S124</f>
        <v>0</v>
      </c>
      <c r="L122" s="15" t="e">
        <f>'Input Prescr. Lighting Measures'!AG124</f>
        <v>#N/A</v>
      </c>
      <c r="M122" s="15" t="str">
        <f>IF(ISNUMBER($D122)=TRUE,'Input Prescr. Lighting Measures'!K124,"")</f>
        <v/>
      </c>
      <c r="N122" s="15" t="str">
        <f>IF(ISNUMBER($D122)=TRUE,'Input Prescr. Lighting Measures'!N124,"")</f>
        <v/>
      </c>
      <c r="O122" s="31" t="str">
        <f t="shared" si="2"/>
        <v>Version 4.1 - 2026</v>
      </c>
      <c r="P122" s="89" t="str">
        <f>IF(ISNUMBER($D122)=TRUE,'Input Prescr. Lighting Measures'!F124,"")</f>
        <v/>
      </c>
      <c r="Q122" s="42" t="str">
        <f>'Input Prescr. Lighting Measures'!U124</f>
        <v/>
      </c>
    </row>
    <row r="123" spans="1:17" x14ac:dyDescent="0.2">
      <c r="A123" s="15" t="s">
        <v>6238</v>
      </c>
      <c r="B123" s="14">
        <f t="shared" si="0"/>
        <v>0</v>
      </c>
      <c r="C123" s="14">
        <f>'Input Prescr. Lighting Measures'!B125</f>
        <v>121</v>
      </c>
      <c r="D123" s="14" t="str">
        <f>'Input Prescr. Lighting Measures'!C125</f>
        <v/>
      </c>
      <c r="E123" s="14" t="str">
        <f>'Input Prescr. Lighting Measures'!G125</f>
        <v/>
      </c>
      <c r="F123" s="14" t="str">
        <f>IF(ISNUMBER($D123)=TRUE,'Input Prescr. Lighting Measures'!AX125,"")</f>
        <v/>
      </c>
      <c r="G123" s="14" t="str">
        <f>IF(ISNUMBER($D123)=TRUE,'Input Prescr. Lighting Measures'!V125,"")</f>
        <v/>
      </c>
      <c r="H123" s="104" t="str">
        <f>IF(ISNUMBER($D123)=TRUE,'Input Prescr. Lighting Measures'!W125,"")</f>
        <v/>
      </c>
      <c r="I123" s="45" t="str">
        <f>IFERROR(Q123*MIN(Table_Measure_Caps[[#Totals],[Estimated Raw Incentive Total]], Table_Measure_Caps[[#Totals],[Gross Measure Cost Total]], Value_Project_CAP)/Table_Measure_Caps[[#Totals],[Estimated Raw Incentive Total]], "")</f>
        <v/>
      </c>
      <c r="J123" s="45">
        <f>'Input Prescr. Lighting Measures'!R125*'Input Prescr. Lighting Measures'!M125</f>
        <v>0</v>
      </c>
      <c r="K123" s="14">
        <f>'Input Prescr. Lighting Measures'!S125</f>
        <v>0</v>
      </c>
      <c r="L123" s="15" t="e">
        <f>'Input Prescr. Lighting Measures'!AG125</f>
        <v>#N/A</v>
      </c>
      <c r="M123" s="15" t="str">
        <f>IF(ISNUMBER($D123)=TRUE,'Input Prescr. Lighting Measures'!K125,"")</f>
        <v/>
      </c>
      <c r="N123" s="15" t="str">
        <f>IF(ISNUMBER($D123)=TRUE,'Input Prescr. Lighting Measures'!N125,"")</f>
        <v/>
      </c>
      <c r="O123" s="31" t="str">
        <f t="shared" si="2"/>
        <v>Version 4.1 - 2026</v>
      </c>
      <c r="P123" s="89" t="str">
        <f>IF(ISNUMBER($D123)=TRUE,'Input Prescr. Lighting Measures'!F125,"")</f>
        <v/>
      </c>
      <c r="Q123" s="42" t="str">
        <f>'Input Prescr. Lighting Measures'!U125</f>
        <v/>
      </c>
    </row>
    <row r="124" spans="1:17" x14ac:dyDescent="0.2">
      <c r="A124" s="15" t="s">
        <v>6238</v>
      </c>
      <c r="B124" s="14">
        <f t="shared" si="0"/>
        <v>0</v>
      </c>
      <c r="C124" s="14">
        <f>'Input Prescr. Lighting Measures'!B126</f>
        <v>122</v>
      </c>
      <c r="D124" s="14" t="str">
        <f>'Input Prescr. Lighting Measures'!C126</f>
        <v/>
      </c>
      <c r="E124" s="14" t="str">
        <f>'Input Prescr. Lighting Measures'!G126</f>
        <v/>
      </c>
      <c r="F124" s="14" t="str">
        <f>IF(ISNUMBER($D124)=TRUE,'Input Prescr. Lighting Measures'!AX126,"")</f>
        <v/>
      </c>
      <c r="G124" s="14" t="str">
        <f>IF(ISNUMBER($D124)=TRUE,'Input Prescr. Lighting Measures'!V126,"")</f>
        <v/>
      </c>
      <c r="H124" s="104" t="str">
        <f>IF(ISNUMBER($D124)=TRUE,'Input Prescr. Lighting Measures'!W126,"")</f>
        <v/>
      </c>
      <c r="I124" s="45" t="str">
        <f>IFERROR(Q124*MIN(Table_Measure_Caps[[#Totals],[Estimated Raw Incentive Total]], Table_Measure_Caps[[#Totals],[Gross Measure Cost Total]], Value_Project_CAP)/Table_Measure_Caps[[#Totals],[Estimated Raw Incentive Total]], "")</f>
        <v/>
      </c>
      <c r="J124" s="45">
        <f>'Input Prescr. Lighting Measures'!R126*'Input Prescr. Lighting Measures'!M126</f>
        <v>0</v>
      </c>
      <c r="K124" s="14">
        <f>'Input Prescr. Lighting Measures'!S126</f>
        <v>0</v>
      </c>
      <c r="L124" s="15" t="e">
        <f>'Input Prescr. Lighting Measures'!AG126</f>
        <v>#N/A</v>
      </c>
      <c r="M124" s="15" t="str">
        <f>IF(ISNUMBER($D124)=TRUE,'Input Prescr. Lighting Measures'!K126,"")</f>
        <v/>
      </c>
      <c r="N124" s="15" t="str">
        <f>IF(ISNUMBER($D124)=TRUE,'Input Prescr. Lighting Measures'!N126,"")</f>
        <v/>
      </c>
      <c r="O124" s="31" t="str">
        <f t="shared" si="2"/>
        <v>Version 4.1 - 2026</v>
      </c>
      <c r="P124" s="89" t="str">
        <f>IF(ISNUMBER($D124)=TRUE,'Input Prescr. Lighting Measures'!F126,"")</f>
        <v/>
      </c>
      <c r="Q124" s="42" t="str">
        <f>'Input Prescr. Lighting Measures'!U126</f>
        <v/>
      </c>
    </row>
    <row r="125" spans="1:17" x14ac:dyDescent="0.2">
      <c r="A125" s="15" t="s">
        <v>6238</v>
      </c>
      <c r="B125" s="14">
        <f t="shared" si="0"/>
        <v>0</v>
      </c>
      <c r="C125" s="14">
        <f>'Input Prescr. Lighting Measures'!B127</f>
        <v>123</v>
      </c>
      <c r="D125" s="14" t="str">
        <f>'Input Prescr. Lighting Measures'!C127</f>
        <v/>
      </c>
      <c r="E125" s="14" t="str">
        <f>'Input Prescr. Lighting Measures'!G127</f>
        <v/>
      </c>
      <c r="F125" s="14" t="str">
        <f>IF(ISNUMBER($D125)=TRUE,'Input Prescr. Lighting Measures'!AX127,"")</f>
        <v/>
      </c>
      <c r="G125" s="14" t="str">
        <f>IF(ISNUMBER($D125)=TRUE,'Input Prescr. Lighting Measures'!V127,"")</f>
        <v/>
      </c>
      <c r="H125" s="104" t="str">
        <f>IF(ISNUMBER($D125)=TRUE,'Input Prescr. Lighting Measures'!W127,"")</f>
        <v/>
      </c>
      <c r="I125" s="45" t="str">
        <f>IFERROR(Q125*MIN(Table_Measure_Caps[[#Totals],[Estimated Raw Incentive Total]], Table_Measure_Caps[[#Totals],[Gross Measure Cost Total]], Value_Project_CAP)/Table_Measure_Caps[[#Totals],[Estimated Raw Incentive Total]], "")</f>
        <v/>
      </c>
      <c r="J125" s="45">
        <f>'Input Prescr. Lighting Measures'!R127*'Input Prescr. Lighting Measures'!M127</f>
        <v>0</v>
      </c>
      <c r="K125" s="14">
        <f>'Input Prescr. Lighting Measures'!S127</f>
        <v>0</v>
      </c>
      <c r="L125" s="15" t="e">
        <f>'Input Prescr. Lighting Measures'!AG127</f>
        <v>#N/A</v>
      </c>
      <c r="M125" s="15" t="str">
        <f>IF(ISNUMBER($D125)=TRUE,'Input Prescr. Lighting Measures'!K127,"")</f>
        <v/>
      </c>
      <c r="N125" s="15" t="str">
        <f>IF(ISNUMBER($D125)=TRUE,'Input Prescr. Lighting Measures'!N127,"")</f>
        <v/>
      </c>
      <c r="O125" s="31" t="str">
        <f t="shared" si="2"/>
        <v>Version 4.1 - 2026</v>
      </c>
      <c r="P125" s="89" t="str">
        <f>IF(ISNUMBER($D125)=TRUE,'Input Prescr. Lighting Measures'!F127,"")</f>
        <v/>
      </c>
      <c r="Q125" s="42" t="str">
        <f>'Input Prescr. Lighting Measures'!U127</f>
        <v/>
      </c>
    </row>
    <row r="126" spans="1:17" x14ac:dyDescent="0.2">
      <c r="A126" s="15" t="s">
        <v>6238</v>
      </c>
      <c r="B126" s="14">
        <f t="shared" si="0"/>
        <v>0</v>
      </c>
      <c r="C126" s="14">
        <f>'Input Prescr. Lighting Measures'!B128</f>
        <v>124</v>
      </c>
      <c r="D126" s="14" t="str">
        <f>'Input Prescr. Lighting Measures'!C128</f>
        <v/>
      </c>
      <c r="E126" s="14" t="str">
        <f>'Input Prescr. Lighting Measures'!G128</f>
        <v/>
      </c>
      <c r="F126" s="14" t="str">
        <f>IF(ISNUMBER($D126)=TRUE,'Input Prescr. Lighting Measures'!AX128,"")</f>
        <v/>
      </c>
      <c r="G126" s="14" t="str">
        <f>IF(ISNUMBER($D126)=TRUE,'Input Prescr. Lighting Measures'!V128,"")</f>
        <v/>
      </c>
      <c r="H126" s="104" t="str">
        <f>IF(ISNUMBER($D126)=TRUE,'Input Prescr. Lighting Measures'!W128,"")</f>
        <v/>
      </c>
      <c r="I126" s="45" t="str">
        <f>IFERROR(Q126*MIN(Table_Measure_Caps[[#Totals],[Estimated Raw Incentive Total]], Table_Measure_Caps[[#Totals],[Gross Measure Cost Total]], Value_Project_CAP)/Table_Measure_Caps[[#Totals],[Estimated Raw Incentive Total]], "")</f>
        <v/>
      </c>
      <c r="J126" s="45">
        <f>'Input Prescr. Lighting Measures'!R128*'Input Prescr. Lighting Measures'!M128</f>
        <v>0</v>
      </c>
      <c r="K126" s="14">
        <f>'Input Prescr. Lighting Measures'!S128</f>
        <v>0</v>
      </c>
      <c r="L126" s="15" t="e">
        <f>'Input Prescr. Lighting Measures'!AG128</f>
        <v>#N/A</v>
      </c>
      <c r="M126" s="15" t="str">
        <f>IF(ISNUMBER($D126)=TRUE,'Input Prescr. Lighting Measures'!K128,"")</f>
        <v/>
      </c>
      <c r="N126" s="15" t="str">
        <f>IF(ISNUMBER($D126)=TRUE,'Input Prescr. Lighting Measures'!N128,"")</f>
        <v/>
      </c>
      <c r="O126" s="31" t="str">
        <f t="shared" si="2"/>
        <v>Version 4.1 - 2026</v>
      </c>
      <c r="P126" s="89" t="str">
        <f>IF(ISNUMBER($D126)=TRUE,'Input Prescr. Lighting Measures'!F128,"")</f>
        <v/>
      </c>
      <c r="Q126" s="42" t="str">
        <f>'Input Prescr. Lighting Measures'!U128</f>
        <v/>
      </c>
    </row>
    <row r="127" spans="1:17" x14ac:dyDescent="0.2">
      <c r="A127" s="15" t="s">
        <v>6238</v>
      </c>
      <c r="B127" s="14">
        <f t="shared" si="0"/>
        <v>0</v>
      </c>
      <c r="C127" s="14">
        <f>'Input Prescr. Lighting Measures'!B129</f>
        <v>125</v>
      </c>
      <c r="D127" s="14" t="str">
        <f>'Input Prescr. Lighting Measures'!C129</f>
        <v/>
      </c>
      <c r="E127" s="14" t="str">
        <f>'Input Prescr. Lighting Measures'!G129</f>
        <v/>
      </c>
      <c r="F127" s="14" t="str">
        <f>IF(ISNUMBER($D127)=TRUE,'Input Prescr. Lighting Measures'!AX129,"")</f>
        <v/>
      </c>
      <c r="G127" s="14" t="str">
        <f>IF(ISNUMBER($D127)=TRUE,'Input Prescr. Lighting Measures'!V129,"")</f>
        <v/>
      </c>
      <c r="H127" s="104" t="str">
        <f>IF(ISNUMBER($D127)=TRUE,'Input Prescr. Lighting Measures'!W129,"")</f>
        <v/>
      </c>
      <c r="I127" s="45" t="str">
        <f>IFERROR(Q127*MIN(Table_Measure_Caps[[#Totals],[Estimated Raw Incentive Total]], Table_Measure_Caps[[#Totals],[Gross Measure Cost Total]], Value_Project_CAP)/Table_Measure_Caps[[#Totals],[Estimated Raw Incentive Total]], "")</f>
        <v/>
      </c>
      <c r="J127" s="45">
        <f>'Input Prescr. Lighting Measures'!R129*'Input Prescr. Lighting Measures'!M129</f>
        <v>0</v>
      </c>
      <c r="K127" s="14">
        <f>'Input Prescr. Lighting Measures'!S129</f>
        <v>0</v>
      </c>
      <c r="L127" s="15" t="e">
        <f>'Input Prescr. Lighting Measures'!AG129</f>
        <v>#N/A</v>
      </c>
      <c r="M127" s="15" t="str">
        <f>IF(ISNUMBER($D127)=TRUE,'Input Prescr. Lighting Measures'!K129,"")</f>
        <v/>
      </c>
      <c r="N127" s="15" t="str">
        <f>IF(ISNUMBER($D127)=TRUE,'Input Prescr. Lighting Measures'!N129,"")</f>
        <v/>
      </c>
      <c r="O127" s="31" t="str">
        <f t="shared" si="2"/>
        <v>Version 4.1 - 2026</v>
      </c>
      <c r="P127" s="89" t="str">
        <f>IF(ISNUMBER($D127)=TRUE,'Input Prescr. Lighting Measures'!F129,"")</f>
        <v/>
      </c>
      <c r="Q127" s="42" t="str">
        <f>'Input Prescr. Lighting Measures'!U129</f>
        <v/>
      </c>
    </row>
    <row r="128" spans="1:17" x14ac:dyDescent="0.2">
      <c r="A128" s="15" t="s">
        <v>6238</v>
      </c>
      <c r="B128" s="14">
        <f t="shared" si="0"/>
        <v>0</v>
      </c>
      <c r="C128" s="14">
        <f>'Input Prescr. Lighting Measures'!B130</f>
        <v>126</v>
      </c>
      <c r="D128" s="14" t="str">
        <f>'Input Prescr. Lighting Measures'!C130</f>
        <v/>
      </c>
      <c r="E128" s="14" t="str">
        <f>'Input Prescr. Lighting Measures'!G130</f>
        <v/>
      </c>
      <c r="F128" s="14" t="str">
        <f>IF(ISNUMBER($D128)=TRUE,'Input Prescr. Lighting Measures'!AX130,"")</f>
        <v/>
      </c>
      <c r="G128" s="14" t="str">
        <f>IF(ISNUMBER($D128)=TRUE,'Input Prescr. Lighting Measures'!V130,"")</f>
        <v/>
      </c>
      <c r="H128" s="104" t="str">
        <f>IF(ISNUMBER($D128)=TRUE,'Input Prescr. Lighting Measures'!W130,"")</f>
        <v/>
      </c>
      <c r="I128" s="45" t="str">
        <f>IFERROR(Q128*MIN(Table_Measure_Caps[[#Totals],[Estimated Raw Incentive Total]], Table_Measure_Caps[[#Totals],[Gross Measure Cost Total]], Value_Project_CAP)/Table_Measure_Caps[[#Totals],[Estimated Raw Incentive Total]], "")</f>
        <v/>
      </c>
      <c r="J128" s="45">
        <f>'Input Prescr. Lighting Measures'!R130*'Input Prescr. Lighting Measures'!M130</f>
        <v>0</v>
      </c>
      <c r="K128" s="14">
        <f>'Input Prescr. Lighting Measures'!S130</f>
        <v>0</v>
      </c>
      <c r="L128" s="15" t="e">
        <f>'Input Prescr. Lighting Measures'!AG130</f>
        <v>#N/A</v>
      </c>
      <c r="M128" s="15" t="str">
        <f>IF(ISNUMBER($D128)=TRUE,'Input Prescr. Lighting Measures'!K130,"")</f>
        <v/>
      </c>
      <c r="N128" s="15" t="str">
        <f>IF(ISNUMBER($D128)=TRUE,'Input Prescr. Lighting Measures'!N130,"")</f>
        <v/>
      </c>
      <c r="O128" s="31" t="str">
        <f t="shared" si="2"/>
        <v>Version 4.1 - 2026</v>
      </c>
      <c r="P128" s="89" t="str">
        <f>IF(ISNUMBER($D128)=TRUE,'Input Prescr. Lighting Measures'!F130,"")</f>
        <v/>
      </c>
      <c r="Q128" s="42" t="str">
        <f>'Input Prescr. Lighting Measures'!U130</f>
        <v/>
      </c>
    </row>
    <row r="129" spans="1:17" x14ac:dyDescent="0.2">
      <c r="A129" s="15" t="s">
        <v>6238</v>
      </c>
      <c r="B129" s="14">
        <f t="shared" si="0"/>
        <v>0</v>
      </c>
      <c r="C129" s="14">
        <f>'Input Prescr. Lighting Measures'!B131</f>
        <v>127</v>
      </c>
      <c r="D129" s="14" t="str">
        <f>'Input Prescr. Lighting Measures'!C131</f>
        <v/>
      </c>
      <c r="E129" s="14" t="str">
        <f>'Input Prescr. Lighting Measures'!G131</f>
        <v/>
      </c>
      <c r="F129" s="14" t="str">
        <f>IF(ISNUMBER($D129)=TRUE,'Input Prescr. Lighting Measures'!AX131,"")</f>
        <v/>
      </c>
      <c r="G129" s="14" t="str">
        <f>IF(ISNUMBER($D129)=TRUE,'Input Prescr. Lighting Measures'!V131,"")</f>
        <v/>
      </c>
      <c r="H129" s="104" t="str">
        <f>IF(ISNUMBER($D129)=TRUE,'Input Prescr. Lighting Measures'!W131,"")</f>
        <v/>
      </c>
      <c r="I129" s="45" t="str">
        <f>IFERROR(Q129*MIN(Table_Measure_Caps[[#Totals],[Estimated Raw Incentive Total]], Table_Measure_Caps[[#Totals],[Gross Measure Cost Total]], Value_Project_CAP)/Table_Measure_Caps[[#Totals],[Estimated Raw Incentive Total]], "")</f>
        <v/>
      </c>
      <c r="J129" s="45">
        <f>'Input Prescr. Lighting Measures'!R131*'Input Prescr. Lighting Measures'!M131</f>
        <v>0</v>
      </c>
      <c r="K129" s="14">
        <f>'Input Prescr. Lighting Measures'!S131</f>
        <v>0</v>
      </c>
      <c r="L129" s="15" t="e">
        <f>'Input Prescr. Lighting Measures'!AG131</f>
        <v>#N/A</v>
      </c>
      <c r="M129" s="15" t="str">
        <f>IF(ISNUMBER($D129)=TRUE,'Input Prescr. Lighting Measures'!K131,"")</f>
        <v/>
      </c>
      <c r="N129" s="15" t="str">
        <f>IF(ISNUMBER($D129)=TRUE,'Input Prescr. Lighting Measures'!N131,"")</f>
        <v/>
      </c>
      <c r="O129" s="31" t="str">
        <f t="shared" si="2"/>
        <v>Version 4.1 - 2026</v>
      </c>
      <c r="P129" s="89" t="str">
        <f>IF(ISNUMBER($D129)=TRUE,'Input Prescr. Lighting Measures'!F131,"")</f>
        <v/>
      </c>
      <c r="Q129" s="42" t="str">
        <f>'Input Prescr. Lighting Measures'!U131</f>
        <v/>
      </c>
    </row>
    <row r="130" spans="1:17" x14ac:dyDescent="0.2">
      <c r="A130" s="15" t="s">
        <v>6238</v>
      </c>
      <c r="B130" s="14">
        <f t="shared" si="0"/>
        <v>0</v>
      </c>
      <c r="C130" s="14">
        <f>'Input Prescr. Lighting Measures'!B132</f>
        <v>128</v>
      </c>
      <c r="D130" s="14" t="str">
        <f>'Input Prescr. Lighting Measures'!C132</f>
        <v/>
      </c>
      <c r="E130" s="14" t="str">
        <f>'Input Prescr. Lighting Measures'!G132</f>
        <v/>
      </c>
      <c r="F130" s="14" t="str">
        <f>IF(ISNUMBER($D130)=TRUE,'Input Prescr. Lighting Measures'!AX132,"")</f>
        <v/>
      </c>
      <c r="G130" s="14" t="str">
        <f>IF(ISNUMBER($D130)=TRUE,'Input Prescr. Lighting Measures'!V132,"")</f>
        <v/>
      </c>
      <c r="H130" s="104" t="str">
        <f>IF(ISNUMBER($D130)=TRUE,'Input Prescr. Lighting Measures'!W132,"")</f>
        <v/>
      </c>
      <c r="I130" s="45" t="str">
        <f>IFERROR(Q130*MIN(Table_Measure_Caps[[#Totals],[Estimated Raw Incentive Total]], Table_Measure_Caps[[#Totals],[Gross Measure Cost Total]], Value_Project_CAP)/Table_Measure_Caps[[#Totals],[Estimated Raw Incentive Total]], "")</f>
        <v/>
      </c>
      <c r="J130" s="45">
        <f>'Input Prescr. Lighting Measures'!R132*'Input Prescr. Lighting Measures'!M132</f>
        <v>0</v>
      </c>
      <c r="K130" s="14">
        <f>'Input Prescr. Lighting Measures'!S132</f>
        <v>0</v>
      </c>
      <c r="L130" s="15" t="e">
        <f>'Input Prescr. Lighting Measures'!AG132</f>
        <v>#N/A</v>
      </c>
      <c r="M130" s="15" t="str">
        <f>IF(ISNUMBER($D130)=TRUE,'Input Prescr. Lighting Measures'!K132,"")</f>
        <v/>
      </c>
      <c r="N130" s="15" t="str">
        <f>IF(ISNUMBER($D130)=TRUE,'Input Prescr. Lighting Measures'!N132,"")</f>
        <v/>
      </c>
      <c r="O130" s="31" t="str">
        <f t="shared" ref="O130:O193" si="3">Value_Application_Version</f>
        <v>Version 4.1 - 2026</v>
      </c>
      <c r="P130" s="89" t="str">
        <f>IF(ISNUMBER($D130)=TRUE,'Input Prescr. Lighting Measures'!F132,"")</f>
        <v/>
      </c>
      <c r="Q130" s="42" t="str">
        <f>'Input Prescr. Lighting Measures'!U132</f>
        <v/>
      </c>
    </row>
    <row r="131" spans="1:17" x14ac:dyDescent="0.2">
      <c r="A131" s="15" t="s">
        <v>6238</v>
      </c>
      <c r="B131" s="14">
        <f t="shared" si="0"/>
        <v>0</v>
      </c>
      <c r="C131" s="14">
        <f>'Input Prescr. Lighting Measures'!B133</f>
        <v>129</v>
      </c>
      <c r="D131" s="14" t="str">
        <f>'Input Prescr. Lighting Measures'!C133</f>
        <v/>
      </c>
      <c r="E131" s="14" t="str">
        <f>'Input Prescr. Lighting Measures'!G133</f>
        <v/>
      </c>
      <c r="F131" s="14" t="str">
        <f>IF(ISNUMBER($D131)=TRUE,'Input Prescr. Lighting Measures'!AX133,"")</f>
        <v/>
      </c>
      <c r="G131" s="14" t="str">
        <f>IF(ISNUMBER($D131)=TRUE,'Input Prescr. Lighting Measures'!V133,"")</f>
        <v/>
      </c>
      <c r="H131" s="104" t="str">
        <f>IF(ISNUMBER($D131)=TRUE,'Input Prescr. Lighting Measures'!W133,"")</f>
        <v/>
      </c>
      <c r="I131" s="45" t="str">
        <f>IFERROR(Q131*MIN(Table_Measure_Caps[[#Totals],[Estimated Raw Incentive Total]], Table_Measure_Caps[[#Totals],[Gross Measure Cost Total]], Value_Project_CAP)/Table_Measure_Caps[[#Totals],[Estimated Raw Incentive Total]], "")</f>
        <v/>
      </c>
      <c r="J131" s="45">
        <f>'Input Prescr. Lighting Measures'!R133*'Input Prescr. Lighting Measures'!M133</f>
        <v>0</v>
      </c>
      <c r="K131" s="14">
        <f>'Input Prescr. Lighting Measures'!S133</f>
        <v>0</v>
      </c>
      <c r="L131" s="15" t="e">
        <f>'Input Prescr. Lighting Measures'!AG133</f>
        <v>#N/A</v>
      </c>
      <c r="M131" s="15" t="str">
        <f>IF(ISNUMBER($D131)=TRUE,'Input Prescr. Lighting Measures'!K133,"")</f>
        <v/>
      </c>
      <c r="N131" s="15" t="str">
        <f>IF(ISNUMBER($D131)=TRUE,'Input Prescr. Lighting Measures'!N133,"")</f>
        <v/>
      </c>
      <c r="O131" s="31" t="str">
        <f t="shared" si="3"/>
        <v>Version 4.1 - 2026</v>
      </c>
      <c r="P131" s="89" t="str">
        <f>IF(ISNUMBER($D131)=TRUE,'Input Prescr. Lighting Measures'!F133,"")</f>
        <v/>
      </c>
      <c r="Q131" s="42" t="str">
        <f>'Input Prescr. Lighting Measures'!U133</f>
        <v/>
      </c>
    </row>
    <row r="132" spans="1:17" x14ac:dyDescent="0.2">
      <c r="A132" s="15" t="s">
        <v>6238</v>
      </c>
      <c r="B132" s="14">
        <f t="shared" si="0"/>
        <v>0</v>
      </c>
      <c r="C132" s="14">
        <f>'Input Prescr. Lighting Measures'!B134</f>
        <v>130</v>
      </c>
      <c r="D132" s="14" t="str">
        <f>'Input Prescr. Lighting Measures'!C134</f>
        <v/>
      </c>
      <c r="E132" s="14" t="str">
        <f>'Input Prescr. Lighting Measures'!G134</f>
        <v/>
      </c>
      <c r="F132" s="14" t="str">
        <f>IF(ISNUMBER($D132)=TRUE,'Input Prescr. Lighting Measures'!AX134,"")</f>
        <v/>
      </c>
      <c r="G132" s="14" t="str">
        <f>IF(ISNUMBER($D132)=TRUE,'Input Prescr. Lighting Measures'!V134,"")</f>
        <v/>
      </c>
      <c r="H132" s="104" t="str">
        <f>IF(ISNUMBER($D132)=TRUE,'Input Prescr. Lighting Measures'!W134,"")</f>
        <v/>
      </c>
      <c r="I132" s="45" t="str">
        <f>IFERROR(Q132*MIN(Table_Measure_Caps[[#Totals],[Estimated Raw Incentive Total]], Table_Measure_Caps[[#Totals],[Gross Measure Cost Total]], Value_Project_CAP)/Table_Measure_Caps[[#Totals],[Estimated Raw Incentive Total]], "")</f>
        <v/>
      </c>
      <c r="J132" s="45">
        <f>'Input Prescr. Lighting Measures'!R134*'Input Prescr. Lighting Measures'!M134</f>
        <v>0</v>
      </c>
      <c r="K132" s="14">
        <f>'Input Prescr. Lighting Measures'!S134</f>
        <v>0</v>
      </c>
      <c r="L132" s="15" t="e">
        <f>'Input Prescr. Lighting Measures'!AG134</f>
        <v>#N/A</v>
      </c>
      <c r="M132" s="15" t="str">
        <f>IF(ISNUMBER($D132)=TRUE,'Input Prescr. Lighting Measures'!K134,"")</f>
        <v/>
      </c>
      <c r="N132" s="15" t="str">
        <f>IF(ISNUMBER($D132)=TRUE,'Input Prescr. Lighting Measures'!N134,"")</f>
        <v/>
      </c>
      <c r="O132" s="31" t="str">
        <f t="shared" si="3"/>
        <v>Version 4.1 - 2026</v>
      </c>
      <c r="P132" s="89" t="str">
        <f>IF(ISNUMBER($D132)=TRUE,'Input Prescr. Lighting Measures'!F134,"")</f>
        <v/>
      </c>
      <c r="Q132" s="42" t="str">
        <f>'Input Prescr. Lighting Measures'!U134</f>
        <v/>
      </c>
    </row>
    <row r="133" spans="1:17" x14ac:dyDescent="0.2">
      <c r="A133" s="15" t="s">
        <v>6238</v>
      </c>
      <c r="B133" s="14">
        <f t="shared" si="0"/>
        <v>0</v>
      </c>
      <c r="C133" s="14">
        <f>'Input Prescr. Lighting Measures'!B135</f>
        <v>131</v>
      </c>
      <c r="D133" s="14" t="str">
        <f>'Input Prescr. Lighting Measures'!C135</f>
        <v/>
      </c>
      <c r="E133" s="14" t="str">
        <f>'Input Prescr. Lighting Measures'!G135</f>
        <v/>
      </c>
      <c r="F133" s="14" t="str">
        <f>IF(ISNUMBER($D133)=TRUE,'Input Prescr. Lighting Measures'!AX135,"")</f>
        <v/>
      </c>
      <c r="G133" s="14" t="str">
        <f>IF(ISNUMBER($D133)=TRUE,'Input Prescr. Lighting Measures'!V135,"")</f>
        <v/>
      </c>
      <c r="H133" s="104" t="str">
        <f>IF(ISNUMBER($D133)=TRUE,'Input Prescr. Lighting Measures'!W135,"")</f>
        <v/>
      </c>
      <c r="I133" s="45" t="str">
        <f>IFERROR(Q133*MIN(Table_Measure_Caps[[#Totals],[Estimated Raw Incentive Total]], Table_Measure_Caps[[#Totals],[Gross Measure Cost Total]], Value_Project_CAP)/Table_Measure_Caps[[#Totals],[Estimated Raw Incentive Total]], "")</f>
        <v/>
      </c>
      <c r="J133" s="45">
        <f>'Input Prescr. Lighting Measures'!R135*'Input Prescr. Lighting Measures'!M135</f>
        <v>0</v>
      </c>
      <c r="K133" s="14">
        <f>'Input Prescr. Lighting Measures'!S135</f>
        <v>0</v>
      </c>
      <c r="L133" s="15" t="e">
        <f>'Input Prescr. Lighting Measures'!AG135</f>
        <v>#N/A</v>
      </c>
      <c r="M133" s="15" t="str">
        <f>IF(ISNUMBER($D133)=TRUE,'Input Prescr. Lighting Measures'!K135,"")</f>
        <v/>
      </c>
      <c r="N133" s="15" t="str">
        <f>IF(ISNUMBER($D133)=TRUE,'Input Prescr. Lighting Measures'!N135,"")</f>
        <v/>
      </c>
      <c r="O133" s="31" t="str">
        <f t="shared" si="3"/>
        <v>Version 4.1 - 2026</v>
      </c>
      <c r="P133" s="89" t="str">
        <f>IF(ISNUMBER($D133)=TRUE,'Input Prescr. Lighting Measures'!F135,"")</f>
        <v/>
      </c>
      <c r="Q133" s="42" t="str">
        <f>'Input Prescr. Lighting Measures'!U135</f>
        <v/>
      </c>
    </row>
    <row r="134" spans="1:17" x14ac:dyDescent="0.2">
      <c r="A134" s="15" t="s">
        <v>6238</v>
      </c>
      <c r="B134" s="14">
        <f t="shared" si="0"/>
        <v>0</v>
      </c>
      <c r="C134" s="14">
        <f>'Input Prescr. Lighting Measures'!B136</f>
        <v>132</v>
      </c>
      <c r="D134" s="14" t="str">
        <f>'Input Prescr. Lighting Measures'!C136</f>
        <v/>
      </c>
      <c r="E134" s="14" t="str">
        <f>'Input Prescr. Lighting Measures'!G136</f>
        <v/>
      </c>
      <c r="F134" s="14" t="str">
        <f>IF(ISNUMBER($D134)=TRUE,'Input Prescr. Lighting Measures'!AX136,"")</f>
        <v/>
      </c>
      <c r="G134" s="14" t="str">
        <f>IF(ISNUMBER($D134)=TRUE,'Input Prescr. Lighting Measures'!V136,"")</f>
        <v/>
      </c>
      <c r="H134" s="104" t="str">
        <f>IF(ISNUMBER($D134)=TRUE,'Input Prescr. Lighting Measures'!W136,"")</f>
        <v/>
      </c>
      <c r="I134" s="45" t="str">
        <f>IFERROR(Q134*MIN(Table_Measure_Caps[[#Totals],[Estimated Raw Incentive Total]], Table_Measure_Caps[[#Totals],[Gross Measure Cost Total]], Value_Project_CAP)/Table_Measure_Caps[[#Totals],[Estimated Raw Incentive Total]], "")</f>
        <v/>
      </c>
      <c r="J134" s="45">
        <f>'Input Prescr. Lighting Measures'!R136*'Input Prescr. Lighting Measures'!M136</f>
        <v>0</v>
      </c>
      <c r="K134" s="14">
        <f>'Input Prescr. Lighting Measures'!S136</f>
        <v>0</v>
      </c>
      <c r="L134" s="15" t="e">
        <f>'Input Prescr. Lighting Measures'!AG136</f>
        <v>#N/A</v>
      </c>
      <c r="M134" s="15" t="str">
        <f>IF(ISNUMBER($D134)=TRUE,'Input Prescr. Lighting Measures'!K136,"")</f>
        <v/>
      </c>
      <c r="N134" s="15" t="str">
        <f>IF(ISNUMBER($D134)=TRUE,'Input Prescr. Lighting Measures'!N136,"")</f>
        <v/>
      </c>
      <c r="O134" s="31" t="str">
        <f t="shared" si="3"/>
        <v>Version 4.1 - 2026</v>
      </c>
      <c r="P134" s="89" t="str">
        <f>IF(ISNUMBER($D134)=TRUE,'Input Prescr. Lighting Measures'!F136,"")</f>
        <v/>
      </c>
      <c r="Q134" s="42" t="str">
        <f>'Input Prescr. Lighting Measures'!U136</f>
        <v/>
      </c>
    </row>
    <row r="135" spans="1:17" x14ac:dyDescent="0.2">
      <c r="A135" s="15" t="s">
        <v>6238</v>
      </c>
      <c r="B135" s="14">
        <f t="shared" si="0"/>
        <v>0</v>
      </c>
      <c r="C135" s="14">
        <f>'Input Prescr. Lighting Measures'!B137</f>
        <v>133</v>
      </c>
      <c r="D135" s="14" t="str">
        <f>'Input Prescr. Lighting Measures'!C137</f>
        <v/>
      </c>
      <c r="E135" s="14" t="str">
        <f>'Input Prescr. Lighting Measures'!G137</f>
        <v/>
      </c>
      <c r="F135" s="14" t="str">
        <f>IF(ISNUMBER($D135)=TRUE,'Input Prescr. Lighting Measures'!AX137,"")</f>
        <v/>
      </c>
      <c r="G135" s="14" t="str">
        <f>IF(ISNUMBER($D135)=TRUE,'Input Prescr. Lighting Measures'!V137,"")</f>
        <v/>
      </c>
      <c r="H135" s="104" t="str">
        <f>IF(ISNUMBER($D135)=TRUE,'Input Prescr. Lighting Measures'!W137,"")</f>
        <v/>
      </c>
      <c r="I135" s="45" t="str">
        <f>IFERROR(Q135*MIN(Table_Measure_Caps[[#Totals],[Estimated Raw Incentive Total]], Table_Measure_Caps[[#Totals],[Gross Measure Cost Total]], Value_Project_CAP)/Table_Measure_Caps[[#Totals],[Estimated Raw Incentive Total]], "")</f>
        <v/>
      </c>
      <c r="J135" s="45">
        <f>'Input Prescr. Lighting Measures'!R137*'Input Prescr. Lighting Measures'!M137</f>
        <v>0</v>
      </c>
      <c r="K135" s="14">
        <f>'Input Prescr. Lighting Measures'!S137</f>
        <v>0</v>
      </c>
      <c r="L135" s="15" t="e">
        <f>'Input Prescr. Lighting Measures'!AG137</f>
        <v>#N/A</v>
      </c>
      <c r="M135" s="15" t="str">
        <f>IF(ISNUMBER($D135)=TRUE,'Input Prescr. Lighting Measures'!K137,"")</f>
        <v/>
      </c>
      <c r="N135" s="15" t="str">
        <f>IF(ISNUMBER($D135)=TRUE,'Input Prescr. Lighting Measures'!N137,"")</f>
        <v/>
      </c>
      <c r="O135" s="31" t="str">
        <f t="shared" si="3"/>
        <v>Version 4.1 - 2026</v>
      </c>
      <c r="P135" s="89" t="str">
        <f>IF(ISNUMBER($D135)=TRUE,'Input Prescr. Lighting Measures'!F137,"")</f>
        <v/>
      </c>
      <c r="Q135" s="42" t="str">
        <f>'Input Prescr. Lighting Measures'!U137</f>
        <v/>
      </c>
    </row>
    <row r="136" spans="1:17" x14ac:dyDescent="0.2">
      <c r="A136" s="15" t="s">
        <v>6238</v>
      </c>
      <c r="B136" s="14">
        <f t="shared" si="0"/>
        <v>0</v>
      </c>
      <c r="C136" s="14">
        <f>'Input Prescr. Lighting Measures'!B138</f>
        <v>134</v>
      </c>
      <c r="D136" s="14" t="str">
        <f>'Input Prescr. Lighting Measures'!C138</f>
        <v/>
      </c>
      <c r="E136" s="14" t="str">
        <f>'Input Prescr. Lighting Measures'!G138</f>
        <v/>
      </c>
      <c r="F136" s="14" t="str">
        <f>IF(ISNUMBER($D136)=TRUE,'Input Prescr. Lighting Measures'!AX138,"")</f>
        <v/>
      </c>
      <c r="G136" s="14" t="str">
        <f>IF(ISNUMBER($D136)=TRUE,'Input Prescr. Lighting Measures'!V138,"")</f>
        <v/>
      </c>
      <c r="H136" s="104" t="str">
        <f>IF(ISNUMBER($D136)=TRUE,'Input Prescr. Lighting Measures'!W138,"")</f>
        <v/>
      </c>
      <c r="I136" s="45" t="str">
        <f>IFERROR(Q136*MIN(Table_Measure_Caps[[#Totals],[Estimated Raw Incentive Total]], Table_Measure_Caps[[#Totals],[Gross Measure Cost Total]], Value_Project_CAP)/Table_Measure_Caps[[#Totals],[Estimated Raw Incentive Total]], "")</f>
        <v/>
      </c>
      <c r="J136" s="45">
        <f>'Input Prescr. Lighting Measures'!R138*'Input Prescr. Lighting Measures'!M138</f>
        <v>0</v>
      </c>
      <c r="K136" s="14">
        <f>'Input Prescr. Lighting Measures'!S138</f>
        <v>0</v>
      </c>
      <c r="L136" s="15" t="e">
        <f>'Input Prescr. Lighting Measures'!AG138</f>
        <v>#N/A</v>
      </c>
      <c r="M136" s="15" t="str">
        <f>IF(ISNUMBER($D136)=TRUE,'Input Prescr. Lighting Measures'!K138,"")</f>
        <v/>
      </c>
      <c r="N136" s="15" t="str">
        <f>IF(ISNUMBER($D136)=TRUE,'Input Prescr. Lighting Measures'!N138,"")</f>
        <v/>
      </c>
      <c r="O136" s="31" t="str">
        <f t="shared" si="3"/>
        <v>Version 4.1 - 2026</v>
      </c>
      <c r="P136" s="89" t="str">
        <f>IF(ISNUMBER($D136)=TRUE,'Input Prescr. Lighting Measures'!F138,"")</f>
        <v/>
      </c>
      <c r="Q136" s="42" t="str">
        <f>'Input Prescr. Lighting Measures'!U138</f>
        <v/>
      </c>
    </row>
    <row r="137" spans="1:17" x14ac:dyDescent="0.2">
      <c r="A137" s="15" t="s">
        <v>6238</v>
      </c>
      <c r="B137" s="14">
        <f t="shared" si="0"/>
        <v>0</v>
      </c>
      <c r="C137" s="14">
        <f>'Input Prescr. Lighting Measures'!B139</f>
        <v>135</v>
      </c>
      <c r="D137" s="14" t="str">
        <f>'Input Prescr. Lighting Measures'!C139</f>
        <v/>
      </c>
      <c r="E137" s="14" t="str">
        <f>'Input Prescr. Lighting Measures'!G139</f>
        <v/>
      </c>
      <c r="F137" s="14" t="str">
        <f>IF(ISNUMBER($D137)=TRUE,'Input Prescr. Lighting Measures'!AX139,"")</f>
        <v/>
      </c>
      <c r="G137" s="14" t="str">
        <f>IF(ISNUMBER($D137)=TRUE,'Input Prescr. Lighting Measures'!V139,"")</f>
        <v/>
      </c>
      <c r="H137" s="104" t="str">
        <f>IF(ISNUMBER($D137)=TRUE,'Input Prescr. Lighting Measures'!W139,"")</f>
        <v/>
      </c>
      <c r="I137" s="45" t="str">
        <f>IFERROR(Q137*MIN(Table_Measure_Caps[[#Totals],[Estimated Raw Incentive Total]], Table_Measure_Caps[[#Totals],[Gross Measure Cost Total]], Value_Project_CAP)/Table_Measure_Caps[[#Totals],[Estimated Raw Incentive Total]], "")</f>
        <v/>
      </c>
      <c r="J137" s="45">
        <f>'Input Prescr. Lighting Measures'!R139*'Input Prescr. Lighting Measures'!M139</f>
        <v>0</v>
      </c>
      <c r="K137" s="14">
        <f>'Input Prescr. Lighting Measures'!S139</f>
        <v>0</v>
      </c>
      <c r="L137" s="15" t="e">
        <f>'Input Prescr. Lighting Measures'!AG139</f>
        <v>#N/A</v>
      </c>
      <c r="M137" s="15" t="str">
        <f>IF(ISNUMBER($D137)=TRUE,'Input Prescr. Lighting Measures'!K139,"")</f>
        <v/>
      </c>
      <c r="N137" s="15" t="str">
        <f>IF(ISNUMBER($D137)=TRUE,'Input Prescr. Lighting Measures'!N139,"")</f>
        <v/>
      </c>
      <c r="O137" s="31" t="str">
        <f t="shared" si="3"/>
        <v>Version 4.1 - 2026</v>
      </c>
      <c r="P137" s="89" t="str">
        <f>IF(ISNUMBER($D137)=TRUE,'Input Prescr. Lighting Measures'!F139,"")</f>
        <v/>
      </c>
      <c r="Q137" s="42" t="str">
        <f>'Input Prescr. Lighting Measures'!U139</f>
        <v/>
      </c>
    </row>
    <row r="138" spans="1:17" x14ac:dyDescent="0.2">
      <c r="A138" s="15" t="s">
        <v>6238</v>
      </c>
      <c r="B138" s="14">
        <f t="shared" si="0"/>
        <v>0</v>
      </c>
      <c r="C138" s="14">
        <f>'Input Prescr. Lighting Measures'!B140</f>
        <v>136</v>
      </c>
      <c r="D138" s="14" t="str">
        <f>'Input Prescr. Lighting Measures'!C140</f>
        <v/>
      </c>
      <c r="E138" s="14" t="str">
        <f>'Input Prescr. Lighting Measures'!G140</f>
        <v/>
      </c>
      <c r="F138" s="14" t="str">
        <f>IF(ISNUMBER($D138)=TRUE,'Input Prescr. Lighting Measures'!AX140,"")</f>
        <v/>
      </c>
      <c r="G138" s="14" t="str">
        <f>IF(ISNUMBER($D138)=TRUE,'Input Prescr. Lighting Measures'!V140,"")</f>
        <v/>
      </c>
      <c r="H138" s="104" t="str">
        <f>IF(ISNUMBER($D138)=TRUE,'Input Prescr. Lighting Measures'!W140,"")</f>
        <v/>
      </c>
      <c r="I138" s="45" t="str">
        <f>IFERROR(Q138*MIN(Table_Measure_Caps[[#Totals],[Estimated Raw Incentive Total]], Table_Measure_Caps[[#Totals],[Gross Measure Cost Total]], Value_Project_CAP)/Table_Measure_Caps[[#Totals],[Estimated Raw Incentive Total]], "")</f>
        <v/>
      </c>
      <c r="J138" s="45">
        <f>'Input Prescr. Lighting Measures'!R140*'Input Prescr. Lighting Measures'!M140</f>
        <v>0</v>
      </c>
      <c r="K138" s="14">
        <f>'Input Prescr. Lighting Measures'!S140</f>
        <v>0</v>
      </c>
      <c r="L138" s="15" t="e">
        <f>'Input Prescr. Lighting Measures'!AG140</f>
        <v>#N/A</v>
      </c>
      <c r="M138" s="15" t="str">
        <f>IF(ISNUMBER($D138)=TRUE,'Input Prescr. Lighting Measures'!K140,"")</f>
        <v/>
      </c>
      <c r="N138" s="15" t="str">
        <f>IF(ISNUMBER($D138)=TRUE,'Input Prescr. Lighting Measures'!N140,"")</f>
        <v/>
      </c>
      <c r="O138" s="31" t="str">
        <f t="shared" si="3"/>
        <v>Version 4.1 - 2026</v>
      </c>
      <c r="P138" s="89" t="str">
        <f>IF(ISNUMBER($D138)=TRUE,'Input Prescr. Lighting Measures'!F140,"")</f>
        <v/>
      </c>
      <c r="Q138" s="42" t="str">
        <f>'Input Prescr. Lighting Measures'!U140</f>
        <v/>
      </c>
    </row>
    <row r="139" spans="1:17" x14ac:dyDescent="0.2">
      <c r="A139" s="15" t="s">
        <v>6238</v>
      </c>
      <c r="B139" s="14">
        <f t="shared" si="0"/>
        <v>0</v>
      </c>
      <c r="C139" s="14">
        <f>'Input Prescr. Lighting Measures'!B141</f>
        <v>137</v>
      </c>
      <c r="D139" s="14" t="str">
        <f>'Input Prescr. Lighting Measures'!C141</f>
        <v/>
      </c>
      <c r="E139" s="14" t="str">
        <f>'Input Prescr. Lighting Measures'!G141</f>
        <v/>
      </c>
      <c r="F139" s="14" t="str">
        <f>IF(ISNUMBER($D139)=TRUE,'Input Prescr. Lighting Measures'!AX141,"")</f>
        <v/>
      </c>
      <c r="G139" s="14" t="str">
        <f>IF(ISNUMBER($D139)=TRUE,'Input Prescr. Lighting Measures'!V141,"")</f>
        <v/>
      </c>
      <c r="H139" s="104" t="str">
        <f>IF(ISNUMBER($D139)=TRUE,'Input Prescr. Lighting Measures'!W141,"")</f>
        <v/>
      </c>
      <c r="I139" s="45" t="str">
        <f>IFERROR(Q139*MIN(Table_Measure_Caps[[#Totals],[Estimated Raw Incentive Total]], Table_Measure_Caps[[#Totals],[Gross Measure Cost Total]], Value_Project_CAP)/Table_Measure_Caps[[#Totals],[Estimated Raw Incentive Total]], "")</f>
        <v/>
      </c>
      <c r="J139" s="45">
        <f>'Input Prescr. Lighting Measures'!R141*'Input Prescr. Lighting Measures'!M141</f>
        <v>0</v>
      </c>
      <c r="K139" s="14">
        <f>'Input Prescr. Lighting Measures'!S141</f>
        <v>0</v>
      </c>
      <c r="L139" s="15" t="e">
        <f>'Input Prescr. Lighting Measures'!AG141</f>
        <v>#N/A</v>
      </c>
      <c r="M139" s="15" t="str">
        <f>IF(ISNUMBER($D139)=TRUE,'Input Prescr. Lighting Measures'!K141,"")</f>
        <v/>
      </c>
      <c r="N139" s="15" t="str">
        <f>IF(ISNUMBER($D139)=TRUE,'Input Prescr. Lighting Measures'!N141,"")</f>
        <v/>
      </c>
      <c r="O139" s="31" t="str">
        <f t="shared" si="3"/>
        <v>Version 4.1 - 2026</v>
      </c>
      <c r="P139" s="89" t="str">
        <f>IF(ISNUMBER($D139)=TRUE,'Input Prescr. Lighting Measures'!F141,"")</f>
        <v/>
      </c>
      <c r="Q139" s="42" t="str">
        <f>'Input Prescr. Lighting Measures'!U141</f>
        <v/>
      </c>
    </row>
    <row r="140" spans="1:17" x14ac:dyDescent="0.2">
      <c r="A140" s="15" t="s">
        <v>6238</v>
      </c>
      <c r="B140" s="14">
        <f t="shared" si="0"/>
        <v>0</v>
      </c>
      <c r="C140" s="14">
        <f>'Input Prescr. Lighting Measures'!B142</f>
        <v>138</v>
      </c>
      <c r="D140" s="14" t="str">
        <f>'Input Prescr. Lighting Measures'!C142</f>
        <v/>
      </c>
      <c r="E140" s="14" t="str">
        <f>'Input Prescr. Lighting Measures'!G142</f>
        <v/>
      </c>
      <c r="F140" s="14" t="str">
        <f>IF(ISNUMBER($D140)=TRUE,'Input Prescr. Lighting Measures'!AX142,"")</f>
        <v/>
      </c>
      <c r="G140" s="14" t="str">
        <f>IF(ISNUMBER($D140)=TRUE,'Input Prescr. Lighting Measures'!V142,"")</f>
        <v/>
      </c>
      <c r="H140" s="104" t="str">
        <f>IF(ISNUMBER($D140)=TRUE,'Input Prescr. Lighting Measures'!W142,"")</f>
        <v/>
      </c>
      <c r="I140" s="45" t="str">
        <f>IFERROR(Q140*MIN(Table_Measure_Caps[[#Totals],[Estimated Raw Incentive Total]], Table_Measure_Caps[[#Totals],[Gross Measure Cost Total]], Value_Project_CAP)/Table_Measure_Caps[[#Totals],[Estimated Raw Incentive Total]], "")</f>
        <v/>
      </c>
      <c r="J140" s="45">
        <f>'Input Prescr. Lighting Measures'!R142*'Input Prescr. Lighting Measures'!M142</f>
        <v>0</v>
      </c>
      <c r="K140" s="14">
        <f>'Input Prescr. Lighting Measures'!S142</f>
        <v>0</v>
      </c>
      <c r="L140" s="15" t="e">
        <f>'Input Prescr. Lighting Measures'!AG142</f>
        <v>#N/A</v>
      </c>
      <c r="M140" s="15" t="str">
        <f>IF(ISNUMBER($D140)=TRUE,'Input Prescr. Lighting Measures'!K142,"")</f>
        <v/>
      </c>
      <c r="N140" s="15" t="str">
        <f>IF(ISNUMBER($D140)=TRUE,'Input Prescr. Lighting Measures'!N142,"")</f>
        <v/>
      </c>
      <c r="O140" s="31" t="str">
        <f t="shared" si="3"/>
        <v>Version 4.1 - 2026</v>
      </c>
      <c r="P140" s="89" t="str">
        <f>IF(ISNUMBER($D140)=TRUE,'Input Prescr. Lighting Measures'!F142,"")</f>
        <v/>
      </c>
      <c r="Q140" s="42" t="str">
        <f>'Input Prescr. Lighting Measures'!U142</f>
        <v/>
      </c>
    </row>
    <row r="141" spans="1:17" x14ac:dyDescent="0.2">
      <c r="A141" s="15" t="s">
        <v>6238</v>
      </c>
      <c r="B141" s="14">
        <f t="shared" si="0"/>
        <v>0</v>
      </c>
      <c r="C141" s="14">
        <f>'Input Prescr. Lighting Measures'!B143</f>
        <v>139</v>
      </c>
      <c r="D141" s="14" t="str">
        <f>'Input Prescr. Lighting Measures'!C143</f>
        <v/>
      </c>
      <c r="E141" s="14" t="str">
        <f>'Input Prescr. Lighting Measures'!G143</f>
        <v/>
      </c>
      <c r="F141" s="14" t="str">
        <f>IF(ISNUMBER($D141)=TRUE,'Input Prescr. Lighting Measures'!AX143,"")</f>
        <v/>
      </c>
      <c r="G141" s="14" t="str">
        <f>IF(ISNUMBER($D141)=TRUE,'Input Prescr. Lighting Measures'!V143,"")</f>
        <v/>
      </c>
      <c r="H141" s="104" t="str">
        <f>IF(ISNUMBER($D141)=TRUE,'Input Prescr. Lighting Measures'!W143,"")</f>
        <v/>
      </c>
      <c r="I141" s="45" t="str">
        <f>IFERROR(Q141*MIN(Table_Measure_Caps[[#Totals],[Estimated Raw Incentive Total]], Table_Measure_Caps[[#Totals],[Gross Measure Cost Total]], Value_Project_CAP)/Table_Measure_Caps[[#Totals],[Estimated Raw Incentive Total]], "")</f>
        <v/>
      </c>
      <c r="J141" s="45">
        <f>'Input Prescr. Lighting Measures'!R143*'Input Prescr. Lighting Measures'!M143</f>
        <v>0</v>
      </c>
      <c r="K141" s="14">
        <f>'Input Prescr. Lighting Measures'!S143</f>
        <v>0</v>
      </c>
      <c r="L141" s="15" t="e">
        <f>'Input Prescr. Lighting Measures'!AG143</f>
        <v>#N/A</v>
      </c>
      <c r="M141" s="15" t="str">
        <f>IF(ISNUMBER($D141)=TRUE,'Input Prescr. Lighting Measures'!K143,"")</f>
        <v/>
      </c>
      <c r="N141" s="15" t="str">
        <f>IF(ISNUMBER($D141)=TRUE,'Input Prescr. Lighting Measures'!N143,"")</f>
        <v/>
      </c>
      <c r="O141" s="31" t="str">
        <f t="shared" si="3"/>
        <v>Version 4.1 - 2026</v>
      </c>
      <c r="P141" s="89" t="str">
        <f>IF(ISNUMBER($D141)=TRUE,'Input Prescr. Lighting Measures'!F143,"")</f>
        <v/>
      </c>
      <c r="Q141" s="42" t="str">
        <f>'Input Prescr. Lighting Measures'!U143</f>
        <v/>
      </c>
    </row>
    <row r="142" spans="1:17" x14ac:dyDescent="0.2">
      <c r="A142" s="15" t="s">
        <v>6238</v>
      </c>
      <c r="B142" s="14">
        <f t="shared" si="0"/>
        <v>0</v>
      </c>
      <c r="C142" s="14">
        <f>'Input Prescr. Lighting Measures'!B144</f>
        <v>140</v>
      </c>
      <c r="D142" s="14" t="str">
        <f>'Input Prescr. Lighting Measures'!C144</f>
        <v/>
      </c>
      <c r="E142" s="14" t="str">
        <f>'Input Prescr. Lighting Measures'!G144</f>
        <v/>
      </c>
      <c r="F142" s="14" t="str">
        <f>IF(ISNUMBER($D142)=TRUE,'Input Prescr. Lighting Measures'!AX144,"")</f>
        <v/>
      </c>
      <c r="G142" s="14" t="str">
        <f>IF(ISNUMBER($D142)=TRUE,'Input Prescr. Lighting Measures'!V144,"")</f>
        <v/>
      </c>
      <c r="H142" s="104" t="str">
        <f>IF(ISNUMBER($D142)=TRUE,'Input Prescr. Lighting Measures'!W144,"")</f>
        <v/>
      </c>
      <c r="I142" s="45" t="str">
        <f>IFERROR(Q142*MIN(Table_Measure_Caps[[#Totals],[Estimated Raw Incentive Total]], Table_Measure_Caps[[#Totals],[Gross Measure Cost Total]], Value_Project_CAP)/Table_Measure_Caps[[#Totals],[Estimated Raw Incentive Total]], "")</f>
        <v/>
      </c>
      <c r="J142" s="45">
        <f>'Input Prescr. Lighting Measures'!R144*'Input Prescr. Lighting Measures'!M144</f>
        <v>0</v>
      </c>
      <c r="K142" s="14">
        <f>'Input Prescr. Lighting Measures'!S144</f>
        <v>0</v>
      </c>
      <c r="L142" s="15" t="e">
        <f>'Input Prescr. Lighting Measures'!AG144</f>
        <v>#N/A</v>
      </c>
      <c r="M142" s="15" t="str">
        <f>IF(ISNUMBER($D142)=TRUE,'Input Prescr. Lighting Measures'!K144,"")</f>
        <v/>
      </c>
      <c r="N142" s="15" t="str">
        <f>IF(ISNUMBER($D142)=TRUE,'Input Prescr. Lighting Measures'!N144,"")</f>
        <v/>
      </c>
      <c r="O142" s="31" t="str">
        <f t="shared" si="3"/>
        <v>Version 4.1 - 2026</v>
      </c>
      <c r="P142" s="89" t="str">
        <f>IF(ISNUMBER($D142)=TRUE,'Input Prescr. Lighting Measures'!F144,"")</f>
        <v/>
      </c>
      <c r="Q142" s="42" t="str">
        <f>'Input Prescr. Lighting Measures'!U144</f>
        <v/>
      </c>
    </row>
    <row r="143" spans="1:17" x14ac:dyDescent="0.2">
      <c r="A143" s="15" t="s">
        <v>6238</v>
      </c>
      <c r="B143" s="14">
        <f t="shared" si="0"/>
        <v>0</v>
      </c>
      <c r="C143" s="14">
        <f>'Input Prescr. Lighting Measures'!B145</f>
        <v>141</v>
      </c>
      <c r="D143" s="14" t="str">
        <f>'Input Prescr. Lighting Measures'!C145</f>
        <v/>
      </c>
      <c r="E143" s="14" t="str">
        <f>'Input Prescr. Lighting Measures'!G145</f>
        <v/>
      </c>
      <c r="F143" s="14" t="str">
        <f>IF(ISNUMBER($D143)=TRUE,'Input Prescr. Lighting Measures'!AX145,"")</f>
        <v/>
      </c>
      <c r="G143" s="14" t="str">
        <f>IF(ISNUMBER($D143)=TRUE,'Input Prescr. Lighting Measures'!V145,"")</f>
        <v/>
      </c>
      <c r="H143" s="104" t="str">
        <f>IF(ISNUMBER($D143)=TRUE,'Input Prescr. Lighting Measures'!W145,"")</f>
        <v/>
      </c>
      <c r="I143" s="45" t="str">
        <f>IFERROR(Q143*MIN(Table_Measure_Caps[[#Totals],[Estimated Raw Incentive Total]], Table_Measure_Caps[[#Totals],[Gross Measure Cost Total]], Value_Project_CAP)/Table_Measure_Caps[[#Totals],[Estimated Raw Incentive Total]], "")</f>
        <v/>
      </c>
      <c r="J143" s="45">
        <f>'Input Prescr. Lighting Measures'!R145*'Input Prescr. Lighting Measures'!M145</f>
        <v>0</v>
      </c>
      <c r="K143" s="14">
        <f>'Input Prescr. Lighting Measures'!S145</f>
        <v>0</v>
      </c>
      <c r="L143" s="15" t="e">
        <f>'Input Prescr. Lighting Measures'!AG145</f>
        <v>#N/A</v>
      </c>
      <c r="M143" s="15" t="str">
        <f>IF(ISNUMBER($D143)=TRUE,'Input Prescr. Lighting Measures'!K145,"")</f>
        <v/>
      </c>
      <c r="N143" s="15" t="str">
        <f>IF(ISNUMBER($D143)=TRUE,'Input Prescr. Lighting Measures'!N145,"")</f>
        <v/>
      </c>
      <c r="O143" s="31" t="str">
        <f t="shared" si="3"/>
        <v>Version 4.1 - 2026</v>
      </c>
      <c r="P143" s="89" t="str">
        <f>IF(ISNUMBER($D143)=TRUE,'Input Prescr. Lighting Measures'!F145,"")</f>
        <v/>
      </c>
      <c r="Q143" s="42" t="str">
        <f>'Input Prescr. Lighting Measures'!U145</f>
        <v/>
      </c>
    </row>
    <row r="144" spans="1:17" x14ac:dyDescent="0.2">
      <c r="A144" s="15" t="s">
        <v>6238</v>
      </c>
      <c r="B144" s="14">
        <f t="shared" si="0"/>
        <v>0</v>
      </c>
      <c r="C144" s="14">
        <f>'Input Prescr. Lighting Measures'!B146</f>
        <v>142</v>
      </c>
      <c r="D144" s="14" t="str">
        <f>'Input Prescr. Lighting Measures'!C146</f>
        <v/>
      </c>
      <c r="E144" s="14" t="str">
        <f>'Input Prescr. Lighting Measures'!G146</f>
        <v/>
      </c>
      <c r="F144" s="14" t="str">
        <f>IF(ISNUMBER($D144)=TRUE,'Input Prescr. Lighting Measures'!AX146,"")</f>
        <v/>
      </c>
      <c r="G144" s="14" t="str">
        <f>IF(ISNUMBER($D144)=TRUE,'Input Prescr. Lighting Measures'!V146,"")</f>
        <v/>
      </c>
      <c r="H144" s="104" t="str">
        <f>IF(ISNUMBER($D144)=TRUE,'Input Prescr. Lighting Measures'!W146,"")</f>
        <v/>
      </c>
      <c r="I144" s="45" t="str">
        <f>IFERROR(Q144*MIN(Table_Measure_Caps[[#Totals],[Estimated Raw Incentive Total]], Table_Measure_Caps[[#Totals],[Gross Measure Cost Total]], Value_Project_CAP)/Table_Measure_Caps[[#Totals],[Estimated Raw Incentive Total]], "")</f>
        <v/>
      </c>
      <c r="J144" s="45">
        <f>'Input Prescr. Lighting Measures'!R146*'Input Prescr. Lighting Measures'!M146</f>
        <v>0</v>
      </c>
      <c r="K144" s="14">
        <f>'Input Prescr. Lighting Measures'!S146</f>
        <v>0</v>
      </c>
      <c r="L144" s="15" t="e">
        <f>'Input Prescr. Lighting Measures'!AG146</f>
        <v>#N/A</v>
      </c>
      <c r="M144" s="15" t="str">
        <f>IF(ISNUMBER($D144)=TRUE,'Input Prescr. Lighting Measures'!K146,"")</f>
        <v/>
      </c>
      <c r="N144" s="15" t="str">
        <f>IF(ISNUMBER($D144)=TRUE,'Input Prescr. Lighting Measures'!N146,"")</f>
        <v/>
      </c>
      <c r="O144" s="31" t="str">
        <f t="shared" si="3"/>
        <v>Version 4.1 - 2026</v>
      </c>
      <c r="P144" s="89" t="str">
        <f>IF(ISNUMBER($D144)=TRUE,'Input Prescr. Lighting Measures'!F146,"")</f>
        <v/>
      </c>
      <c r="Q144" s="42" t="str">
        <f>'Input Prescr. Lighting Measures'!U146</f>
        <v/>
      </c>
    </row>
    <row r="145" spans="1:17" x14ac:dyDescent="0.2">
      <c r="A145" s="15" t="s">
        <v>6238</v>
      </c>
      <c r="B145" s="14">
        <f t="shared" si="0"/>
        <v>0</v>
      </c>
      <c r="C145" s="14">
        <f>'Input Prescr. Lighting Measures'!B147</f>
        <v>143</v>
      </c>
      <c r="D145" s="14" t="str">
        <f>'Input Prescr. Lighting Measures'!C147</f>
        <v/>
      </c>
      <c r="E145" s="14" t="str">
        <f>'Input Prescr. Lighting Measures'!G147</f>
        <v/>
      </c>
      <c r="F145" s="14" t="str">
        <f>IF(ISNUMBER($D145)=TRUE,'Input Prescr. Lighting Measures'!AX147,"")</f>
        <v/>
      </c>
      <c r="G145" s="14" t="str">
        <f>IF(ISNUMBER($D145)=TRUE,'Input Prescr. Lighting Measures'!V147,"")</f>
        <v/>
      </c>
      <c r="H145" s="104" t="str">
        <f>IF(ISNUMBER($D145)=TRUE,'Input Prescr. Lighting Measures'!W147,"")</f>
        <v/>
      </c>
      <c r="I145" s="45" t="str">
        <f>IFERROR(Q145*MIN(Table_Measure_Caps[[#Totals],[Estimated Raw Incentive Total]], Table_Measure_Caps[[#Totals],[Gross Measure Cost Total]], Value_Project_CAP)/Table_Measure_Caps[[#Totals],[Estimated Raw Incentive Total]], "")</f>
        <v/>
      </c>
      <c r="J145" s="45">
        <f>'Input Prescr. Lighting Measures'!R147*'Input Prescr. Lighting Measures'!M147</f>
        <v>0</v>
      </c>
      <c r="K145" s="14">
        <f>'Input Prescr. Lighting Measures'!S147</f>
        <v>0</v>
      </c>
      <c r="L145" s="15" t="e">
        <f>'Input Prescr. Lighting Measures'!AG147</f>
        <v>#N/A</v>
      </c>
      <c r="M145" s="15" t="str">
        <f>IF(ISNUMBER($D145)=TRUE,'Input Prescr. Lighting Measures'!K147,"")</f>
        <v/>
      </c>
      <c r="N145" s="15" t="str">
        <f>IF(ISNUMBER($D145)=TRUE,'Input Prescr. Lighting Measures'!N147,"")</f>
        <v/>
      </c>
      <c r="O145" s="31" t="str">
        <f t="shared" si="3"/>
        <v>Version 4.1 - 2026</v>
      </c>
      <c r="P145" s="89" t="str">
        <f>IF(ISNUMBER($D145)=TRUE,'Input Prescr. Lighting Measures'!F147,"")</f>
        <v/>
      </c>
      <c r="Q145" s="42" t="str">
        <f>'Input Prescr. Lighting Measures'!U147</f>
        <v/>
      </c>
    </row>
    <row r="146" spans="1:17" x14ac:dyDescent="0.2">
      <c r="A146" s="15" t="s">
        <v>6238</v>
      </c>
      <c r="B146" s="14">
        <f t="shared" si="0"/>
        <v>0</v>
      </c>
      <c r="C146" s="14">
        <f>'Input Prescr. Lighting Measures'!B148</f>
        <v>144</v>
      </c>
      <c r="D146" s="14" t="str">
        <f>'Input Prescr. Lighting Measures'!C148</f>
        <v/>
      </c>
      <c r="E146" s="14" t="str">
        <f>'Input Prescr. Lighting Measures'!G148</f>
        <v/>
      </c>
      <c r="F146" s="14" t="str">
        <f>IF(ISNUMBER($D146)=TRUE,'Input Prescr. Lighting Measures'!AX148,"")</f>
        <v/>
      </c>
      <c r="G146" s="14" t="str">
        <f>IF(ISNUMBER($D146)=TRUE,'Input Prescr. Lighting Measures'!V148,"")</f>
        <v/>
      </c>
      <c r="H146" s="104" t="str">
        <f>IF(ISNUMBER($D146)=TRUE,'Input Prescr. Lighting Measures'!W148,"")</f>
        <v/>
      </c>
      <c r="I146" s="45" t="str">
        <f>IFERROR(Q146*MIN(Table_Measure_Caps[[#Totals],[Estimated Raw Incentive Total]], Table_Measure_Caps[[#Totals],[Gross Measure Cost Total]], Value_Project_CAP)/Table_Measure_Caps[[#Totals],[Estimated Raw Incentive Total]], "")</f>
        <v/>
      </c>
      <c r="J146" s="45">
        <f>'Input Prescr. Lighting Measures'!R148*'Input Prescr. Lighting Measures'!M148</f>
        <v>0</v>
      </c>
      <c r="K146" s="14">
        <f>'Input Prescr. Lighting Measures'!S148</f>
        <v>0</v>
      </c>
      <c r="L146" s="15" t="e">
        <f>'Input Prescr. Lighting Measures'!AG148</f>
        <v>#N/A</v>
      </c>
      <c r="M146" s="15" t="str">
        <f>IF(ISNUMBER($D146)=TRUE,'Input Prescr. Lighting Measures'!K148,"")</f>
        <v/>
      </c>
      <c r="N146" s="15" t="str">
        <f>IF(ISNUMBER($D146)=TRUE,'Input Prescr. Lighting Measures'!N148,"")</f>
        <v/>
      </c>
      <c r="O146" s="31" t="str">
        <f t="shared" si="3"/>
        <v>Version 4.1 - 2026</v>
      </c>
      <c r="P146" s="89" t="str">
        <f>IF(ISNUMBER($D146)=TRUE,'Input Prescr. Lighting Measures'!F148,"")</f>
        <v/>
      </c>
      <c r="Q146" s="42" t="str">
        <f>'Input Prescr. Lighting Measures'!U148</f>
        <v/>
      </c>
    </row>
    <row r="147" spans="1:17" x14ac:dyDescent="0.2">
      <c r="A147" s="15" t="s">
        <v>6238</v>
      </c>
      <c r="B147" s="14">
        <f t="shared" si="0"/>
        <v>0</v>
      </c>
      <c r="C147" s="14">
        <f>'Input Prescr. Lighting Measures'!B149</f>
        <v>145</v>
      </c>
      <c r="D147" s="14" t="str">
        <f>'Input Prescr. Lighting Measures'!C149</f>
        <v/>
      </c>
      <c r="E147" s="14" t="str">
        <f>'Input Prescr. Lighting Measures'!G149</f>
        <v/>
      </c>
      <c r="F147" s="14" t="str">
        <f>IF(ISNUMBER($D147)=TRUE,'Input Prescr. Lighting Measures'!AX149,"")</f>
        <v/>
      </c>
      <c r="G147" s="14" t="str">
        <f>IF(ISNUMBER($D147)=TRUE,'Input Prescr. Lighting Measures'!V149,"")</f>
        <v/>
      </c>
      <c r="H147" s="104" t="str">
        <f>IF(ISNUMBER($D147)=TRUE,'Input Prescr. Lighting Measures'!W149,"")</f>
        <v/>
      </c>
      <c r="I147" s="45" t="str">
        <f>IFERROR(Q147*MIN(Table_Measure_Caps[[#Totals],[Estimated Raw Incentive Total]], Table_Measure_Caps[[#Totals],[Gross Measure Cost Total]], Value_Project_CAP)/Table_Measure_Caps[[#Totals],[Estimated Raw Incentive Total]], "")</f>
        <v/>
      </c>
      <c r="J147" s="45">
        <f>'Input Prescr. Lighting Measures'!R149*'Input Prescr. Lighting Measures'!M149</f>
        <v>0</v>
      </c>
      <c r="K147" s="14">
        <f>'Input Prescr. Lighting Measures'!S149</f>
        <v>0</v>
      </c>
      <c r="L147" s="15" t="e">
        <f>'Input Prescr. Lighting Measures'!AG149</f>
        <v>#N/A</v>
      </c>
      <c r="M147" s="15" t="str">
        <f>IF(ISNUMBER($D147)=TRUE,'Input Prescr. Lighting Measures'!K149,"")</f>
        <v/>
      </c>
      <c r="N147" s="15" t="str">
        <f>IF(ISNUMBER($D147)=TRUE,'Input Prescr. Lighting Measures'!N149,"")</f>
        <v/>
      </c>
      <c r="O147" s="31" t="str">
        <f t="shared" si="3"/>
        <v>Version 4.1 - 2026</v>
      </c>
      <c r="P147" s="89" t="str">
        <f>IF(ISNUMBER($D147)=TRUE,'Input Prescr. Lighting Measures'!F149,"")</f>
        <v/>
      </c>
      <c r="Q147" s="42" t="str">
        <f>'Input Prescr. Lighting Measures'!U149</f>
        <v/>
      </c>
    </row>
    <row r="148" spans="1:17" x14ac:dyDescent="0.2">
      <c r="A148" s="15" t="s">
        <v>6238</v>
      </c>
      <c r="B148" s="14">
        <f t="shared" si="0"/>
        <v>0</v>
      </c>
      <c r="C148" s="14">
        <f>'Input Prescr. Lighting Measures'!B150</f>
        <v>146</v>
      </c>
      <c r="D148" s="14" t="str">
        <f>'Input Prescr. Lighting Measures'!C150</f>
        <v/>
      </c>
      <c r="E148" s="14" t="str">
        <f>'Input Prescr. Lighting Measures'!G150</f>
        <v/>
      </c>
      <c r="F148" s="14" t="str">
        <f>IF(ISNUMBER($D148)=TRUE,'Input Prescr. Lighting Measures'!AX150,"")</f>
        <v/>
      </c>
      <c r="G148" s="14" t="str">
        <f>IF(ISNUMBER($D148)=TRUE,'Input Prescr. Lighting Measures'!V150,"")</f>
        <v/>
      </c>
      <c r="H148" s="104" t="str">
        <f>IF(ISNUMBER($D148)=TRUE,'Input Prescr. Lighting Measures'!W150,"")</f>
        <v/>
      </c>
      <c r="I148" s="45" t="str">
        <f>IFERROR(Q148*MIN(Table_Measure_Caps[[#Totals],[Estimated Raw Incentive Total]], Table_Measure_Caps[[#Totals],[Gross Measure Cost Total]], Value_Project_CAP)/Table_Measure_Caps[[#Totals],[Estimated Raw Incentive Total]], "")</f>
        <v/>
      </c>
      <c r="J148" s="45">
        <f>'Input Prescr. Lighting Measures'!R150*'Input Prescr. Lighting Measures'!M150</f>
        <v>0</v>
      </c>
      <c r="K148" s="14">
        <f>'Input Prescr. Lighting Measures'!S150</f>
        <v>0</v>
      </c>
      <c r="L148" s="15" t="e">
        <f>'Input Prescr. Lighting Measures'!AG150</f>
        <v>#N/A</v>
      </c>
      <c r="M148" s="15" t="str">
        <f>IF(ISNUMBER($D148)=TRUE,'Input Prescr. Lighting Measures'!K150,"")</f>
        <v/>
      </c>
      <c r="N148" s="15" t="str">
        <f>IF(ISNUMBER($D148)=TRUE,'Input Prescr. Lighting Measures'!N150,"")</f>
        <v/>
      </c>
      <c r="O148" s="31" t="str">
        <f t="shared" si="3"/>
        <v>Version 4.1 - 2026</v>
      </c>
      <c r="P148" s="89" t="str">
        <f>IF(ISNUMBER($D148)=TRUE,'Input Prescr. Lighting Measures'!F150,"")</f>
        <v/>
      </c>
      <c r="Q148" s="42" t="str">
        <f>'Input Prescr. Lighting Measures'!U150</f>
        <v/>
      </c>
    </row>
    <row r="149" spans="1:17" x14ac:dyDescent="0.2">
      <c r="A149" s="15" t="s">
        <v>6238</v>
      </c>
      <c r="B149" s="14">
        <f t="shared" si="0"/>
        <v>0</v>
      </c>
      <c r="C149" s="14">
        <f>'Input Prescr. Lighting Measures'!B151</f>
        <v>147</v>
      </c>
      <c r="D149" s="14" t="str">
        <f>'Input Prescr. Lighting Measures'!C151</f>
        <v/>
      </c>
      <c r="E149" s="14" t="str">
        <f>'Input Prescr. Lighting Measures'!G151</f>
        <v/>
      </c>
      <c r="F149" s="14" t="str">
        <f>IF(ISNUMBER($D149)=TRUE,'Input Prescr. Lighting Measures'!AX151,"")</f>
        <v/>
      </c>
      <c r="G149" s="14" t="str">
        <f>IF(ISNUMBER($D149)=TRUE,'Input Prescr. Lighting Measures'!V151,"")</f>
        <v/>
      </c>
      <c r="H149" s="104" t="str">
        <f>IF(ISNUMBER($D149)=TRUE,'Input Prescr. Lighting Measures'!W151,"")</f>
        <v/>
      </c>
      <c r="I149" s="45" t="str">
        <f>IFERROR(Q149*MIN(Table_Measure_Caps[[#Totals],[Estimated Raw Incentive Total]], Table_Measure_Caps[[#Totals],[Gross Measure Cost Total]], Value_Project_CAP)/Table_Measure_Caps[[#Totals],[Estimated Raw Incentive Total]], "")</f>
        <v/>
      </c>
      <c r="J149" s="45">
        <f>'Input Prescr. Lighting Measures'!R151*'Input Prescr. Lighting Measures'!M151</f>
        <v>0</v>
      </c>
      <c r="K149" s="14">
        <f>'Input Prescr. Lighting Measures'!S151</f>
        <v>0</v>
      </c>
      <c r="L149" s="15" t="e">
        <f>'Input Prescr. Lighting Measures'!AG151</f>
        <v>#N/A</v>
      </c>
      <c r="M149" s="15" t="str">
        <f>IF(ISNUMBER($D149)=TRUE,'Input Prescr. Lighting Measures'!K151,"")</f>
        <v/>
      </c>
      <c r="N149" s="15" t="str">
        <f>IF(ISNUMBER($D149)=TRUE,'Input Prescr. Lighting Measures'!N151,"")</f>
        <v/>
      </c>
      <c r="O149" s="31" t="str">
        <f t="shared" si="3"/>
        <v>Version 4.1 - 2026</v>
      </c>
      <c r="P149" s="89" t="str">
        <f>IF(ISNUMBER($D149)=TRUE,'Input Prescr. Lighting Measures'!F151,"")</f>
        <v/>
      </c>
      <c r="Q149" s="42" t="str">
        <f>'Input Prescr. Lighting Measures'!U151</f>
        <v/>
      </c>
    </row>
    <row r="150" spans="1:17" x14ac:dyDescent="0.2">
      <c r="A150" s="15" t="s">
        <v>6238</v>
      </c>
      <c r="B150" s="14">
        <f t="shared" si="0"/>
        <v>0</v>
      </c>
      <c r="C150" s="14">
        <f>'Input Prescr. Lighting Measures'!B152</f>
        <v>148</v>
      </c>
      <c r="D150" s="14" t="str">
        <f>'Input Prescr. Lighting Measures'!C152</f>
        <v/>
      </c>
      <c r="E150" s="14" t="str">
        <f>'Input Prescr. Lighting Measures'!G152</f>
        <v/>
      </c>
      <c r="F150" s="14" t="str">
        <f>IF(ISNUMBER($D150)=TRUE,'Input Prescr. Lighting Measures'!AX152,"")</f>
        <v/>
      </c>
      <c r="G150" s="14" t="str">
        <f>IF(ISNUMBER($D150)=TRUE,'Input Prescr. Lighting Measures'!V152,"")</f>
        <v/>
      </c>
      <c r="H150" s="104" t="str">
        <f>IF(ISNUMBER($D150)=TRUE,'Input Prescr. Lighting Measures'!W152,"")</f>
        <v/>
      </c>
      <c r="I150" s="45" t="str">
        <f>IFERROR(Q150*MIN(Table_Measure_Caps[[#Totals],[Estimated Raw Incentive Total]], Table_Measure_Caps[[#Totals],[Gross Measure Cost Total]], Value_Project_CAP)/Table_Measure_Caps[[#Totals],[Estimated Raw Incentive Total]], "")</f>
        <v/>
      </c>
      <c r="J150" s="45">
        <f>'Input Prescr. Lighting Measures'!R152*'Input Prescr. Lighting Measures'!M152</f>
        <v>0</v>
      </c>
      <c r="K150" s="14">
        <f>'Input Prescr. Lighting Measures'!S152</f>
        <v>0</v>
      </c>
      <c r="L150" s="15" t="e">
        <f>'Input Prescr. Lighting Measures'!AG152</f>
        <v>#N/A</v>
      </c>
      <c r="M150" s="15" t="str">
        <f>IF(ISNUMBER($D150)=TRUE,'Input Prescr. Lighting Measures'!K152,"")</f>
        <v/>
      </c>
      <c r="N150" s="15" t="str">
        <f>IF(ISNUMBER($D150)=TRUE,'Input Prescr. Lighting Measures'!N152,"")</f>
        <v/>
      </c>
      <c r="O150" s="31" t="str">
        <f t="shared" si="3"/>
        <v>Version 4.1 - 2026</v>
      </c>
      <c r="P150" s="89" t="str">
        <f>IF(ISNUMBER($D150)=TRUE,'Input Prescr. Lighting Measures'!F152,"")</f>
        <v/>
      </c>
      <c r="Q150" s="42" t="str">
        <f>'Input Prescr. Lighting Measures'!U152</f>
        <v/>
      </c>
    </row>
    <row r="151" spans="1:17" x14ac:dyDescent="0.2">
      <c r="A151" s="15" t="s">
        <v>6238</v>
      </c>
      <c r="B151" s="14">
        <f t="shared" si="0"/>
        <v>0</v>
      </c>
      <c r="C151" s="14">
        <f>'Input Prescr. Lighting Measures'!B153</f>
        <v>149</v>
      </c>
      <c r="D151" s="14" t="str">
        <f>'Input Prescr. Lighting Measures'!C153</f>
        <v/>
      </c>
      <c r="E151" s="14" t="str">
        <f>'Input Prescr. Lighting Measures'!G153</f>
        <v/>
      </c>
      <c r="F151" s="14" t="str">
        <f>IF(ISNUMBER($D151)=TRUE,'Input Prescr. Lighting Measures'!AX153,"")</f>
        <v/>
      </c>
      <c r="G151" s="14" t="str">
        <f>IF(ISNUMBER($D151)=TRUE,'Input Prescr. Lighting Measures'!V153,"")</f>
        <v/>
      </c>
      <c r="H151" s="104" t="str">
        <f>IF(ISNUMBER($D151)=TRUE,'Input Prescr. Lighting Measures'!W153,"")</f>
        <v/>
      </c>
      <c r="I151" s="45" t="str">
        <f>IFERROR(Q151*MIN(Table_Measure_Caps[[#Totals],[Estimated Raw Incentive Total]], Table_Measure_Caps[[#Totals],[Gross Measure Cost Total]], Value_Project_CAP)/Table_Measure_Caps[[#Totals],[Estimated Raw Incentive Total]], "")</f>
        <v/>
      </c>
      <c r="J151" s="45">
        <f>'Input Prescr. Lighting Measures'!R153*'Input Prescr. Lighting Measures'!M153</f>
        <v>0</v>
      </c>
      <c r="K151" s="14">
        <f>'Input Prescr. Lighting Measures'!S153</f>
        <v>0</v>
      </c>
      <c r="L151" s="15" t="e">
        <f>'Input Prescr. Lighting Measures'!AG153</f>
        <v>#N/A</v>
      </c>
      <c r="M151" s="15" t="str">
        <f>IF(ISNUMBER($D151)=TRUE,'Input Prescr. Lighting Measures'!K153,"")</f>
        <v/>
      </c>
      <c r="N151" s="15" t="str">
        <f>IF(ISNUMBER($D151)=TRUE,'Input Prescr. Lighting Measures'!N153,"")</f>
        <v/>
      </c>
      <c r="O151" s="31" t="str">
        <f t="shared" si="3"/>
        <v>Version 4.1 - 2026</v>
      </c>
      <c r="P151" s="89" t="str">
        <f>IF(ISNUMBER($D151)=TRUE,'Input Prescr. Lighting Measures'!F153,"")</f>
        <v/>
      </c>
      <c r="Q151" s="42" t="str">
        <f>'Input Prescr. Lighting Measures'!U153</f>
        <v/>
      </c>
    </row>
    <row r="152" spans="1:17" x14ac:dyDescent="0.2">
      <c r="A152" s="15" t="s">
        <v>6238</v>
      </c>
      <c r="B152" s="14">
        <f t="shared" si="0"/>
        <v>0</v>
      </c>
      <c r="C152" s="14">
        <f>'Input Prescr. Lighting Measures'!B154</f>
        <v>150</v>
      </c>
      <c r="D152" s="14" t="str">
        <f>'Input Prescr. Lighting Measures'!C154</f>
        <v/>
      </c>
      <c r="E152" s="14" t="str">
        <f>'Input Prescr. Lighting Measures'!G154</f>
        <v/>
      </c>
      <c r="F152" s="14" t="str">
        <f>IF(ISNUMBER($D152)=TRUE,'Input Prescr. Lighting Measures'!AX154,"")</f>
        <v/>
      </c>
      <c r="G152" s="14" t="str">
        <f>IF(ISNUMBER($D152)=TRUE,'Input Prescr. Lighting Measures'!V154,"")</f>
        <v/>
      </c>
      <c r="H152" s="104" t="str">
        <f>IF(ISNUMBER($D152)=TRUE,'Input Prescr. Lighting Measures'!W154,"")</f>
        <v/>
      </c>
      <c r="I152" s="45" t="str">
        <f>IFERROR(Q152*MIN(Table_Measure_Caps[[#Totals],[Estimated Raw Incentive Total]], Table_Measure_Caps[[#Totals],[Gross Measure Cost Total]], Value_Project_CAP)/Table_Measure_Caps[[#Totals],[Estimated Raw Incentive Total]], "")</f>
        <v/>
      </c>
      <c r="J152" s="45">
        <f>'Input Prescr. Lighting Measures'!R154*'Input Prescr. Lighting Measures'!M154</f>
        <v>0</v>
      </c>
      <c r="K152" s="14">
        <f>'Input Prescr. Lighting Measures'!S154</f>
        <v>0</v>
      </c>
      <c r="L152" s="15" t="e">
        <f>'Input Prescr. Lighting Measures'!AG154</f>
        <v>#N/A</v>
      </c>
      <c r="M152" s="15" t="str">
        <f>IF(ISNUMBER($D152)=TRUE,'Input Prescr. Lighting Measures'!K154,"")</f>
        <v/>
      </c>
      <c r="N152" s="15" t="str">
        <f>IF(ISNUMBER($D152)=TRUE,'Input Prescr. Lighting Measures'!N154,"")</f>
        <v/>
      </c>
      <c r="O152" s="31" t="str">
        <f t="shared" si="3"/>
        <v>Version 4.1 - 2026</v>
      </c>
      <c r="P152" s="89" t="str">
        <f>IF(ISNUMBER($D152)=TRUE,'Input Prescr. Lighting Measures'!F154,"")</f>
        <v/>
      </c>
      <c r="Q152" s="42" t="str">
        <f>'Input Prescr. Lighting Measures'!U154</f>
        <v/>
      </c>
    </row>
    <row r="153" spans="1:17" x14ac:dyDescent="0.2">
      <c r="A153" s="15" t="s">
        <v>6238</v>
      </c>
      <c r="B153" s="14">
        <f t="shared" si="0"/>
        <v>0</v>
      </c>
      <c r="C153" s="14">
        <f>'Input Prescr. Lighting Measures'!B155</f>
        <v>151</v>
      </c>
      <c r="D153" s="14" t="str">
        <f>'Input Prescr. Lighting Measures'!C155</f>
        <v/>
      </c>
      <c r="E153" s="14" t="str">
        <f>'Input Prescr. Lighting Measures'!G155</f>
        <v/>
      </c>
      <c r="F153" s="14" t="str">
        <f>IF(ISNUMBER($D153)=TRUE,'Input Prescr. Lighting Measures'!AX155,"")</f>
        <v/>
      </c>
      <c r="G153" s="14" t="str">
        <f>IF(ISNUMBER($D153)=TRUE,'Input Prescr. Lighting Measures'!V155,"")</f>
        <v/>
      </c>
      <c r="H153" s="104" t="str">
        <f>IF(ISNUMBER($D153)=TRUE,'Input Prescr. Lighting Measures'!W155,"")</f>
        <v/>
      </c>
      <c r="I153" s="45" t="str">
        <f>IFERROR(Q153*MIN(Table_Measure_Caps[[#Totals],[Estimated Raw Incentive Total]], Table_Measure_Caps[[#Totals],[Gross Measure Cost Total]], Value_Project_CAP)/Table_Measure_Caps[[#Totals],[Estimated Raw Incentive Total]], "")</f>
        <v/>
      </c>
      <c r="J153" s="45">
        <f>'Input Prescr. Lighting Measures'!R155*'Input Prescr. Lighting Measures'!M155</f>
        <v>0</v>
      </c>
      <c r="K153" s="14">
        <f>'Input Prescr. Lighting Measures'!S155</f>
        <v>0</v>
      </c>
      <c r="L153" s="15" t="e">
        <f>'Input Prescr. Lighting Measures'!AG155</f>
        <v>#N/A</v>
      </c>
      <c r="M153" s="15" t="str">
        <f>IF(ISNUMBER($D153)=TRUE,'Input Prescr. Lighting Measures'!K155,"")</f>
        <v/>
      </c>
      <c r="N153" s="15" t="str">
        <f>IF(ISNUMBER($D153)=TRUE,'Input Prescr. Lighting Measures'!N155,"")</f>
        <v/>
      </c>
      <c r="O153" s="31" t="str">
        <f t="shared" si="3"/>
        <v>Version 4.1 - 2026</v>
      </c>
      <c r="P153" s="89" t="str">
        <f>IF(ISNUMBER($D153)=TRUE,'Input Prescr. Lighting Measures'!F155,"")</f>
        <v/>
      </c>
      <c r="Q153" s="42" t="str">
        <f>'Input Prescr. Lighting Measures'!U155</f>
        <v/>
      </c>
    </row>
    <row r="154" spans="1:17" x14ac:dyDescent="0.2">
      <c r="A154" s="15" t="s">
        <v>6238</v>
      </c>
      <c r="B154" s="14">
        <f t="shared" si="0"/>
        <v>0</v>
      </c>
      <c r="C154" s="14">
        <f>'Input Prescr. Lighting Measures'!B156</f>
        <v>152</v>
      </c>
      <c r="D154" s="14" t="str">
        <f>'Input Prescr. Lighting Measures'!C156</f>
        <v/>
      </c>
      <c r="E154" s="14" t="str">
        <f>'Input Prescr. Lighting Measures'!G156</f>
        <v/>
      </c>
      <c r="F154" s="14" t="str">
        <f>IF(ISNUMBER($D154)=TRUE,'Input Prescr. Lighting Measures'!AX156,"")</f>
        <v/>
      </c>
      <c r="G154" s="14" t="str">
        <f>IF(ISNUMBER($D154)=TRUE,'Input Prescr. Lighting Measures'!V156,"")</f>
        <v/>
      </c>
      <c r="H154" s="104" t="str">
        <f>IF(ISNUMBER($D154)=TRUE,'Input Prescr. Lighting Measures'!W156,"")</f>
        <v/>
      </c>
      <c r="I154" s="45" t="str">
        <f>IFERROR(Q154*MIN(Table_Measure_Caps[[#Totals],[Estimated Raw Incentive Total]], Table_Measure_Caps[[#Totals],[Gross Measure Cost Total]], Value_Project_CAP)/Table_Measure_Caps[[#Totals],[Estimated Raw Incentive Total]], "")</f>
        <v/>
      </c>
      <c r="J154" s="45">
        <f>'Input Prescr. Lighting Measures'!R156*'Input Prescr. Lighting Measures'!M156</f>
        <v>0</v>
      </c>
      <c r="K154" s="14">
        <f>'Input Prescr. Lighting Measures'!S156</f>
        <v>0</v>
      </c>
      <c r="L154" s="15" t="e">
        <f>'Input Prescr. Lighting Measures'!AG156</f>
        <v>#N/A</v>
      </c>
      <c r="M154" s="15" t="str">
        <f>IF(ISNUMBER($D154)=TRUE,'Input Prescr. Lighting Measures'!K156,"")</f>
        <v/>
      </c>
      <c r="N154" s="15" t="str">
        <f>IF(ISNUMBER($D154)=TRUE,'Input Prescr. Lighting Measures'!N156,"")</f>
        <v/>
      </c>
      <c r="O154" s="31" t="str">
        <f t="shared" si="3"/>
        <v>Version 4.1 - 2026</v>
      </c>
      <c r="P154" s="89" t="str">
        <f>IF(ISNUMBER($D154)=TRUE,'Input Prescr. Lighting Measures'!F156,"")</f>
        <v/>
      </c>
      <c r="Q154" s="42" t="str">
        <f>'Input Prescr. Lighting Measures'!U156</f>
        <v/>
      </c>
    </row>
    <row r="155" spans="1:17" x14ac:dyDescent="0.2">
      <c r="A155" s="15" t="s">
        <v>6238</v>
      </c>
      <c r="B155" s="14">
        <f t="shared" si="0"/>
        <v>0</v>
      </c>
      <c r="C155" s="14">
        <f>'Input Prescr. Lighting Measures'!B157</f>
        <v>153</v>
      </c>
      <c r="D155" s="14" t="str">
        <f>'Input Prescr. Lighting Measures'!C157</f>
        <v/>
      </c>
      <c r="E155" s="14" t="str">
        <f>'Input Prescr. Lighting Measures'!G157</f>
        <v/>
      </c>
      <c r="F155" s="14" t="str">
        <f>IF(ISNUMBER($D155)=TRUE,'Input Prescr. Lighting Measures'!AX157,"")</f>
        <v/>
      </c>
      <c r="G155" s="14" t="str">
        <f>IF(ISNUMBER($D155)=TRUE,'Input Prescr. Lighting Measures'!V157,"")</f>
        <v/>
      </c>
      <c r="H155" s="104" t="str">
        <f>IF(ISNUMBER($D155)=TRUE,'Input Prescr. Lighting Measures'!W157,"")</f>
        <v/>
      </c>
      <c r="I155" s="45" t="str">
        <f>IFERROR(Q155*MIN(Table_Measure_Caps[[#Totals],[Estimated Raw Incentive Total]], Table_Measure_Caps[[#Totals],[Gross Measure Cost Total]], Value_Project_CAP)/Table_Measure_Caps[[#Totals],[Estimated Raw Incentive Total]], "")</f>
        <v/>
      </c>
      <c r="J155" s="45">
        <f>'Input Prescr. Lighting Measures'!R157*'Input Prescr. Lighting Measures'!M157</f>
        <v>0</v>
      </c>
      <c r="K155" s="14">
        <f>'Input Prescr. Lighting Measures'!S157</f>
        <v>0</v>
      </c>
      <c r="L155" s="15" t="e">
        <f>'Input Prescr. Lighting Measures'!AG157</f>
        <v>#N/A</v>
      </c>
      <c r="M155" s="15" t="str">
        <f>IF(ISNUMBER($D155)=TRUE,'Input Prescr. Lighting Measures'!K157,"")</f>
        <v/>
      </c>
      <c r="N155" s="15" t="str">
        <f>IF(ISNUMBER($D155)=TRUE,'Input Prescr. Lighting Measures'!N157,"")</f>
        <v/>
      </c>
      <c r="O155" s="31" t="str">
        <f t="shared" si="3"/>
        <v>Version 4.1 - 2026</v>
      </c>
      <c r="P155" s="89" t="str">
        <f>IF(ISNUMBER($D155)=TRUE,'Input Prescr. Lighting Measures'!F157,"")</f>
        <v/>
      </c>
      <c r="Q155" s="42" t="str">
        <f>'Input Prescr. Lighting Measures'!U157</f>
        <v/>
      </c>
    </row>
    <row r="156" spans="1:17" x14ac:dyDescent="0.2">
      <c r="A156" s="15" t="s">
        <v>6238</v>
      </c>
      <c r="B156" s="14">
        <f t="shared" si="0"/>
        <v>0</v>
      </c>
      <c r="C156" s="14">
        <f>'Input Prescr. Lighting Measures'!B158</f>
        <v>154</v>
      </c>
      <c r="D156" s="14" t="str">
        <f>'Input Prescr. Lighting Measures'!C158</f>
        <v/>
      </c>
      <c r="E156" s="14" t="str">
        <f>'Input Prescr. Lighting Measures'!G158</f>
        <v/>
      </c>
      <c r="F156" s="14" t="str">
        <f>IF(ISNUMBER($D156)=TRUE,'Input Prescr. Lighting Measures'!AX158,"")</f>
        <v/>
      </c>
      <c r="G156" s="14" t="str">
        <f>IF(ISNUMBER($D156)=TRUE,'Input Prescr. Lighting Measures'!V158,"")</f>
        <v/>
      </c>
      <c r="H156" s="104" t="str">
        <f>IF(ISNUMBER($D156)=TRUE,'Input Prescr. Lighting Measures'!W158,"")</f>
        <v/>
      </c>
      <c r="I156" s="45" t="str">
        <f>IFERROR(Q156*MIN(Table_Measure_Caps[[#Totals],[Estimated Raw Incentive Total]], Table_Measure_Caps[[#Totals],[Gross Measure Cost Total]], Value_Project_CAP)/Table_Measure_Caps[[#Totals],[Estimated Raw Incentive Total]], "")</f>
        <v/>
      </c>
      <c r="J156" s="45">
        <f>'Input Prescr. Lighting Measures'!R158*'Input Prescr. Lighting Measures'!M158</f>
        <v>0</v>
      </c>
      <c r="K156" s="14">
        <f>'Input Prescr. Lighting Measures'!S158</f>
        <v>0</v>
      </c>
      <c r="L156" s="15" t="e">
        <f>'Input Prescr. Lighting Measures'!AG158</f>
        <v>#N/A</v>
      </c>
      <c r="M156" s="15" t="str">
        <f>IF(ISNUMBER($D156)=TRUE,'Input Prescr. Lighting Measures'!K158,"")</f>
        <v/>
      </c>
      <c r="N156" s="15" t="str">
        <f>IF(ISNUMBER($D156)=TRUE,'Input Prescr. Lighting Measures'!N158,"")</f>
        <v/>
      </c>
      <c r="O156" s="31" t="str">
        <f t="shared" si="3"/>
        <v>Version 4.1 - 2026</v>
      </c>
      <c r="P156" s="89" t="str">
        <f>IF(ISNUMBER($D156)=TRUE,'Input Prescr. Lighting Measures'!F158,"")</f>
        <v/>
      </c>
      <c r="Q156" s="42" t="str">
        <f>'Input Prescr. Lighting Measures'!U158</f>
        <v/>
      </c>
    </row>
    <row r="157" spans="1:17" x14ac:dyDescent="0.2">
      <c r="A157" s="15" t="s">
        <v>6238</v>
      </c>
      <c r="B157" s="14">
        <f t="shared" si="0"/>
        <v>0</v>
      </c>
      <c r="C157" s="14">
        <f>'Input Prescr. Lighting Measures'!B159</f>
        <v>155</v>
      </c>
      <c r="D157" s="14" t="str">
        <f>'Input Prescr. Lighting Measures'!C159</f>
        <v/>
      </c>
      <c r="E157" s="14" t="str">
        <f>'Input Prescr. Lighting Measures'!G159</f>
        <v/>
      </c>
      <c r="F157" s="14" t="str">
        <f>IF(ISNUMBER($D157)=TRUE,'Input Prescr. Lighting Measures'!AX159,"")</f>
        <v/>
      </c>
      <c r="G157" s="14" t="str">
        <f>IF(ISNUMBER($D157)=TRUE,'Input Prescr. Lighting Measures'!V159,"")</f>
        <v/>
      </c>
      <c r="H157" s="104" t="str">
        <f>IF(ISNUMBER($D157)=TRUE,'Input Prescr. Lighting Measures'!W159,"")</f>
        <v/>
      </c>
      <c r="I157" s="45" t="str">
        <f>IFERROR(Q157*MIN(Table_Measure_Caps[[#Totals],[Estimated Raw Incentive Total]], Table_Measure_Caps[[#Totals],[Gross Measure Cost Total]], Value_Project_CAP)/Table_Measure_Caps[[#Totals],[Estimated Raw Incentive Total]], "")</f>
        <v/>
      </c>
      <c r="J157" s="45">
        <f>'Input Prescr. Lighting Measures'!R159*'Input Prescr. Lighting Measures'!M159</f>
        <v>0</v>
      </c>
      <c r="K157" s="14">
        <f>'Input Prescr. Lighting Measures'!S159</f>
        <v>0</v>
      </c>
      <c r="L157" s="15" t="e">
        <f>'Input Prescr. Lighting Measures'!AG159</f>
        <v>#N/A</v>
      </c>
      <c r="M157" s="15" t="str">
        <f>IF(ISNUMBER($D157)=TRUE,'Input Prescr. Lighting Measures'!K159,"")</f>
        <v/>
      </c>
      <c r="N157" s="15" t="str">
        <f>IF(ISNUMBER($D157)=TRUE,'Input Prescr. Lighting Measures'!N159,"")</f>
        <v/>
      </c>
      <c r="O157" s="31" t="str">
        <f t="shared" si="3"/>
        <v>Version 4.1 - 2026</v>
      </c>
      <c r="P157" s="89" t="str">
        <f>IF(ISNUMBER($D157)=TRUE,'Input Prescr. Lighting Measures'!F159,"")</f>
        <v/>
      </c>
      <c r="Q157" s="42" t="str">
        <f>'Input Prescr. Lighting Measures'!U159</f>
        <v/>
      </c>
    </row>
    <row r="158" spans="1:17" x14ac:dyDescent="0.2">
      <c r="A158" s="15" t="s">
        <v>6238</v>
      </c>
      <c r="B158" s="14">
        <f t="shared" si="0"/>
        <v>0</v>
      </c>
      <c r="C158" s="14">
        <f>'Input Prescr. Lighting Measures'!B160</f>
        <v>156</v>
      </c>
      <c r="D158" s="14" t="str">
        <f>'Input Prescr. Lighting Measures'!C160</f>
        <v/>
      </c>
      <c r="E158" s="14" t="str">
        <f>'Input Prescr. Lighting Measures'!G160</f>
        <v/>
      </c>
      <c r="F158" s="14" t="str">
        <f>IF(ISNUMBER($D158)=TRUE,'Input Prescr. Lighting Measures'!AX160,"")</f>
        <v/>
      </c>
      <c r="G158" s="14" t="str">
        <f>IF(ISNUMBER($D158)=TRUE,'Input Prescr. Lighting Measures'!V160,"")</f>
        <v/>
      </c>
      <c r="H158" s="104" t="str">
        <f>IF(ISNUMBER($D158)=TRUE,'Input Prescr. Lighting Measures'!W160,"")</f>
        <v/>
      </c>
      <c r="I158" s="45" t="str">
        <f>IFERROR(Q158*MIN(Table_Measure_Caps[[#Totals],[Estimated Raw Incentive Total]], Table_Measure_Caps[[#Totals],[Gross Measure Cost Total]], Value_Project_CAP)/Table_Measure_Caps[[#Totals],[Estimated Raw Incentive Total]], "")</f>
        <v/>
      </c>
      <c r="J158" s="45">
        <f>'Input Prescr. Lighting Measures'!R160*'Input Prescr. Lighting Measures'!M160</f>
        <v>0</v>
      </c>
      <c r="K158" s="14">
        <f>'Input Prescr. Lighting Measures'!S160</f>
        <v>0</v>
      </c>
      <c r="L158" s="15" t="e">
        <f>'Input Prescr. Lighting Measures'!AG160</f>
        <v>#N/A</v>
      </c>
      <c r="M158" s="15" t="str">
        <f>IF(ISNUMBER($D158)=TRUE,'Input Prescr. Lighting Measures'!K160,"")</f>
        <v/>
      </c>
      <c r="N158" s="15" t="str">
        <f>IF(ISNUMBER($D158)=TRUE,'Input Prescr. Lighting Measures'!N160,"")</f>
        <v/>
      </c>
      <c r="O158" s="31" t="str">
        <f t="shared" si="3"/>
        <v>Version 4.1 - 2026</v>
      </c>
      <c r="P158" s="89" t="str">
        <f>IF(ISNUMBER($D158)=TRUE,'Input Prescr. Lighting Measures'!F160,"")</f>
        <v/>
      </c>
      <c r="Q158" s="42" t="str">
        <f>'Input Prescr. Lighting Measures'!U160</f>
        <v/>
      </c>
    </row>
    <row r="159" spans="1:17" x14ac:dyDescent="0.2">
      <c r="A159" s="15" t="s">
        <v>6238</v>
      </c>
      <c r="B159" s="14">
        <f t="shared" si="0"/>
        <v>0</v>
      </c>
      <c r="C159" s="14">
        <f>'Input Prescr. Lighting Measures'!B161</f>
        <v>157</v>
      </c>
      <c r="D159" s="14" t="str">
        <f>'Input Prescr. Lighting Measures'!C161</f>
        <v/>
      </c>
      <c r="E159" s="14" t="str">
        <f>'Input Prescr. Lighting Measures'!G161</f>
        <v/>
      </c>
      <c r="F159" s="14" t="str">
        <f>IF(ISNUMBER($D159)=TRUE,'Input Prescr. Lighting Measures'!AX161,"")</f>
        <v/>
      </c>
      <c r="G159" s="14" t="str">
        <f>IF(ISNUMBER($D159)=TRUE,'Input Prescr. Lighting Measures'!V161,"")</f>
        <v/>
      </c>
      <c r="H159" s="104" t="str">
        <f>IF(ISNUMBER($D159)=TRUE,'Input Prescr. Lighting Measures'!W161,"")</f>
        <v/>
      </c>
      <c r="I159" s="45" t="str">
        <f>IFERROR(Q159*MIN(Table_Measure_Caps[[#Totals],[Estimated Raw Incentive Total]], Table_Measure_Caps[[#Totals],[Gross Measure Cost Total]], Value_Project_CAP)/Table_Measure_Caps[[#Totals],[Estimated Raw Incentive Total]], "")</f>
        <v/>
      </c>
      <c r="J159" s="45">
        <f>'Input Prescr. Lighting Measures'!R161*'Input Prescr. Lighting Measures'!M161</f>
        <v>0</v>
      </c>
      <c r="K159" s="14">
        <f>'Input Prescr. Lighting Measures'!S161</f>
        <v>0</v>
      </c>
      <c r="L159" s="15" t="e">
        <f>'Input Prescr. Lighting Measures'!AG161</f>
        <v>#N/A</v>
      </c>
      <c r="M159" s="15" t="str">
        <f>IF(ISNUMBER($D159)=TRUE,'Input Prescr. Lighting Measures'!K161,"")</f>
        <v/>
      </c>
      <c r="N159" s="15" t="str">
        <f>IF(ISNUMBER($D159)=TRUE,'Input Prescr. Lighting Measures'!N161,"")</f>
        <v/>
      </c>
      <c r="O159" s="31" t="str">
        <f t="shared" si="3"/>
        <v>Version 4.1 - 2026</v>
      </c>
      <c r="P159" s="89" t="str">
        <f>IF(ISNUMBER($D159)=TRUE,'Input Prescr. Lighting Measures'!F161,"")</f>
        <v/>
      </c>
      <c r="Q159" s="42" t="str">
        <f>'Input Prescr. Lighting Measures'!U161</f>
        <v/>
      </c>
    </row>
    <row r="160" spans="1:17" x14ac:dyDescent="0.2">
      <c r="A160" s="15" t="s">
        <v>6238</v>
      </c>
      <c r="B160" s="14">
        <f t="shared" si="0"/>
        <v>0</v>
      </c>
      <c r="C160" s="14">
        <f>'Input Prescr. Lighting Measures'!B162</f>
        <v>158</v>
      </c>
      <c r="D160" s="14" t="str">
        <f>'Input Prescr. Lighting Measures'!C162</f>
        <v/>
      </c>
      <c r="E160" s="14" t="str">
        <f>'Input Prescr. Lighting Measures'!G162</f>
        <v/>
      </c>
      <c r="F160" s="14" t="str">
        <f>IF(ISNUMBER($D160)=TRUE,'Input Prescr. Lighting Measures'!AX162,"")</f>
        <v/>
      </c>
      <c r="G160" s="14" t="str">
        <f>IF(ISNUMBER($D160)=TRUE,'Input Prescr. Lighting Measures'!V162,"")</f>
        <v/>
      </c>
      <c r="H160" s="104" t="str">
        <f>IF(ISNUMBER($D160)=TRUE,'Input Prescr. Lighting Measures'!W162,"")</f>
        <v/>
      </c>
      <c r="I160" s="45" t="str">
        <f>IFERROR(Q160*MIN(Table_Measure_Caps[[#Totals],[Estimated Raw Incentive Total]], Table_Measure_Caps[[#Totals],[Gross Measure Cost Total]], Value_Project_CAP)/Table_Measure_Caps[[#Totals],[Estimated Raw Incentive Total]], "")</f>
        <v/>
      </c>
      <c r="J160" s="45">
        <f>'Input Prescr. Lighting Measures'!R162*'Input Prescr. Lighting Measures'!M162</f>
        <v>0</v>
      </c>
      <c r="K160" s="14">
        <f>'Input Prescr. Lighting Measures'!S162</f>
        <v>0</v>
      </c>
      <c r="L160" s="15" t="e">
        <f>'Input Prescr. Lighting Measures'!AG162</f>
        <v>#N/A</v>
      </c>
      <c r="M160" s="15" t="str">
        <f>IF(ISNUMBER($D160)=TRUE,'Input Prescr. Lighting Measures'!K162,"")</f>
        <v/>
      </c>
      <c r="N160" s="15" t="str">
        <f>IF(ISNUMBER($D160)=TRUE,'Input Prescr. Lighting Measures'!N162,"")</f>
        <v/>
      </c>
      <c r="O160" s="31" t="str">
        <f t="shared" si="3"/>
        <v>Version 4.1 - 2026</v>
      </c>
      <c r="P160" s="89" t="str">
        <f>IF(ISNUMBER($D160)=TRUE,'Input Prescr. Lighting Measures'!F162,"")</f>
        <v/>
      </c>
      <c r="Q160" s="42" t="str">
        <f>'Input Prescr. Lighting Measures'!U162</f>
        <v/>
      </c>
    </row>
    <row r="161" spans="1:17" x14ac:dyDescent="0.2">
      <c r="A161" s="15" t="s">
        <v>6238</v>
      </c>
      <c r="B161" s="14">
        <f t="shared" si="0"/>
        <v>0</v>
      </c>
      <c r="C161" s="14">
        <f>'Input Prescr. Lighting Measures'!B163</f>
        <v>159</v>
      </c>
      <c r="D161" s="14" t="str">
        <f>'Input Prescr. Lighting Measures'!C163</f>
        <v/>
      </c>
      <c r="E161" s="14" t="str">
        <f>'Input Prescr. Lighting Measures'!G163</f>
        <v/>
      </c>
      <c r="F161" s="14" t="str">
        <f>IF(ISNUMBER($D161)=TRUE,'Input Prescr. Lighting Measures'!AX163,"")</f>
        <v/>
      </c>
      <c r="G161" s="14" t="str">
        <f>IF(ISNUMBER($D161)=TRUE,'Input Prescr. Lighting Measures'!V163,"")</f>
        <v/>
      </c>
      <c r="H161" s="104" t="str">
        <f>IF(ISNUMBER($D161)=TRUE,'Input Prescr. Lighting Measures'!W163,"")</f>
        <v/>
      </c>
      <c r="I161" s="45" t="str">
        <f>IFERROR(Q161*MIN(Table_Measure_Caps[[#Totals],[Estimated Raw Incentive Total]], Table_Measure_Caps[[#Totals],[Gross Measure Cost Total]], Value_Project_CAP)/Table_Measure_Caps[[#Totals],[Estimated Raw Incentive Total]], "")</f>
        <v/>
      </c>
      <c r="J161" s="45">
        <f>'Input Prescr. Lighting Measures'!R163*'Input Prescr. Lighting Measures'!M163</f>
        <v>0</v>
      </c>
      <c r="K161" s="14">
        <f>'Input Prescr. Lighting Measures'!S163</f>
        <v>0</v>
      </c>
      <c r="L161" s="15" t="e">
        <f>'Input Prescr. Lighting Measures'!AG163</f>
        <v>#N/A</v>
      </c>
      <c r="M161" s="15" t="str">
        <f>IF(ISNUMBER($D161)=TRUE,'Input Prescr. Lighting Measures'!K163,"")</f>
        <v/>
      </c>
      <c r="N161" s="15" t="str">
        <f>IF(ISNUMBER($D161)=TRUE,'Input Prescr. Lighting Measures'!N163,"")</f>
        <v/>
      </c>
      <c r="O161" s="31" t="str">
        <f t="shared" si="3"/>
        <v>Version 4.1 - 2026</v>
      </c>
      <c r="P161" s="89" t="str">
        <f>IF(ISNUMBER($D161)=TRUE,'Input Prescr. Lighting Measures'!F163,"")</f>
        <v/>
      </c>
      <c r="Q161" s="42" t="str">
        <f>'Input Prescr. Lighting Measures'!U163</f>
        <v/>
      </c>
    </row>
    <row r="162" spans="1:17" x14ac:dyDescent="0.2">
      <c r="A162" s="15" t="s">
        <v>6238</v>
      </c>
      <c r="B162" s="14">
        <f t="shared" si="0"/>
        <v>0</v>
      </c>
      <c r="C162" s="14">
        <f>'Input Prescr. Lighting Measures'!B164</f>
        <v>160</v>
      </c>
      <c r="D162" s="14" t="str">
        <f>'Input Prescr. Lighting Measures'!C164</f>
        <v/>
      </c>
      <c r="E162" s="14" t="str">
        <f>'Input Prescr. Lighting Measures'!G164</f>
        <v/>
      </c>
      <c r="F162" s="14" t="str">
        <f>IF(ISNUMBER($D162)=TRUE,'Input Prescr. Lighting Measures'!AX164,"")</f>
        <v/>
      </c>
      <c r="G162" s="14" t="str">
        <f>IF(ISNUMBER($D162)=TRUE,'Input Prescr. Lighting Measures'!V164,"")</f>
        <v/>
      </c>
      <c r="H162" s="104" t="str">
        <f>IF(ISNUMBER($D162)=TRUE,'Input Prescr. Lighting Measures'!W164,"")</f>
        <v/>
      </c>
      <c r="I162" s="45" t="str">
        <f>IFERROR(Q162*MIN(Table_Measure_Caps[[#Totals],[Estimated Raw Incentive Total]], Table_Measure_Caps[[#Totals],[Gross Measure Cost Total]], Value_Project_CAP)/Table_Measure_Caps[[#Totals],[Estimated Raw Incentive Total]], "")</f>
        <v/>
      </c>
      <c r="J162" s="45">
        <f>'Input Prescr. Lighting Measures'!R164*'Input Prescr. Lighting Measures'!M164</f>
        <v>0</v>
      </c>
      <c r="K162" s="14">
        <f>'Input Prescr. Lighting Measures'!S164</f>
        <v>0</v>
      </c>
      <c r="L162" s="15" t="e">
        <f>'Input Prescr. Lighting Measures'!AG164</f>
        <v>#N/A</v>
      </c>
      <c r="M162" s="15" t="str">
        <f>IF(ISNUMBER($D162)=TRUE,'Input Prescr. Lighting Measures'!K164,"")</f>
        <v/>
      </c>
      <c r="N162" s="15" t="str">
        <f>IF(ISNUMBER($D162)=TRUE,'Input Prescr. Lighting Measures'!N164,"")</f>
        <v/>
      </c>
      <c r="O162" s="31" t="str">
        <f t="shared" si="3"/>
        <v>Version 4.1 - 2026</v>
      </c>
      <c r="P162" s="89" t="str">
        <f>IF(ISNUMBER($D162)=TRUE,'Input Prescr. Lighting Measures'!F164,"")</f>
        <v/>
      </c>
      <c r="Q162" s="42" t="str">
        <f>'Input Prescr. Lighting Measures'!U164</f>
        <v/>
      </c>
    </row>
    <row r="163" spans="1:17" x14ac:dyDescent="0.2">
      <c r="A163" s="15" t="s">
        <v>6238</v>
      </c>
      <c r="B163" s="14">
        <f t="shared" si="0"/>
        <v>0</v>
      </c>
      <c r="C163" s="14">
        <f>'Input Prescr. Lighting Measures'!B165</f>
        <v>161</v>
      </c>
      <c r="D163" s="14" t="str">
        <f>'Input Prescr. Lighting Measures'!C165</f>
        <v/>
      </c>
      <c r="E163" s="14" t="str">
        <f>'Input Prescr. Lighting Measures'!G165</f>
        <v/>
      </c>
      <c r="F163" s="14" t="str">
        <f>IF(ISNUMBER($D163)=TRUE,'Input Prescr. Lighting Measures'!AX165,"")</f>
        <v/>
      </c>
      <c r="G163" s="14" t="str">
        <f>IF(ISNUMBER($D163)=TRUE,'Input Prescr. Lighting Measures'!V165,"")</f>
        <v/>
      </c>
      <c r="H163" s="104" t="str">
        <f>IF(ISNUMBER($D163)=TRUE,'Input Prescr. Lighting Measures'!W165,"")</f>
        <v/>
      </c>
      <c r="I163" s="45" t="str">
        <f>IFERROR(Q163*MIN(Table_Measure_Caps[[#Totals],[Estimated Raw Incentive Total]], Table_Measure_Caps[[#Totals],[Gross Measure Cost Total]], Value_Project_CAP)/Table_Measure_Caps[[#Totals],[Estimated Raw Incentive Total]], "")</f>
        <v/>
      </c>
      <c r="J163" s="45">
        <f>'Input Prescr. Lighting Measures'!R165*'Input Prescr. Lighting Measures'!M165</f>
        <v>0</v>
      </c>
      <c r="K163" s="14">
        <f>'Input Prescr. Lighting Measures'!S165</f>
        <v>0</v>
      </c>
      <c r="L163" s="15" t="e">
        <f>'Input Prescr. Lighting Measures'!AG165</f>
        <v>#N/A</v>
      </c>
      <c r="M163" s="15" t="str">
        <f>IF(ISNUMBER($D163)=TRUE,'Input Prescr. Lighting Measures'!K165,"")</f>
        <v/>
      </c>
      <c r="N163" s="15" t="str">
        <f>IF(ISNUMBER($D163)=TRUE,'Input Prescr. Lighting Measures'!N165,"")</f>
        <v/>
      </c>
      <c r="O163" s="31" t="str">
        <f t="shared" si="3"/>
        <v>Version 4.1 - 2026</v>
      </c>
      <c r="P163" s="89" t="str">
        <f>IF(ISNUMBER($D163)=TRUE,'Input Prescr. Lighting Measures'!F165,"")</f>
        <v/>
      </c>
      <c r="Q163" s="42" t="str">
        <f>'Input Prescr. Lighting Measures'!U165</f>
        <v/>
      </c>
    </row>
    <row r="164" spans="1:17" x14ac:dyDescent="0.2">
      <c r="A164" s="15" t="s">
        <v>6238</v>
      </c>
      <c r="B164" s="14">
        <f t="shared" si="0"/>
        <v>0</v>
      </c>
      <c r="C164" s="14">
        <f>'Input Prescr. Lighting Measures'!B166</f>
        <v>162</v>
      </c>
      <c r="D164" s="14" t="str">
        <f>'Input Prescr. Lighting Measures'!C166</f>
        <v/>
      </c>
      <c r="E164" s="14" t="str">
        <f>'Input Prescr. Lighting Measures'!G166</f>
        <v/>
      </c>
      <c r="F164" s="14" t="str">
        <f>IF(ISNUMBER($D164)=TRUE,'Input Prescr. Lighting Measures'!AX166,"")</f>
        <v/>
      </c>
      <c r="G164" s="14" t="str">
        <f>IF(ISNUMBER($D164)=TRUE,'Input Prescr. Lighting Measures'!V166,"")</f>
        <v/>
      </c>
      <c r="H164" s="104" t="str">
        <f>IF(ISNUMBER($D164)=TRUE,'Input Prescr. Lighting Measures'!W166,"")</f>
        <v/>
      </c>
      <c r="I164" s="45" t="str">
        <f>IFERROR(Q164*MIN(Table_Measure_Caps[[#Totals],[Estimated Raw Incentive Total]], Table_Measure_Caps[[#Totals],[Gross Measure Cost Total]], Value_Project_CAP)/Table_Measure_Caps[[#Totals],[Estimated Raw Incentive Total]], "")</f>
        <v/>
      </c>
      <c r="J164" s="45">
        <f>'Input Prescr. Lighting Measures'!R166*'Input Prescr. Lighting Measures'!M166</f>
        <v>0</v>
      </c>
      <c r="K164" s="14">
        <f>'Input Prescr. Lighting Measures'!S166</f>
        <v>0</v>
      </c>
      <c r="L164" s="15" t="e">
        <f>'Input Prescr. Lighting Measures'!AG166</f>
        <v>#N/A</v>
      </c>
      <c r="M164" s="15" t="str">
        <f>IF(ISNUMBER($D164)=TRUE,'Input Prescr. Lighting Measures'!K166,"")</f>
        <v/>
      </c>
      <c r="N164" s="15" t="str">
        <f>IF(ISNUMBER($D164)=TRUE,'Input Prescr. Lighting Measures'!N166,"")</f>
        <v/>
      </c>
      <c r="O164" s="31" t="str">
        <f t="shared" si="3"/>
        <v>Version 4.1 - 2026</v>
      </c>
      <c r="P164" s="89" t="str">
        <f>IF(ISNUMBER($D164)=TRUE,'Input Prescr. Lighting Measures'!F166,"")</f>
        <v/>
      </c>
      <c r="Q164" s="42" t="str">
        <f>'Input Prescr. Lighting Measures'!U166</f>
        <v/>
      </c>
    </row>
    <row r="165" spans="1:17" x14ac:dyDescent="0.2">
      <c r="A165" s="15" t="s">
        <v>6238</v>
      </c>
      <c r="B165" s="14">
        <f t="shared" si="0"/>
        <v>0</v>
      </c>
      <c r="C165" s="14">
        <f>'Input Prescr. Lighting Measures'!B167</f>
        <v>163</v>
      </c>
      <c r="D165" s="14" t="str">
        <f>'Input Prescr. Lighting Measures'!C167</f>
        <v/>
      </c>
      <c r="E165" s="14" t="str">
        <f>'Input Prescr. Lighting Measures'!G167</f>
        <v/>
      </c>
      <c r="F165" s="14" t="str">
        <f>IF(ISNUMBER($D165)=TRUE,'Input Prescr. Lighting Measures'!AX167,"")</f>
        <v/>
      </c>
      <c r="G165" s="14" t="str">
        <f>IF(ISNUMBER($D165)=TRUE,'Input Prescr. Lighting Measures'!V167,"")</f>
        <v/>
      </c>
      <c r="H165" s="104" t="str">
        <f>IF(ISNUMBER($D165)=TRUE,'Input Prescr. Lighting Measures'!W167,"")</f>
        <v/>
      </c>
      <c r="I165" s="45" t="str">
        <f>IFERROR(Q165*MIN(Table_Measure_Caps[[#Totals],[Estimated Raw Incentive Total]], Table_Measure_Caps[[#Totals],[Gross Measure Cost Total]], Value_Project_CAP)/Table_Measure_Caps[[#Totals],[Estimated Raw Incentive Total]], "")</f>
        <v/>
      </c>
      <c r="J165" s="45">
        <f>'Input Prescr. Lighting Measures'!R167*'Input Prescr. Lighting Measures'!M167</f>
        <v>0</v>
      </c>
      <c r="K165" s="14">
        <f>'Input Prescr. Lighting Measures'!S167</f>
        <v>0</v>
      </c>
      <c r="L165" s="15" t="e">
        <f>'Input Prescr. Lighting Measures'!AG167</f>
        <v>#N/A</v>
      </c>
      <c r="M165" s="15" t="str">
        <f>IF(ISNUMBER($D165)=TRUE,'Input Prescr. Lighting Measures'!K167,"")</f>
        <v/>
      </c>
      <c r="N165" s="15" t="str">
        <f>IF(ISNUMBER($D165)=TRUE,'Input Prescr. Lighting Measures'!N167,"")</f>
        <v/>
      </c>
      <c r="O165" s="31" t="str">
        <f t="shared" si="3"/>
        <v>Version 4.1 - 2026</v>
      </c>
      <c r="P165" s="89" t="str">
        <f>IF(ISNUMBER($D165)=TRUE,'Input Prescr. Lighting Measures'!F167,"")</f>
        <v/>
      </c>
      <c r="Q165" s="42" t="str">
        <f>'Input Prescr. Lighting Measures'!U167</f>
        <v/>
      </c>
    </row>
    <row r="166" spans="1:17" x14ac:dyDescent="0.2">
      <c r="A166" s="15" t="s">
        <v>6238</v>
      </c>
      <c r="B166" s="14">
        <f t="shared" si="0"/>
        <v>0</v>
      </c>
      <c r="C166" s="14">
        <f>'Input Prescr. Lighting Measures'!B168</f>
        <v>164</v>
      </c>
      <c r="D166" s="14" t="str">
        <f>'Input Prescr. Lighting Measures'!C168</f>
        <v/>
      </c>
      <c r="E166" s="14" t="str">
        <f>'Input Prescr. Lighting Measures'!G168</f>
        <v/>
      </c>
      <c r="F166" s="14" t="str">
        <f>IF(ISNUMBER($D166)=TRUE,'Input Prescr. Lighting Measures'!AX168,"")</f>
        <v/>
      </c>
      <c r="G166" s="14" t="str">
        <f>IF(ISNUMBER($D166)=TRUE,'Input Prescr. Lighting Measures'!V168,"")</f>
        <v/>
      </c>
      <c r="H166" s="104" t="str">
        <f>IF(ISNUMBER($D166)=TRUE,'Input Prescr. Lighting Measures'!W168,"")</f>
        <v/>
      </c>
      <c r="I166" s="45" t="str">
        <f>IFERROR(Q166*MIN(Table_Measure_Caps[[#Totals],[Estimated Raw Incentive Total]], Table_Measure_Caps[[#Totals],[Gross Measure Cost Total]], Value_Project_CAP)/Table_Measure_Caps[[#Totals],[Estimated Raw Incentive Total]], "")</f>
        <v/>
      </c>
      <c r="J166" s="45">
        <f>'Input Prescr. Lighting Measures'!R168*'Input Prescr. Lighting Measures'!M168</f>
        <v>0</v>
      </c>
      <c r="K166" s="14">
        <f>'Input Prescr. Lighting Measures'!S168</f>
        <v>0</v>
      </c>
      <c r="L166" s="15" t="e">
        <f>'Input Prescr. Lighting Measures'!AG168</f>
        <v>#N/A</v>
      </c>
      <c r="M166" s="15" t="str">
        <f>IF(ISNUMBER($D166)=TRUE,'Input Prescr. Lighting Measures'!K168,"")</f>
        <v/>
      </c>
      <c r="N166" s="15" t="str">
        <f>IF(ISNUMBER($D166)=TRUE,'Input Prescr. Lighting Measures'!N168,"")</f>
        <v/>
      </c>
      <c r="O166" s="31" t="str">
        <f t="shared" si="3"/>
        <v>Version 4.1 - 2026</v>
      </c>
      <c r="P166" s="89" t="str">
        <f>IF(ISNUMBER($D166)=TRUE,'Input Prescr. Lighting Measures'!F168,"")</f>
        <v/>
      </c>
      <c r="Q166" s="42" t="str">
        <f>'Input Prescr. Lighting Measures'!U168</f>
        <v/>
      </c>
    </row>
    <row r="167" spans="1:17" x14ac:dyDescent="0.2">
      <c r="A167" s="15" t="s">
        <v>6238</v>
      </c>
      <c r="B167" s="14">
        <f t="shared" si="0"/>
        <v>0</v>
      </c>
      <c r="C167" s="14">
        <f>'Input Prescr. Lighting Measures'!B169</f>
        <v>165</v>
      </c>
      <c r="D167" s="14" t="str">
        <f>'Input Prescr. Lighting Measures'!C169</f>
        <v/>
      </c>
      <c r="E167" s="14" t="str">
        <f>'Input Prescr. Lighting Measures'!G169</f>
        <v/>
      </c>
      <c r="F167" s="14" t="str">
        <f>IF(ISNUMBER($D167)=TRUE,'Input Prescr. Lighting Measures'!AX169,"")</f>
        <v/>
      </c>
      <c r="G167" s="14" t="str">
        <f>IF(ISNUMBER($D167)=TRUE,'Input Prescr. Lighting Measures'!V169,"")</f>
        <v/>
      </c>
      <c r="H167" s="104" t="str">
        <f>IF(ISNUMBER($D167)=TRUE,'Input Prescr. Lighting Measures'!W169,"")</f>
        <v/>
      </c>
      <c r="I167" s="45" t="str">
        <f>IFERROR(Q167*MIN(Table_Measure_Caps[[#Totals],[Estimated Raw Incentive Total]], Table_Measure_Caps[[#Totals],[Gross Measure Cost Total]], Value_Project_CAP)/Table_Measure_Caps[[#Totals],[Estimated Raw Incentive Total]], "")</f>
        <v/>
      </c>
      <c r="J167" s="45">
        <f>'Input Prescr. Lighting Measures'!R169*'Input Prescr. Lighting Measures'!M169</f>
        <v>0</v>
      </c>
      <c r="K167" s="14">
        <f>'Input Prescr. Lighting Measures'!S169</f>
        <v>0</v>
      </c>
      <c r="L167" s="15" t="e">
        <f>'Input Prescr. Lighting Measures'!AG169</f>
        <v>#N/A</v>
      </c>
      <c r="M167" s="15" t="str">
        <f>IF(ISNUMBER($D167)=TRUE,'Input Prescr. Lighting Measures'!K169,"")</f>
        <v/>
      </c>
      <c r="N167" s="15" t="str">
        <f>IF(ISNUMBER($D167)=TRUE,'Input Prescr. Lighting Measures'!N169,"")</f>
        <v/>
      </c>
      <c r="O167" s="31" t="str">
        <f t="shared" si="3"/>
        <v>Version 4.1 - 2026</v>
      </c>
      <c r="P167" s="89" t="str">
        <f>IF(ISNUMBER($D167)=TRUE,'Input Prescr. Lighting Measures'!F169,"")</f>
        <v/>
      </c>
      <c r="Q167" s="42" t="str">
        <f>'Input Prescr. Lighting Measures'!U169</f>
        <v/>
      </c>
    </row>
    <row r="168" spans="1:17" x14ac:dyDescent="0.2">
      <c r="A168" s="15" t="s">
        <v>6238</v>
      </c>
      <c r="B168" s="14">
        <f t="shared" si="0"/>
        <v>0</v>
      </c>
      <c r="C168" s="14">
        <f>'Input Prescr. Lighting Measures'!B170</f>
        <v>166</v>
      </c>
      <c r="D168" s="14" t="str">
        <f>'Input Prescr. Lighting Measures'!C170</f>
        <v/>
      </c>
      <c r="E168" s="14" t="str">
        <f>'Input Prescr. Lighting Measures'!G170</f>
        <v/>
      </c>
      <c r="F168" s="14" t="str">
        <f>IF(ISNUMBER($D168)=TRUE,'Input Prescr. Lighting Measures'!AX170,"")</f>
        <v/>
      </c>
      <c r="G168" s="14" t="str">
        <f>IF(ISNUMBER($D168)=TRUE,'Input Prescr. Lighting Measures'!V170,"")</f>
        <v/>
      </c>
      <c r="H168" s="104" t="str">
        <f>IF(ISNUMBER($D168)=TRUE,'Input Prescr. Lighting Measures'!W170,"")</f>
        <v/>
      </c>
      <c r="I168" s="45" t="str">
        <f>IFERROR(Q168*MIN(Table_Measure_Caps[[#Totals],[Estimated Raw Incentive Total]], Table_Measure_Caps[[#Totals],[Gross Measure Cost Total]], Value_Project_CAP)/Table_Measure_Caps[[#Totals],[Estimated Raw Incentive Total]], "")</f>
        <v/>
      </c>
      <c r="J168" s="45">
        <f>'Input Prescr. Lighting Measures'!R170*'Input Prescr. Lighting Measures'!M170</f>
        <v>0</v>
      </c>
      <c r="K168" s="14">
        <f>'Input Prescr. Lighting Measures'!S170</f>
        <v>0</v>
      </c>
      <c r="L168" s="15" t="e">
        <f>'Input Prescr. Lighting Measures'!AG170</f>
        <v>#N/A</v>
      </c>
      <c r="M168" s="15" t="str">
        <f>IF(ISNUMBER($D168)=TRUE,'Input Prescr. Lighting Measures'!K170,"")</f>
        <v/>
      </c>
      <c r="N168" s="15" t="str">
        <f>IF(ISNUMBER($D168)=TRUE,'Input Prescr. Lighting Measures'!N170,"")</f>
        <v/>
      </c>
      <c r="O168" s="31" t="str">
        <f t="shared" si="3"/>
        <v>Version 4.1 - 2026</v>
      </c>
      <c r="P168" s="89" t="str">
        <f>IF(ISNUMBER($D168)=TRUE,'Input Prescr. Lighting Measures'!F170,"")</f>
        <v/>
      </c>
      <c r="Q168" s="42" t="str">
        <f>'Input Prescr. Lighting Measures'!U170</f>
        <v/>
      </c>
    </row>
    <row r="169" spans="1:17" x14ac:dyDescent="0.2">
      <c r="A169" s="15" t="s">
        <v>6238</v>
      </c>
      <c r="B169" s="14">
        <f t="shared" si="0"/>
        <v>0</v>
      </c>
      <c r="C169" s="14">
        <f>'Input Prescr. Lighting Measures'!B171</f>
        <v>167</v>
      </c>
      <c r="D169" s="14" t="str">
        <f>'Input Prescr. Lighting Measures'!C171</f>
        <v/>
      </c>
      <c r="E169" s="14" t="str">
        <f>'Input Prescr. Lighting Measures'!G171</f>
        <v/>
      </c>
      <c r="F169" s="14" t="str">
        <f>IF(ISNUMBER($D169)=TRUE,'Input Prescr. Lighting Measures'!AX171,"")</f>
        <v/>
      </c>
      <c r="G169" s="14" t="str">
        <f>IF(ISNUMBER($D169)=TRUE,'Input Prescr. Lighting Measures'!V171,"")</f>
        <v/>
      </c>
      <c r="H169" s="104" t="str">
        <f>IF(ISNUMBER($D169)=TRUE,'Input Prescr. Lighting Measures'!W171,"")</f>
        <v/>
      </c>
      <c r="I169" s="45" t="str">
        <f>IFERROR(Q169*MIN(Table_Measure_Caps[[#Totals],[Estimated Raw Incentive Total]], Table_Measure_Caps[[#Totals],[Gross Measure Cost Total]], Value_Project_CAP)/Table_Measure_Caps[[#Totals],[Estimated Raw Incentive Total]], "")</f>
        <v/>
      </c>
      <c r="J169" s="45">
        <f>'Input Prescr. Lighting Measures'!R171*'Input Prescr. Lighting Measures'!M171</f>
        <v>0</v>
      </c>
      <c r="K169" s="14">
        <f>'Input Prescr. Lighting Measures'!S171</f>
        <v>0</v>
      </c>
      <c r="L169" s="15" t="e">
        <f>'Input Prescr. Lighting Measures'!AG171</f>
        <v>#N/A</v>
      </c>
      <c r="M169" s="15" t="str">
        <f>IF(ISNUMBER($D169)=TRUE,'Input Prescr. Lighting Measures'!K171,"")</f>
        <v/>
      </c>
      <c r="N169" s="15" t="str">
        <f>IF(ISNUMBER($D169)=TRUE,'Input Prescr. Lighting Measures'!N171,"")</f>
        <v/>
      </c>
      <c r="O169" s="31" t="str">
        <f t="shared" si="3"/>
        <v>Version 4.1 - 2026</v>
      </c>
      <c r="P169" s="89" t="str">
        <f>IF(ISNUMBER($D169)=TRUE,'Input Prescr. Lighting Measures'!F171,"")</f>
        <v/>
      </c>
      <c r="Q169" s="42" t="str">
        <f>'Input Prescr. Lighting Measures'!U171</f>
        <v/>
      </c>
    </row>
    <row r="170" spans="1:17" x14ac:dyDescent="0.2">
      <c r="A170" s="15" t="s">
        <v>6238</v>
      </c>
      <c r="B170" s="14">
        <f t="shared" si="0"/>
        <v>0</v>
      </c>
      <c r="C170" s="14">
        <f>'Input Prescr. Lighting Measures'!B172</f>
        <v>168</v>
      </c>
      <c r="D170" s="14" t="str">
        <f>'Input Prescr. Lighting Measures'!C172</f>
        <v/>
      </c>
      <c r="E170" s="14" t="str">
        <f>'Input Prescr. Lighting Measures'!G172</f>
        <v/>
      </c>
      <c r="F170" s="14" t="str">
        <f>IF(ISNUMBER($D170)=TRUE,'Input Prescr. Lighting Measures'!AX172,"")</f>
        <v/>
      </c>
      <c r="G170" s="14" t="str">
        <f>IF(ISNUMBER($D170)=TRUE,'Input Prescr. Lighting Measures'!V172,"")</f>
        <v/>
      </c>
      <c r="H170" s="104" t="str">
        <f>IF(ISNUMBER($D170)=TRUE,'Input Prescr. Lighting Measures'!W172,"")</f>
        <v/>
      </c>
      <c r="I170" s="45" t="str">
        <f>IFERROR(Q170*MIN(Table_Measure_Caps[[#Totals],[Estimated Raw Incentive Total]], Table_Measure_Caps[[#Totals],[Gross Measure Cost Total]], Value_Project_CAP)/Table_Measure_Caps[[#Totals],[Estimated Raw Incentive Total]], "")</f>
        <v/>
      </c>
      <c r="J170" s="45">
        <f>'Input Prescr. Lighting Measures'!R172*'Input Prescr. Lighting Measures'!M172</f>
        <v>0</v>
      </c>
      <c r="K170" s="14">
        <f>'Input Prescr. Lighting Measures'!S172</f>
        <v>0</v>
      </c>
      <c r="L170" s="15" t="e">
        <f>'Input Prescr. Lighting Measures'!AG172</f>
        <v>#N/A</v>
      </c>
      <c r="M170" s="15" t="str">
        <f>IF(ISNUMBER($D170)=TRUE,'Input Prescr. Lighting Measures'!K172,"")</f>
        <v/>
      </c>
      <c r="N170" s="15" t="str">
        <f>IF(ISNUMBER($D170)=TRUE,'Input Prescr. Lighting Measures'!N172,"")</f>
        <v/>
      </c>
      <c r="O170" s="31" t="str">
        <f t="shared" si="3"/>
        <v>Version 4.1 - 2026</v>
      </c>
      <c r="P170" s="89" t="str">
        <f>IF(ISNUMBER($D170)=TRUE,'Input Prescr. Lighting Measures'!F172,"")</f>
        <v/>
      </c>
      <c r="Q170" s="42" t="str">
        <f>'Input Prescr. Lighting Measures'!U172</f>
        <v/>
      </c>
    </row>
    <row r="171" spans="1:17" x14ac:dyDescent="0.2">
      <c r="A171" s="15" t="s">
        <v>6238</v>
      </c>
      <c r="B171" s="14">
        <f t="shared" si="0"/>
        <v>0</v>
      </c>
      <c r="C171" s="14">
        <f>'Input Prescr. Lighting Measures'!B173</f>
        <v>169</v>
      </c>
      <c r="D171" s="14" t="str">
        <f>'Input Prescr. Lighting Measures'!C173</f>
        <v/>
      </c>
      <c r="E171" s="14" t="str">
        <f>'Input Prescr. Lighting Measures'!G173</f>
        <v/>
      </c>
      <c r="F171" s="14" t="str">
        <f>IF(ISNUMBER($D171)=TRUE,'Input Prescr. Lighting Measures'!AX173,"")</f>
        <v/>
      </c>
      <c r="G171" s="14" t="str">
        <f>IF(ISNUMBER($D171)=TRUE,'Input Prescr. Lighting Measures'!V173,"")</f>
        <v/>
      </c>
      <c r="H171" s="104" t="str">
        <f>IF(ISNUMBER($D171)=TRUE,'Input Prescr. Lighting Measures'!W173,"")</f>
        <v/>
      </c>
      <c r="I171" s="45" t="str">
        <f>IFERROR(Q171*MIN(Table_Measure_Caps[[#Totals],[Estimated Raw Incentive Total]], Table_Measure_Caps[[#Totals],[Gross Measure Cost Total]], Value_Project_CAP)/Table_Measure_Caps[[#Totals],[Estimated Raw Incentive Total]], "")</f>
        <v/>
      </c>
      <c r="J171" s="45">
        <f>'Input Prescr. Lighting Measures'!R173*'Input Prescr. Lighting Measures'!M173</f>
        <v>0</v>
      </c>
      <c r="K171" s="14">
        <f>'Input Prescr. Lighting Measures'!S173</f>
        <v>0</v>
      </c>
      <c r="L171" s="15" t="e">
        <f>'Input Prescr. Lighting Measures'!AG173</f>
        <v>#N/A</v>
      </c>
      <c r="M171" s="15" t="str">
        <f>IF(ISNUMBER($D171)=TRUE,'Input Prescr. Lighting Measures'!K173,"")</f>
        <v/>
      </c>
      <c r="N171" s="15" t="str">
        <f>IF(ISNUMBER($D171)=TRUE,'Input Prescr. Lighting Measures'!N173,"")</f>
        <v/>
      </c>
      <c r="O171" s="31" t="str">
        <f t="shared" si="3"/>
        <v>Version 4.1 - 2026</v>
      </c>
      <c r="P171" s="89" t="str">
        <f>IF(ISNUMBER($D171)=TRUE,'Input Prescr. Lighting Measures'!F173,"")</f>
        <v/>
      </c>
      <c r="Q171" s="42" t="str">
        <f>'Input Prescr. Lighting Measures'!U173</f>
        <v/>
      </c>
    </row>
    <row r="172" spans="1:17" x14ac:dyDescent="0.2">
      <c r="A172" s="15" t="s">
        <v>6238</v>
      </c>
      <c r="B172" s="14">
        <f t="shared" si="0"/>
        <v>0</v>
      </c>
      <c r="C172" s="14">
        <f>'Input Prescr. Lighting Measures'!B174</f>
        <v>170</v>
      </c>
      <c r="D172" s="14" t="str">
        <f>'Input Prescr. Lighting Measures'!C174</f>
        <v/>
      </c>
      <c r="E172" s="14" t="str">
        <f>'Input Prescr. Lighting Measures'!G174</f>
        <v/>
      </c>
      <c r="F172" s="14" t="str">
        <f>IF(ISNUMBER($D172)=TRUE,'Input Prescr. Lighting Measures'!AX174,"")</f>
        <v/>
      </c>
      <c r="G172" s="14" t="str">
        <f>IF(ISNUMBER($D172)=TRUE,'Input Prescr. Lighting Measures'!V174,"")</f>
        <v/>
      </c>
      <c r="H172" s="104" t="str">
        <f>IF(ISNUMBER($D172)=TRUE,'Input Prescr. Lighting Measures'!W174,"")</f>
        <v/>
      </c>
      <c r="I172" s="45" t="str">
        <f>IFERROR(Q172*MIN(Table_Measure_Caps[[#Totals],[Estimated Raw Incentive Total]], Table_Measure_Caps[[#Totals],[Gross Measure Cost Total]], Value_Project_CAP)/Table_Measure_Caps[[#Totals],[Estimated Raw Incentive Total]], "")</f>
        <v/>
      </c>
      <c r="J172" s="45">
        <f>'Input Prescr. Lighting Measures'!R174*'Input Prescr. Lighting Measures'!M174</f>
        <v>0</v>
      </c>
      <c r="K172" s="14">
        <f>'Input Prescr. Lighting Measures'!S174</f>
        <v>0</v>
      </c>
      <c r="L172" s="15" t="e">
        <f>'Input Prescr. Lighting Measures'!AG174</f>
        <v>#N/A</v>
      </c>
      <c r="M172" s="15" t="str">
        <f>IF(ISNUMBER($D172)=TRUE,'Input Prescr. Lighting Measures'!K174,"")</f>
        <v/>
      </c>
      <c r="N172" s="15" t="str">
        <f>IF(ISNUMBER($D172)=TRUE,'Input Prescr. Lighting Measures'!N174,"")</f>
        <v/>
      </c>
      <c r="O172" s="31" t="str">
        <f t="shared" si="3"/>
        <v>Version 4.1 - 2026</v>
      </c>
      <c r="P172" s="89" t="str">
        <f>IF(ISNUMBER($D172)=TRUE,'Input Prescr. Lighting Measures'!F174,"")</f>
        <v/>
      </c>
      <c r="Q172" s="42" t="str">
        <f>'Input Prescr. Lighting Measures'!U174</f>
        <v/>
      </c>
    </row>
    <row r="173" spans="1:17" x14ac:dyDescent="0.2">
      <c r="A173" s="15" t="s">
        <v>6238</v>
      </c>
      <c r="B173" s="14">
        <f t="shared" si="0"/>
        <v>0</v>
      </c>
      <c r="C173" s="14">
        <f>'Input Prescr. Lighting Measures'!B175</f>
        <v>171</v>
      </c>
      <c r="D173" s="14" t="str">
        <f>'Input Prescr. Lighting Measures'!C175</f>
        <v/>
      </c>
      <c r="E173" s="14" t="str">
        <f>'Input Prescr. Lighting Measures'!G175</f>
        <v/>
      </c>
      <c r="F173" s="14" t="str">
        <f>IF(ISNUMBER($D173)=TRUE,'Input Prescr. Lighting Measures'!AX175,"")</f>
        <v/>
      </c>
      <c r="G173" s="14" t="str">
        <f>IF(ISNUMBER($D173)=TRUE,'Input Prescr. Lighting Measures'!V175,"")</f>
        <v/>
      </c>
      <c r="H173" s="104" t="str">
        <f>IF(ISNUMBER($D173)=TRUE,'Input Prescr. Lighting Measures'!W175,"")</f>
        <v/>
      </c>
      <c r="I173" s="45" t="str">
        <f>IFERROR(Q173*MIN(Table_Measure_Caps[[#Totals],[Estimated Raw Incentive Total]], Table_Measure_Caps[[#Totals],[Gross Measure Cost Total]], Value_Project_CAP)/Table_Measure_Caps[[#Totals],[Estimated Raw Incentive Total]], "")</f>
        <v/>
      </c>
      <c r="J173" s="45">
        <f>'Input Prescr. Lighting Measures'!R175*'Input Prescr. Lighting Measures'!M175</f>
        <v>0</v>
      </c>
      <c r="K173" s="14">
        <f>'Input Prescr. Lighting Measures'!S175</f>
        <v>0</v>
      </c>
      <c r="L173" s="15" t="e">
        <f>'Input Prescr. Lighting Measures'!AG175</f>
        <v>#N/A</v>
      </c>
      <c r="M173" s="15" t="str">
        <f>IF(ISNUMBER($D173)=TRUE,'Input Prescr. Lighting Measures'!K175,"")</f>
        <v/>
      </c>
      <c r="N173" s="15" t="str">
        <f>IF(ISNUMBER($D173)=TRUE,'Input Prescr. Lighting Measures'!N175,"")</f>
        <v/>
      </c>
      <c r="O173" s="31" t="str">
        <f t="shared" si="3"/>
        <v>Version 4.1 - 2026</v>
      </c>
      <c r="P173" s="89" t="str">
        <f>IF(ISNUMBER($D173)=TRUE,'Input Prescr. Lighting Measures'!F175,"")</f>
        <v/>
      </c>
      <c r="Q173" s="42" t="str">
        <f>'Input Prescr. Lighting Measures'!U175</f>
        <v/>
      </c>
    </row>
    <row r="174" spans="1:17" x14ac:dyDescent="0.2">
      <c r="A174" s="15" t="s">
        <v>6238</v>
      </c>
      <c r="B174" s="14">
        <f t="shared" ref="B174:B202" si="4">Input_ProjectNumber</f>
        <v>0</v>
      </c>
      <c r="C174" s="14">
        <f>'Input Prescr. Lighting Measures'!B176</f>
        <v>172</v>
      </c>
      <c r="D174" s="14" t="str">
        <f>'Input Prescr. Lighting Measures'!C176</f>
        <v/>
      </c>
      <c r="E174" s="14" t="str">
        <f>'Input Prescr. Lighting Measures'!G176</f>
        <v/>
      </c>
      <c r="F174" s="14" t="str">
        <f>IF(ISNUMBER($D174)=TRUE,'Input Prescr. Lighting Measures'!AX176,"")</f>
        <v/>
      </c>
      <c r="G174" s="14" t="str">
        <f>IF(ISNUMBER($D174)=TRUE,'Input Prescr. Lighting Measures'!V176,"")</f>
        <v/>
      </c>
      <c r="H174" s="104" t="str">
        <f>IF(ISNUMBER($D174)=TRUE,'Input Prescr. Lighting Measures'!W176,"")</f>
        <v/>
      </c>
      <c r="I174" s="45" t="str">
        <f>IFERROR(Q174*MIN(Table_Measure_Caps[[#Totals],[Estimated Raw Incentive Total]], Table_Measure_Caps[[#Totals],[Gross Measure Cost Total]], Value_Project_CAP)/Table_Measure_Caps[[#Totals],[Estimated Raw Incentive Total]], "")</f>
        <v/>
      </c>
      <c r="J174" s="45">
        <f>'Input Prescr. Lighting Measures'!R176*'Input Prescr. Lighting Measures'!M176</f>
        <v>0</v>
      </c>
      <c r="K174" s="14">
        <f>'Input Prescr. Lighting Measures'!S176</f>
        <v>0</v>
      </c>
      <c r="L174" s="15" t="e">
        <f>'Input Prescr. Lighting Measures'!AG176</f>
        <v>#N/A</v>
      </c>
      <c r="M174" s="15" t="str">
        <f>IF(ISNUMBER($D174)=TRUE,'Input Prescr. Lighting Measures'!K176,"")</f>
        <v/>
      </c>
      <c r="N174" s="15" t="str">
        <f>IF(ISNUMBER($D174)=TRUE,'Input Prescr. Lighting Measures'!N176,"")</f>
        <v/>
      </c>
      <c r="O174" s="31" t="str">
        <f t="shared" si="3"/>
        <v>Version 4.1 - 2026</v>
      </c>
      <c r="P174" s="89" t="str">
        <f>IF(ISNUMBER($D174)=TRUE,'Input Prescr. Lighting Measures'!F176,"")</f>
        <v/>
      </c>
      <c r="Q174" s="42" t="str">
        <f>'Input Prescr. Lighting Measures'!U176</f>
        <v/>
      </c>
    </row>
    <row r="175" spans="1:17" x14ac:dyDescent="0.2">
      <c r="A175" s="15" t="s">
        <v>6238</v>
      </c>
      <c r="B175" s="14">
        <f t="shared" si="4"/>
        <v>0</v>
      </c>
      <c r="C175" s="14">
        <f>'Input Prescr. Lighting Measures'!B177</f>
        <v>173</v>
      </c>
      <c r="D175" s="14" t="str">
        <f>'Input Prescr. Lighting Measures'!C177</f>
        <v/>
      </c>
      <c r="E175" s="14" t="str">
        <f>'Input Prescr. Lighting Measures'!G177</f>
        <v/>
      </c>
      <c r="F175" s="14" t="str">
        <f>IF(ISNUMBER($D175)=TRUE,'Input Prescr. Lighting Measures'!AX177,"")</f>
        <v/>
      </c>
      <c r="G175" s="14" t="str">
        <f>IF(ISNUMBER($D175)=TRUE,'Input Prescr. Lighting Measures'!V177,"")</f>
        <v/>
      </c>
      <c r="H175" s="104" t="str">
        <f>IF(ISNUMBER($D175)=TRUE,'Input Prescr. Lighting Measures'!W177,"")</f>
        <v/>
      </c>
      <c r="I175" s="45" t="str">
        <f>IFERROR(Q175*MIN(Table_Measure_Caps[[#Totals],[Estimated Raw Incentive Total]], Table_Measure_Caps[[#Totals],[Gross Measure Cost Total]], Value_Project_CAP)/Table_Measure_Caps[[#Totals],[Estimated Raw Incentive Total]], "")</f>
        <v/>
      </c>
      <c r="J175" s="45">
        <f>'Input Prescr. Lighting Measures'!R177*'Input Prescr. Lighting Measures'!M177</f>
        <v>0</v>
      </c>
      <c r="K175" s="14">
        <f>'Input Prescr. Lighting Measures'!S177</f>
        <v>0</v>
      </c>
      <c r="L175" s="15" t="e">
        <f>'Input Prescr. Lighting Measures'!AG177</f>
        <v>#N/A</v>
      </c>
      <c r="M175" s="15" t="str">
        <f>IF(ISNUMBER($D175)=TRUE,'Input Prescr. Lighting Measures'!K177,"")</f>
        <v/>
      </c>
      <c r="N175" s="15" t="str">
        <f>IF(ISNUMBER($D175)=TRUE,'Input Prescr. Lighting Measures'!N177,"")</f>
        <v/>
      </c>
      <c r="O175" s="31" t="str">
        <f t="shared" si="3"/>
        <v>Version 4.1 - 2026</v>
      </c>
      <c r="P175" s="89" t="str">
        <f>IF(ISNUMBER($D175)=TRUE,'Input Prescr. Lighting Measures'!F177,"")</f>
        <v/>
      </c>
      <c r="Q175" s="42" t="str">
        <f>'Input Prescr. Lighting Measures'!U177</f>
        <v/>
      </c>
    </row>
    <row r="176" spans="1:17" x14ac:dyDescent="0.2">
      <c r="A176" s="15" t="s">
        <v>6238</v>
      </c>
      <c r="B176" s="14">
        <f t="shared" si="4"/>
        <v>0</v>
      </c>
      <c r="C176" s="14">
        <f>'Input Prescr. Lighting Measures'!B178</f>
        <v>174</v>
      </c>
      <c r="D176" s="14" t="str">
        <f>'Input Prescr. Lighting Measures'!C178</f>
        <v/>
      </c>
      <c r="E176" s="14" t="str">
        <f>'Input Prescr. Lighting Measures'!G178</f>
        <v/>
      </c>
      <c r="F176" s="14" t="str">
        <f>IF(ISNUMBER($D176)=TRUE,'Input Prescr. Lighting Measures'!AX178,"")</f>
        <v/>
      </c>
      <c r="G176" s="14" t="str">
        <f>IF(ISNUMBER($D176)=TRUE,'Input Prescr. Lighting Measures'!V178,"")</f>
        <v/>
      </c>
      <c r="H176" s="104" t="str">
        <f>IF(ISNUMBER($D176)=TRUE,'Input Prescr. Lighting Measures'!W178,"")</f>
        <v/>
      </c>
      <c r="I176" s="45" t="str">
        <f>IFERROR(Q176*MIN(Table_Measure_Caps[[#Totals],[Estimated Raw Incentive Total]], Table_Measure_Caps[[#Totals],[Gross Measure Cost Total]], Value_Project_CAP)/Table_Measure_Caps[[#Totals],[Estimated Raw Incentive Total]], "")</f>
        <v/>
      </c>
      <c r="J176" s="45">
        <f>'Input Prescr. Lighting Measures'!R178*'Input Prescr. Lighting Measures'!M178</f>
        <v>0</v>
      </c>
      <c r="K176" s="14">
        <f>'Input Prescr. Lighting Measures'!S178</f>
        <v>0</v>
      </c>
      <c r="L176" s="15" t="e">
        <f>'Input Prescr. Lighting Measures'!AG178</f>
        <v>#N/A</v>
      </c>
      <c r="M176" s="15" t="str">
        <f>IF(ISNUMBER($D176)=TRUE,'Input Prescr. Lighting Measures'!K178,"")</f>
        <v/>
      </c>
      <c r="N176" s="15" t="str">
        <f>IF(ISNUMBER($D176)=TRUE,'Input Prescr. Lighting Measures'!N178,"")</f>
        <v/>
      </c>
      <c r="O176" s="31" t="str">
        <f t="shared" si="3"/>
        <v>Version 4.1 - 2026</v>
      </c>
      <c r="P176" s="89" t="str">
        <f>IF(ISNUMBER($D176)=TRUE,'Input Prescr. Lighting Measures'!F178,"")</f>
        <v/>
      </c>
      <c r="Q176" s="42" t="str">
        <f>'Input Prescr. Lighting Measures'!U178</f>
        <v/>
      </c>
    </row>
    <row r="177" spans="1:17" x14ac:dyDescent="0.2">
      <c r="A177" s="15" t="s">
        <v>6238</v>
      </c>
      <c r="B177" s="14">
        <f t="shared" si="4"/>
        <v>0</v>
      </c>
      <c r="C177" s="14">
        <f>'Input Prescr. Lighting Measures'!B179</f>
        <v>175</v>
      </c>
      <c r="D177" s="14" t="str">
        <f>'Input Prescr. Lighting Measures'!C179</f>
        <v/>
      </c>
      <c r="E177" s="14" t="str">
        <f>'Input Prescr. Lighting Measures'!G179</f>
        <v/>
      </c>
      <c r="F177" s="14" t="str">
        <f>IF(ISNUMBER($D177)=TRUE,'Input Prescr. Lighting Measures'!AX179,"")</f>
        <v/>
      </c>
      <c r="G177" s="14" t="str">
        <f>IF(ISNUMBER($D177)=TRUE,'Input Prescr. Lighting Measures'!V179,"")</f>
        <v/>
      </c>
      <c r="H177" s="104" t="str">
        <f>IF(ISNUMBER($D177)=TRUE,'Input Prescr. Lighting Measures'!W179,"")</f>
        <v/>
      </c>
      <c r="I177" s="45" t="str">
        <f>IFERROR(Q177*MIN(Table_Measure_Caps[[#Totals],[Estimated Raw Incentive Total]], Table_Measure_Caps[[#Totals],[Gross Measure Cost Total]], Value_Project_CAP)/Table_Measure_Caps[[#Totals],[Estimated Raw Incentive Total]], "")</f>
        <v/>
      </c>
      <c r="J177" s="45">
        <f>'Input Prescr. Lighting Measures'!R179*'Input Prescr. Lighting Measures'!M179</f>
        <v>0</v>
      </c>
      <c r="K177" s="14">
        <f>'Input Prescr. Lighting Measures'!S179</f>
        <v>0</v>
      </c>
      <c r="L177" s="15" t="e">
        <f>'Input Prescr. Lighting Measures'!AG179</f>
        <v>#N/A</v>
      </c>
      <c r="M177" s="15" t="str">
        <f>IF(ISNUMBER($D177)=TRUE,'Input Prescr. Lighting Measures'!K179,"")</f>
        <v/>
      </c>
      <c r="N177" s="15" t="str">
        <f>IF(ISNUMBER($D177)=TRUE,'Input Prescr. Lighting Measures'!N179,"")</f>
        <v/>
      </c>
      <c r="O177" s="31" t="str">
        <f t="shared" si="3"/>
        <v>Version 4.1 - 2026</v>
      </c>
      <c r="P177" s="89" t="str">
        <f>IF(ISNUMBER($D177)=TRUE,'Input Prescr. Lighting Measures'!F179,"")</f>
        <v/>
      </c>
      <c r="Q177" s="42" t="str">
        <f>'Input Prescr. Lighting Measures'!U179</f>
        <v/>
      </c>
    </row>
    <row r="178" spans="1:17" x14ac:dyDescent="0.2">
      <c r="A178" s="15" t="s">
        <v>6238</v>
      </c>
      <c r="B178" s="14">
        <f t="shared" si="4"/>
        <v>0</v>
      </c>
      <c r="C178" s="14">
        <f>'Input Prescr. Lighting Measures'!B180</f>
        <v>176</v>
      </c>
      <c r="D178" s="14" t="str">
        <f>'Input Prescr. Lighting Measures'!C180</f>
        <v/>
      </c>
      <c r="E178" s="14" t="str">
        <f>'Input Prescr. Lighting Measures'!G180</f>
        <v/>
      </c>
      <c r="F178" s="14" t="str">
        <f>IF(ISNUMBER($D178)=TRUE,'Input Prescr. Lighting Measures'!AX180,"")</f>
        <v/>
      </c>
      <c r="G178" s="14" t="str">
        <f>IF(ISNUMBER($D178)=TRUE,'Input Prescr. Lighting Measures'!V180,"")</f>
        <v/>
      </c>
      <c r="H178" s="104" t="str">
        <f>IF(ISNUMBER($D178)=TRUE,'Input Prescr. Lighting Measures'!W180,"")</f>
        <v/>
      </c>
      <c r="I178" s="45" t="str">
        <f>IFERROR(Q178*MIN(Table_Measure_Caps[[#Totals],[Estimated Raw Incentive Total]], Table_Measure_Caps[[#Totals],[Gross Measure Cost Total]], Value_Project_CAP)/Table_Measure_Caps[[#Totals],[Estimated Raw Incentive Total]], "")</f>
        <v/>
      </c>
      <c r="J178" s="45">
        <f>'Input Prescr. Lighting Measures'!R180*'Input Prescr. Lighting Measures'!M180</f>
        <v>0</v>
      </c>
      <c r="K178" s="14">
        <f>'Input Prescr. Lighting Measures'!S180</f>
        <v>0</v>
      </c>
      <c r="L178" s="15" t="e">
        <f>'Input Prescr. Lighting Measures'!AG180</f>
        <v>#N/A</v>
      </c>
      <c r="M178" s="15" t="str">
        <f>IF(ISNUMBER($D178)=TRUE,'Input Prescr. Lighting Measures'!K180,"")</f>
        <v/>
      </c>
      <c r="N178" s="15" t="str">
        <f>IF(ISNUMBER($D178)=TRUE,'Input Prescr. Lighting Measures'!N180,"")</f>
        <v/>
      </c>
      <c r="O178" s="31" t="str">
        <f t="shared" si="3"/>
        <v>Version 4.1 - 2026</v>
      </c>
      <c r="P178" s="89" t="str">
        <f>IF(ISNUMBER($D178)=TRUE,'Input Prescr. Lighting Measures'!F180,"")</f>
        <v/>
      </c>
      <c r="Q178" s="42" t="str">
        <f>'Input Prescr. Lighting Measures'!U180</f>
        <v/>
      </c>
    </row>
    <row r="179" spans="1:17" x14ac:dyDescent="0.2">
      <c r="A179" s="15" t="s">
        <v>6238</v>
      </c>
      <c r="B179" s="14">
        <f t="shared" si="4"/>
        <v>0</v>
      </c>
      <c r="C179" s="14">
        <f>'Input Prescr. Lighting Measures'!B181</f>
        <v>177</v>
      </c>
      <c r="D179" s="14" t="str">
        <f>'Input Prescr. Lighting Measures'!C181</f>
        <v/>
      </c>
      <c r="E179" s="14" t="str">
        <f>'Input Prescr. Lighting Measures'!G181</f>
        <v/>
      </c>
      <c r="F179" s="14" t="str">
        <f>IF(ISNUMBER($D179)=TRUE,'Input Prescr. Lighting Measures'!AX181,"")</f>
        <v/>
      </c>
      <c r="G179" s="14" t="str">
        <f>IF(ISNUMBER($D179)=TRUE,'Input Prescr. Lighting Measures'!V181,"")</f>
        <v/>
      </c>
      <c r="H179" s="104" t="str">
        <f>IF(ISNUMBER($D179)=TRUE,'Input Prescr. Lighting Measures'!W181,"")</f>
        <v/>
      </c>
      <c r="I179" s="45" t="str">
        <f>IFERROR(Q179*MIN(Table_Measure_Caps[[#Totals],[Estimated Raw Incentive Total]], Table_Measure_Caps[[#Totals],[Gross Measure Cost Total]], Value_Project_CAP)/Table_Measure_Caps[[#Totals],[Estimated Raw Incentive Total]], "")</f>
        <v/>
      </c>
      <c r="J179" s="45">
        <f>'Input Prescr. Lighting Measures'!R181*'Input Prescr. Lighting Measures'!M181</f>
        <v>0</v>
      </c>
      <c r="K179" s="14">
        <f>'Input Prescr. Lighting Measures'!S181</f>
        <v>0</v>
      </c>
      <c r="L179" s="15" t="e">
        <f>'Input Prescr. Lighting Measures'!AG181</f>
        <v>#N/A</v>
      </c>
      <c r="M179" s="15" t="str">
        <f>IF(ISNUMBER($D179)=TRUE,'Input Prescr. Lighting Measures'!K181,"")</f>
        <v/>
      </c>
      <c r="N179" s="15" t="str">
        <f>IF(ISNUMBER($D179)=TRUE,'Input Prescr. Lighting Measures'!N181,"")</f>
        <v/>
      </c>
      <c r="O179" s="31" t="str">
        <f t="shared" si="3"/>
        <v>Version 4.1 - 2026</v>
      </c>
      <c r="P179" s="89" t="str">
        <f>IF(ISNUMBER($D179)=TRUE,'Input Prescr. Lighting Measures'!F181,"")</f>
        <v/>
      </c>
      <c r="Q179" s="42" t="str">
        <f>'Input Prescr. Lighting Measures'!U181</f>
        <v/>
      </c>
    </row>
    <row r="180" spans="1:17" x14ac:dyDescent="0.2">
      <c r="A180" s="15" t="s">
        <v>6238</v>
      </c>
      <c r="B180" s="14">
        <f t="shared" si="4"/>
        <v>0</v>
      </c>
      <c r="C180" s="14">
        <f>'Input Prescr. Lighting Measures'!B182</f>
        <v>178</v>
      </c>
      <c r="D180" s="14" t="str">
        <f>'Input Prescr. Lighting Measures'!C182</f>
        <v/>
      </c>
      <c r="E180" s="14" t="str">
        <f>'Input Prescr. Lighting Measures'!G182</f>
        <v/>
      </c>
      <c r="F180" s="14" t="str">
        <f>IF(ISNUMBER($D180)=TRUE,'Input Prescr. Lighting Measures'!AX182,"")</f>
        <v/>
      </c>
      <c r="G180" s="14" t="str">
        <f>IF(ISNUMBER($D180)=TRUE,'Input Prescr. Lighting Measures'!V182,"")</f>
        <v/>
      </c>
      <c r="H180" s="104" t="str">
        <f>IF(ISNUMBER($D180)=TRUE,'Input Prescr. Lighting Measures'!W182,"")</f>
        <v/>
      </c>
      <c r="I180" s="45" t="str">
        <f>IFERROR(Q180*MIN(Table_Measure_Caps[[#Totals],[Estimated Raw Incentive Total]], Table_Measure_Caps[[#Totals],[Gross Measure Cost Total]], Value_Project_CAP)/Table_Measure_Caps[[#Totals],[Estimated Raw Incentive Total]], "")</f>
        <v/>
      </c>
      <c r="J180" s="45">
        <f>'Input Prescr. Lighting Measures'!R182*'Input Prescr. Lighting Measures'!M182</f>
        <v>0</v>
      </c>
      <c r="K180" s="14">
        <f>'Input Prescr. Lighting Measures'!S182</f>
        <v>0</v>
      </c>
      <c r="L180" s="15" t="e">
        <f>'Input Prescr. Lighting Measures'!AG182</f>
        <v>#N/A</v>
      </c>
      <c r="M180" s="15" t="str">
        <f>IF(ISNUMBER($D180)=TRUE,'Input Prescr. Lighting Measures'!K182,"")</f>
        <v/>
      </c>
      <c r="N180" s="15" t="str">
        <f>IF(ISNUMBER($D180)=TRUE,'Input Prescr. Lighting Measures'!N182,"")</f>
        <v/>
      </c>
      <c r="O180" s="31" t="str">
        <f t="shared" si="3"/>
        <v>Version 4.1 - 2026</v>
      </c>
      <c r="P180" s="89" t="str">
        <f>IF(ISNUMBER($D180)=TRUE,'Input Prescr. Lighting Measures'!F182,"")</f>
        <v/>
      </c>
      <c r="Q180" s="42" t="str">
        <f>'Input Prescr. Lighting Measures'!U182</f>
        <v/>
      </c>
    </row>
    <row r="181" spans="1:17" x14ac:dyDescent="0.2">
      <c r="A181" s="15" t="s">
        <v>6238</v>
      </c>
      <c r="B181" s="14">
        <f t="shared" si="4"/>
        <v>0</v>
      </c>
      <c r="C181" s="14">
        <f>'Input Prescr. Lighting Measures'!B183</f>
        <v>179</v>
      </c>
      <c r="D181" s="14" t="str">
        <f>'Input Prescr. Lighting Measures'!C183</f>
        <v/>
      </c>
      <c r="E181" s="14" t="str">
        <f>'Input Prescr. Lighting Measures'!G183</f>
        <v/>
      </c>
      <c r="F181" s="14" t="str">
        <f>IF(ISNUMBER($D181)=TRUE,'Input Prescr. Lighting Measures'!AX183,"")</f>
        <v/>
      </c>
      <c r="G181" s="14" t="str">
        <f>IF(ISNUMBER($D181)=TRUE,'Input Prescr. Lighting Measures'!V183,"")</f>
        <v/>
      </c>
      <c r="H181" s="104" t="str">
        <f>IF(ISNUMBER($D181)=TRUE,'Input Prescr. Lighting Measures'!W183,"")</f>
        <v/>
      </c>
      <c r="I181" s="45" t="str">
        <f>IFERROR(Q181*MIN(Table_Measure_Caps[[#Totals],[Estimated Raw Incentive Total]], Table_Measure_Caps[[#Totals],[Gross Measure Cost Total]], Value_Project_CAP)/Table_Measure_Caps[[#Totals],[Estimated Raw Incentive Total]], "")</f>
        <v/>
      </c>
      <c r="J181" s="45">
        <f>'Input Prescr. Lighting Measures'!R183*'Input Prescr. Lighting Measures'!M183</f>
        <v>0</v>
      </c>
      <c r="K181" s="14">
        <f>'Input Prescr. Lighting Measures'!S183</f>
        <v>0</v>
      </c>
      <c r="L181" s="15" t="e">
        <f>'Input Prescr. Lighting Measures'!AG183</f>
        <v>#N/A</v>
      </c>
      <c r="M181" s="15" t="str">
        <f>IF(ISNUMBER($D181)=TRUE,'Input Prescr. Lighting Measures'!K183,"")</f>
        <v/>
      </c>
      <c r="N181" s="15" t="str">
        <f>IF(ISNUMBER($D181)=TRUE,'Input Prescr. Lighting Measures'!N183,"")</f>
        <v/>
      </c>
      <c r="O181" s="31" t="str">
        <f t="shared" si="3"/>
        <v>Version 4.1 - 2026</v>
      </c>
      <c r="P181" s="89" t="str">
        <f>IF(ISNUMBER($D181)=TRUE,'Input Prescr. Lighting Measures'!F183,"")</f>
        <v/>
      </c>
      <c r="Q181" s="42" t="str">
        <f>'Input Prescr. Lighting Measures'!U183</f>
        <v/>
      </c>
    </row>
    <row r="182" spans="1:17" x14ac:dyDescent="0.2">
      <c r="A182" s="15" t="s">
        <v>6238</v>
      </c>
      <c r="B182" s="14">
        <f t="shared" si="4"/>
        <v>0</v>
      </c>
      <c r="C182" s="14">
        <f>'Input Prescr. Lighting Measures'!B184</f>
        <v>180</v>
      </c>
      <c r="D182" s="14" t="str">
        <f>'Input Prescr. Lighting Measures'!C184</f>
        <v/>
      </c>
      <c r="E182" s="14" t="str">
        <f>'Input Prescr. Lighting Measures'!G184</f>
        <v/>
      </c>
      <c r="F182" s="14" t="str">
        <f>IF(ISNUMBER($D182)=TRUE,'Input Prescr. Lighting Measures'!AX184,"")</f>
        <v/>
      </c>
      <c r="G182" s="14" t="str">
        <f>IF(ISNUMBER($D182)=TRUE,'Input Prescr. Lighting Measures'!V184,"")</f>
        <v/>
      </c>
      <c r="H182" s="104" t="str">
        <f>IF(ISNUMBER($D182)=TRUE,'Input Prescr. Lighting Measures'!W184,"")</f>
        <v/>
      </c>
      <c r="I182" s="45" t="str">
        <f>IFERROR(Q182*MIN(Table_Measure_Caps[[#Totals],[Estimated Raw Incentive Total]], Table_Measure_Caps[[#Totals],[Gross Measure Cost Total]], Value_Project_CAP)/Table_Measure_Caps[[#Totals],[Estimated Raw Incentive Total]], "")</f>
        <v/>
      </c>
      <c r="J182" s="45">
        <f>'Input Prescr. Lighting Measures'!R184*'Input Prescr. Lighting Measures'!M184</f>
        <v>0</v>
      </c>
      <c r="K182" s="14">
        <f>'Input Prescr. Lighting Measures'!S184</f>
        <v>0</v>
      </c>
      <c r="L182" s="15" t="e">
        <f>'Input Prescr. Lighting Measures'!AG184</f>
        <v>#N/A</v>
      </c>
      <c r="M182" s="15" t="str">
        <f>IF(ISNUMBER($D182)=TRUE,'Input Prescr. Lighting Measures'!K184,"")</f>
        <v/>
      </c>
      <c r="N182" s="15" t="str">
        <f>IF(ISNUMBER($D182)=TRUE,'Input Prescr. Lighting Measures'!N184,"")</f>
        <v/>
      </c>
      <c r="O182" s="31" t="str">
        <f t="shared" si="3"/>
        <v>Version 4.1 - 2026</v>
      </c>
      <c r="P182" s="89" t="str">
        <f>IF(ISNUMBER($D182)=TRUE,'Input Prescr. Lighting Measures'!F184,"")</f>
        <v/>
      </c>
      <c r="Q182" s="42" t="str">
        <f>'Input Prescr. Lighting Measures'!U184</f>
        <v/>
      </c>
    </row>
    <row r="183" spans="1:17" x14ac:dyDescent="0.2">
      <c r="A183" s="15" t="s">
        <v>6238</v>
      </c>
      <c r="B183" s="14">
        <f t="shared" si="4"/>
        <v>0</v>
      </c>
      <c r="C183" s="14">
        <f>'Input Prescr. Lighting Measures'!B185</f>
        <v>181</v>
      </c>
      <c r="D183" s="14" t="str">
        <f>'Input Prescr. Lighting Measures'!C185</f>
        <v/>
      </c>
      <c r="E183" s="14" t="str">
        <f>'Input Prescr. Lighting Measures'!G185</f>
        <v/>
      </c>
      <c r="F183" s="14" t="str">
        <f>IF(ISNUMBER($D183)=TRUE,'Input Prescr. Lighting Measures'!AX185,"")</f>
        <v/>
      </c>
      <c r="G183" s="14" t="str">
        <f>IF(ISNUMBER($D183)=TRUE,'Input Prescr. Lighting Measures'!V185,"")</f>
        <v/>
      </c>
      <c r="H183" s="104" t="str">
        <f>IF(ISNUMBER($D183)=TRUE,'Input Prescr. Lighting Measures'!W185,"")</f>
        <v/>
      </c>
      <c r="I183" s="45" t="str">
        <f>IFERROR(Q183*MIN(Table_Measure_Caps[[#Totals],[Estimated Raw Incentive Total]], Table_Measure_Caps[[#Totals],[Gross Measure Cost Total]], Value_Project_CAP)/Table_Measure_Caps[[#Totals],[Estimated Raw Incentive Total]], "")</f>
        <v/>
      </c>
      <c r="J183" s="45">
        <f>'Input Prescr. Lighting Measures'!R185*'Input Prescr. Lighting Measures'!M185</f>
        <v>0</v>
      </c>
      <c r="K183" s="14">
        <f>'Input Prescr. Lighting Measures'!S185</f>
        <v>0</v>
      </c>
      <c r="L183" s="15" t="e">
        <f>'Input Prescr. Lighting Measures'!AG185</f>
        <v>#N/A</v>
      </c>
      <c r="M183" s="15" t="str">
        <f>IF(ISNUMBER($D183)=TRUE,'Input Prescr. Lighting Measures'!K185,"")</f>
        <v/>
      </c>
      <c r="N183" s="15" t="str">
        <f>IF(ISNUMBER($D183)=TRUE,'Input Prescr. Lighting Measures'!N185,"")</f>
        <v/>
      </c>
      <c r="O183" s="31" t="str">
        <f t="shared" si="3"/>
        <v>Version 4.1 - 2026</v>
      </c>
      <c r="P183" s="89" t="str">
        <f>IF(ISNUMBER($D183)=TRUE,'Input Prescr. Lighting Measures'!F185,"")</f>
        <v/>
      </c>
      <c r="Q183" s="42" t="str">
        <f>'Input Prescr. Lighting Measures'!U185</f>
        <v/>
      </c>
    </row>
    <row r="184" spans="1:17" x14ac:dyDescent="0.2">
      <c r="A184" s="15" t="s">
        <v>6238</v>
      </c>
      <c r="B184" s="14">
        <f t="shared" si="4"/>
        <v>0</v>
      </c>
      <c r="C184" s="14">
        <f>'Input Prescr. Lighting Measures'!B186</f>
        <v>182</v>
      </c>
      <c r="D184" s="14" t="str">
        <f>'Input Prescr. Lighting Measures'!C186</f>
        <v/>
      </c>
      <c r="E184" s="14" t="str">
        <f>'Input Prescr. Lighting Measures'!G186</f>
        <v/>
      </c>
      <c r="F184" s="14" t="str">
        <f>IF(ISNUMBER($D184)=TRUE,'Input Prescr. Lighting Measures'!AX186,"")</f>
        <v/>
      </c>
      <c r="G184" s="14" t="str">
        <f>IF(ISNUMBER($D184)=TRUE,'Input Prescr. Lighting Measures'!V186,"")</f>
        <v/>
      </c>
      <c r="H184" s="104" t="str">
        <f>IF(ISNUMBER($D184)=TRUE,'Input Prescr. Lighting Measures'!W186,"")</f>
        <v/>
      </c>
      <c r="I184" s="45" t="str">
        <f>IFERROR(Q184*MIN(Table_Measure_Caps[[#Totals],[Estimated Raw Incentive Total]], Table_Measure_Caps[[#Totals],[Gross Measure Cost Total]], Value_Project_CAP)/Table_Measure_Caps[[#Totals],[Estimated Raw Incentive Total]], "")</f>
        <v/>
      </c>
      <c r="J184" s="45">
        <f>'Input Prescr. Lighting Measures'!R186*'Input Prescr. Lighting Measures'!M186</f>
        <v>0</v>
      </c>
      <c r="K184" s="14">
        <f>'Input Prescr. Lighting Measures'!S186</f>
        <v>0</v>
      </c>
      <c r="L184" s="15" t="e">
        <f>'Input Prescr. Lighting Measures'!AG186</f>
        <v>#N/A</v>
      </c>
      <c r="M184" s="15" t="str">
        <f>IF(ISNUMBER($D184)=TRUE,'Input Prescr. Lighting Measures'!K186,"")</f>
        <v/>
      </c>
      <c r="N184" s="15" t="str">
        <f>IF(ISNUMBER($D184)=TRUE,'Input Prescr. Lighting Measures'!N186,"")</f>
        <v/>
      </c>
      <c r="O184" s="31" t="str">
        <f t="shared" si="3"/>
        <v>Version 4.1 - 2026</v>
      </c>
      <c r="P184" s="89" t="str">
        <f>IF(ISNUMBER($D184)=TRUE,'Input Prescr. Lighting Measures'!F186,"")</f>
        <v/>
      </c>
      <c r="Q184" s="42" t="str">
        <f>'Input Prescr. Lighting Measures'!U186</f>
        <v/>
      </c>
    </row>
    <row r="185" spans="1:17" x14ac:dyDescent="0.2">
      <c r="A185" s="15" t="s">
        <v>6238</v>
      </c>
      <c r="B185" s="14">
        <f t="shared" si="4"/>
        <v>0</v>
      </c>
      <c r="C185" s="14">
        <f>'Input Prescr. Lighting Measures'!B187</f>
        <v>183</v>
      </c>
      <c r="D185" s="14" t="str">
        <f>'Input Prescr. Lighting Measures'!C187</f>
        <v/>
      </c>
      <c r="E185" s="14" t="str">
        <f>'Input Prescr. Lighting Measures'!G187</f>
        <v/>
      </c>
      <c r="F185" s="14" t="str">
        <f>IF(ISNUMBER($D185)=TRUE,'Input Prescr. Lighting Measures'!AX187,"")</f>
        <v/>
      </c>
      <c r="G185" s="14" t="str">
        <f>IF(ISNUMBER($D185)=TRUE,'Input Prescr. Lighting Measures'!V187,"")</f>
        <v/>
      </c>
      <c r="H185" s="104" t="str">
        <f>IF(ISNUMBER($D185)=TRUE,'Input Prescr. Lighting Measures'!W187,"")</f>
        <v/>
      </c>
      <c r="I185" s="45" t="str">
        <f>IFERROR(Q185*MIN(Table_Measure_Caps[[#Totals],[Estimated Raw Incentive Total]], Table_Measure_Caps[[#Totals],[Gross Measure Cost Total]], Value_Project_CAP)/Table_Measure_Caps[[#Totals],[Estimated Raw Incentive Total]], "")</f>
        <v/>
      </c>
      <c r="J185" s="45">
        <f>'Input Prescr. Lighting Measures'!R187*'Input Prescr. Lighting Measures'!M187</f>
        <v>0</v>
      </c>
      <c r="K185" s="14">
        <f>'Input Prescr. Lighting Measures'!S187</f>
        <v>0</v>
      </c>
      <c r="L185" s="15" t="e">
        <f>'Input Prescr. Lighting Measures'!AG187</f>
        <v>#N/A</v>
      </c>
      <c r="M185" s="15" t="str">
        <f>IF(ISNUMBER($D185)=TRUE,'Input Prescr. Lighting Measures'!K187,"")</f>
        <v/>
      </c>
      <c r="N185" s="15" t="str">
        <f>IF(ISNUMBER($D185)=TRUE,'Input Prescr. Lighting Measures'!N187,"")</f>
        <v/>
      </c>
      <c r="O185" s="31" t="str">
        <f t="shared" si="3"/>
        <v>Version 4.1 - 2026</v>
      </c>
      <c r="P185" s="89" t="str">
        <f>IF(ISNUMBER($D185)=TRUE,'Input Prescr. Lighting Measures'!F187,"")</f>
        <v/>
      </c>
      <c r="Q185" s="42" t="str">
        <f>'Input Prescr. Lighting Measures'!U187</f>
        <v/>
      </c>
    </row>
    <row r="186" spans="1:17" x14ac:dyDescent="0.2">
      <c r="A186" s="15" t="s">
        <v>6238</v>
      </c>
      <c r="B186" s="14">
        <f t="shared" si="4"/>
        <v>0</v>
      </c>
      <c r="C186" s="14">
        <f>'Input Prescr. Lighting Measures'!B188</f>
        <v>184</v>
      </c>
      <c r="D186" s="14" t="str">
        <f>'Input Prescr. Lighting Measures'!C188</f>
        <v/>
      </c>
      <c r="E186" s="14" t="str">
        <f>'Input Prescr. Lighting Measures'!G188</f>
        <v/>
      </c>
      <c r="F186" s="14" t="str">
        <f>IF(ISNUMBER($D186)=TRUE,'Input Prescr. Lighting Measures'!AX188,"")</f>
        <v/>
      </c>
      <c r="G186" s="14" t="str">
        <f>IF(ISNUMBER($D186)=TRUE,'Input Prescr. Lighting Measures'!V188,"")</f>
        <v/>
      </c>
      <c r="H186" s="104" t="str">
        <f>IF(ISNUMBER($D186)=TRUE,'Input Prescr. Lighting Measures'!W188,"")</f>
        <v/>
      </c>
      <c r="I186" s="45" t="str">
        <f>IFERROR(Q186*MIN(Table_Measure_Caps[[#Totals],[Estimated Raw Incentive Total]], Table_Measure_Caps[[#Totals],[Gross Measure Cost Total]], Value_Project_CAP)/Table_Measure_Caps[[#Totals],[Estimated Raw Incentive Total]], "")</f>
        <v/>
      </c>
      <c r="J186" s="45">
        <f>'Input Prescr. Lighting Measures'!R188*'Input Prescr. Lighting Measures'!M188</f>
        <v>0</v>
      </c>
      <c r="K186" s="14">
        <f>'Input Prescr. Lighting Measures'!S188</f>
        <v>0</v>
      </c>
      <c r="L186" s="15" t="e">
        <f>'Input Prescr. Lighting Measures'!AG188</f>
        <v>#N/A</v>
      </c>
      <c r="M186" s="15" t="str">
        <f>IF(ISNUMBER($D186)=TRUE,'Input Prescr. Lighting Measures'!K188,"")</f>
        <v/>
      </c>
      <c r="N186" s="15" t="str">
        <f>IF(ISNUMBER($D186)=TRUE,'Input Prescr. Lighting Measures'!N188,"")</f>
        <v/>
      </c>
      <c r="O186" s="31" t="str">
        <f t="shared" si="3"/>
        <v>Version 4.1 - 2026</v>
      </c>
      <c r="P186" s="89" t="str">
        <f>IF(ISNUMBER($D186)=TRUE,'Input Prescr. Lighting Measures'!F188,"")</f>
        <v/>
      </c>
      <c r="Q186" s="42" t="str">
        <f>'Input Prescr. Lighting Measures'!U188</f>
        <v/>
      </c>
    </row>
    <row r="187" spans="1:17" x14ac:dyDescent="0.2">
      <c r="A187" s="15" t="s">
        <v>6238</v>
      </c>
      <c r="B187" s="14">
        <f t="shared" si="4"/>
        <v>0</v>
      </c>
      <c r="C187" s="14">
        <f>'Input Prescr. Lighting Measures'!B189</f>
        <v>185</v>
      </c>
      <c r="D187" s="14" t="str">
        <f>'Input Prescr. Lighting Measures'!C189</f>
        <v/>
      </c>
      <c r="E187" s="14" t="str">
        <f>'Input Prescr. Lighting Measures'!G189</f>
        <v/>
      </c>
      <c r="F187" s="14" t="str">
        <f>IF(ISNUMBER($D187)=TRUE,'Input Prescr. Lighting Measures'!AX189,"")</f>
        <v/>
      </c>
      <c r="G187" s="14" t="str">
        <f>IF(ISNUMBER($D187)=TRUE,'Input Prescr. Lighting Measures'!V189,"")</f>
        <v/>
      </c>
      <c r="H187" s="104" t="str">
        <f>IF(ISNUMBER($D187)=TRUE,'Input Prescr. Lighting Measures'!W189,"")</f>
        <v/>
      </c>
      <c r="I187" s="45" t="str">
        <f>IFERROR(Q187*MIN(Table_Measure_Caps[[#Totals],[Estimated Raw Incentive Total]], Table_Measure_Caps[[#Totals],[Gross Measure Cost Total]], Value_Project_CAP)/Table_Measure_Caps[[#Totals],[Estimated Raw Incentive Total]], "")</f>
        <v/>
      </c>
      <c r="J187" s="45">
        <f>'Input Prescr. Lighting Measures'!R189*'Input Prescr. Lighting Measures'!M189</f>
        <v>0</v>
      </c>
      <c r="K187" s="14">
        <f>'Input Prescr. Lighting Measures'!S189</f>
        <v>0</v>
      </c>
      <c r="L187" s="15" t="e">
        <f>'Input Prescr. Lighting Measures'!AG189</f>
        <v>#N/A</v>
      </c>
      <c r="M187" s="15" t="str">
        <f>IF(ISNUMBER($D187)=TRUE,'Input Prescr. Lighting Measures'!K189,"")</f>
        <v/>
      </c>
      <c r="N187" s="15" t="str">
        <f>IF(ISNUMBER($D187)=TRUE,'Input Prescr. Lighting Measures'!N189,"")</f>
        <v/>
      </c>
      <c r="O187" s="31" t="str">
        <f t="shared" si="3"/>
        <v>Version 4.1 - 2026</v>
      </c>
      <c r="P187" s="89" t="str">
        <f>IF(ISNUMBER($D187)=TRUE,'Input Prescr. Lighting Measures'!F189,"")</f>
        <v/>
      </c>
      <c r="Q187" s="42" t="str">
        <f>'Input Prescr. Lighting Measures'!U189</f>
        <v/>
      </c>
    </row>
    <row r="188" spans="1:17" x14ac:dyDescent="0.2">
      <c r="A188" s="15" t="s">
        <v>6238</v>
      </c>
      <c r="B188" s="14">
        <f t="shared" si="4"/>
        <v>0</v>
      </c>
      <c r="C188" s="14">
        <f>'Input Prescr. Lighting Measures'!B190</f>
        <v>186</v>
      </c>
      <c r="D188" s="14" t="str">
        <f>'Input Prescr. Lighting Measures'!C190</f>
        <v/>
      </c>
      <c r="E188" s="14" t="str">
        <f>'Input Prescr. Lighting Measures'!G190</f>
        <v/>
      </c>
      <c r="F188" s="14" t="str">
        <f>IF(ISNUMBER($D188)=TRUE,'Input Prescr. Lighting Measures'!AX190,"")</f>
        <v/>
      </c>
      <c r="G188" s="14" t="str">
        <f>IF(ISNUMBER($D188)=TRUE,'Input Prescr. Lighting Measures'!V190,"")</f>
        <v/>
      </c>
      <c r="H188" s="104" t="str">
        <f>IF(ISNUMBER($D188)=TRUE,'Input Prescr. Lighting Measures'!W190,"")</f>
        <v/>
      </c>
      <c r="I188" s="45" t="str">
        <f>IFERROR(Q188*MIN(Table_Measure_Caps[[#Totals],[Estimated Raw Incentive Total]], Table_Measure_Caps[[#Totals],[Gross Measure Cost Total]], Value_Project_CAP)/Table_Measure_Caps[[#Totals],[Estimated Raw Incentive Total]], "")</f>
        <v/>
      </c>
      <c r="J188" s="45">
        <f>'Input Prescr. Lighting Measures'!R190*'Input Prescr. Lighting Measures'!M190</f>
        <v>0</v>
      </c>
      <c r="K188" s="14">
        <f>'Input Prescr. Lighting Measures'!S190</f>
        <v>0</v>
      </c>
      <c r="L188" s="15" t="e">
        <f>'Input Prescr. Lighting Measures'!AG190</f>
        <v>#N/A</v>
      </c>
      <c r="M188" s="15" t="str">
        <f>IF(ISNUMBER($D188)=TRUE,'Input Prescr. Lighting Measures'!K190,"")</f>
        <v/>
      </c>
      <c r="N188" s="15" t="str">
        <f>IF(ISNUMBER($D188)=TRUE,'Input Prescr. Lighting Measures'!N190,"")</f>
        <v/>
      </c>
      <c r="O188" s="31" t="str">
        <f t="shared" si="3"/>
        <v>Version 4.1 - 2026</v>
      </c>
      <c r="P188" s="89" t="str">
        <f>IF(ISNUMBER($D188)=TRUE,'Input Prescr. Lighting Measures'!F190,"")</f>
        <v/>
      </c>
      <c r="Q188" s="42" t="str">
        <f>'Input Prescr. Lighting Measures'!U190</f>
        <v/>
      </c>
    </row>
    <row r="189" spans="1:17" x14ac:dyDescent="0.2">
      <c r="A189" s="15" t="s">
        <v>6238</v>
      </c>
      <c r="B189" s="14">
        <f t="shared" si="4"/>
        <v>0</v>
      </c>
      <c r="C189" s="14">
        <f>'Input Prescr. Lighting Measures'!B191</f>
        <v>187</v>
      </c>
      <c r="D189" s="14" t="str">
        <f>'Input Prescr. Lighting Measures'!C191</f>
        <v/>
      </c>
      <c r="E189" s="14" t="str">
        <f>'Input Prescr. Lighting Measures'!G191</f>
        <v/>
      </c>
      <c r="F189" s="14" t="str">
        <f>IF(ISNUMBER($D189)=TRUE,'Input Prescr. Lighting Measures'!AX191,"")</f>
        <v/>
      </c>
      <c r="G189" s="14" t="str">
        <f>IF(ISNUMBER($D189)=TRUE,'Input Prescr. Lighting Measures'!V191,"")</f>
        <v/>
      </c>
      <c r="H189" s="104" t="str">
        <f>IF(ISNUMBER($D189)=TRUE,'Input Prescr. Lighting Measures'!W191,"")</f>
        <v/>
      </c>
      <c r="I189" s="45" t="str">
        <f>IFERROR(Q189*MIN(Table_Measure_Caps[[#Totals],[Estimated Raw Incentive Total]], Table_Measure_Caps[[#Totals],[Gross Measure Cost Total]], Value_Project_CAP)/Table_Measure_Caps[[#Totals],[Estimated Raw Incentive Total]], "")</f>
        <v/>
      </c>
      <c r="J189" s="45">
        <f>'Input Prescr. Lighting Measures'!R191*'Input Prescr. Lighting Measures'!M191</f>
        <v>0</v>
      </c>
      <c r="K189" s="14">
        <f>'Input Prescr. Lighting Measures'!S191</f>
        <v>0</v>
      </c>
      <c r="L189" s="15" t="e">
        <f>'Input Prescr. Lighting Measures'!AG191</f>
        <v>#N/A</v>
      </c>
      <c r="M189" s="15" t="str">
        <f>IF(ISNUMBER($D189)=TRUE,'Input Prescr. Lighting Measures'!K191,"")</f>
        <v/>
      </c>
      <c r="N189" s="15" t="str">
        <f>IF(ISNUMBER($D189)=TRUE,'Input Prescr. Lighting Measures'!N191,"")</f>
        <v/>
      </c>
      <c r="O189" s="31" t="str">
        <f t="shared" si="3"/>
        <v>Version 4.1 - 2026</v>
      </c>
      <c r="P189" s="89" t="str">
        <f>IF(ISNUMBER($D189)=TRUE,'Input Prescr. Lighting Measures'!F191,"")</f>
        <v/>
      </c>
      <c r="Q189" s="42" t="str">
        <f>'Input Prescr. Lighting Measures'!U191</f>
        <v/>
      </c>
    </row>
    <row r="190" spans="1:17" x14ac:dyDescent="0.2">
      <c r="A190" s="15" t="s">
        <v>6238</v>
      </c>
      <c r="B190" s="14">
        <f t="shared" si="4"/>
        <v>0</v>
      </c>
      <c r="C190" s="14">
        <f>'Input Prescr. Lighting Measures'!B192</f>
        <v>188</v>
      </c>
      <c r="D190" s="14" t="str">
        <f>'Input Prescr. Lighting Measures'!C192</f>
        <v/>
      </c>
      <c r="E190" s="14" t="str">
        <f>'Input Prescr. Lighting Measures'!G192</f>
        <v/>
      </c>
      <c r="F190" s="14" t="str">
        <f>IF(ISNUMBER($D190)=TRUE,'Input Prescr. Lighting Measures'!AX192,"")</f>
        <v/>
      </c>
      <c r="G190" s="14" t="str">
        <f>IF(ISNUMBER($D190)=TRUE,'Input Prescr. Lighting Measures'!V192,"")</f>
        <v/>
      </c>
      <c r="H190" s="104" t="str">
        <f>IF(ISNUMBER($D190)=TRUE,'Input Prescr. Lighting Measures'!W192,"")</f>
        <v/>
      </c>
      <c r="I190" s="45" t="str">
        <f>IFERROR(Q190*MIN(Table_Measure_Caps[[#Totals],[Estimated Raw Incentive Total]], Table_Measure_Caps[[#Totals],[Gross Measure Cost Total]], Value_Project_CAP)/Table_Measure_Caps[[#Totals],[Estimated Raw Incentive Total]], "")</f>
        <v/>
      </c>
      <c r="J190" s="45">
        <f>'Input Prescr. Lighting Measures'!R192*'Input Prescr. Lighting Measures'!M192</f>
        <v>0</v>
      </c>
      <c r="K190" s="14">
        <f>'Input Prescr. Lighting Measures'!S192</f>
        <v>0</v>
      </c>
      <c r="L190" s="15" t="e">
        <f>'Input Prescr. Lighting Measures'!AG192</f>
        <v>#N/A</v>
      </c>
      <c r="M190" s="15" t="str">
        <f>IF(ISNUMBER($D190)=TRUE,'Input Prescr. Lighting Measures'!K192,"")</f>
        <v/>
      </c>
      <c r="N190" s="15" t="str">
        <f>IF(ISNUMBER($D190)=TRUE,'Input Prescr. Lighting Measures'!N192,"")</f>
        <v/>
      </c>
      <c r="O190" s="31" t="str">
        <f t="shared" si="3"/>
        <v>Version 4.1 - 2026</v>
      </c>
      <c r="P190" s="89" t="str">
        <f>IF(ISNUMBER($D190)=TRUE,'Input Prescr. Lighting Measures'!F192,"")</f>
        <v/>
      </c>
      <c r="Q190" s="42" t="str">
        <f>'Input Prescr. Lighting Measures'!U192</f>
        <v/>
      </c>
    </row>
    <row r="191" spans="1:17" x14ac:dyDescent="0.2">
      <c r="A191" s="15" t="s">
        <v>6238</v>
      </c>
      <c r="B191" s="14">
        <f t="shared" si="4"/>
        <v>0</v>
      </c>
      <c r="C191" s="14">
        <f>'Input Prescr. Lighting Measures'!B193</f>
        <v>189</v>
      </c>
      <c r="D191" s="14" t="str">
        <f>'Input Prescr. Lighting Measures'!C193</f>
        <v/>
      </c>
      <c r="E191" s="14" t="str">
        <f>'Input Prescr. Lighting Measures'!G193</f>
        <v/>
      </c>
      <c r="F191" s="14" t="str">
        <f>IF(ISNUMBER($D191)=TRUE,'Input Prescr. Lighting Measures'!AX193,"")</f>
        <v/>
      </c>
      <c r="G191" s="14" t="str">
        <f>IF(ISNUMBER($D191)=TRUE,'Input Prescr. Lighting Measures'!V193,"")</f>
        <v/>
      </c>
      <c r="H191" s="104" t="str">
        <f>IF(ISNUMBER($D191)=TRUE,'Input Prescr. Lighting Measures'!W193,"")</f>
        <v/>
      </c>
      <c r="I191" s="45" t="str">
        <f>IFERROR(Q191*MIN(Table_Measure_Caps[[#Totals],[Estimated Raw Incentive Total]], Table_Measure_Caps[[#Totals],[Gross Measure Cost Total]], Value_Project_CAP)/Table_Measure_Caps[[#Totals],[Estimated Raw Incentive Total]], "")</f>
        <v/>
      </c>
      <c r="J191" s="45">
        <f>'Input Prescr. Lighting Measures'!R193*'Input Prescr. Lighting Measures'!M193</f>
        <v>0</v>
      </c>
      <c r="K191" s="14">
        <f>'Input Prescr. Lighting Measures'!S193</f>
        <v>0</v>
      </c>
      <c r="L191" s="15" t="e">
        <f>'Input Prescr. Lighting Measures'!AG193</f>
        <v>#N/A</v>
      </c>
      <c r="M191" s="15" t="str">
        <f>IF(ISNUMBER($D191)=TRUE,'Input Prescr. Lighting Measures'!K193,"")</f>
        <v/>
      </c>
      <c r="N191" s="15" t="str">
        <f>IF(ISNUMBER($D191)=TRUE,'Input Prescr. Lighting Measures'!N193,"")</f>
        <v/>
      </c>
      <c r="O191" s="31" t="str">
        <f t="shared" si="3"/>
        <v>Version 4.1 - 2026</v>
      </c>
      <c r="P191" s="89" t="str">
        <f>IF(ISNUMBER($D191)=TRUE,'Input Prescr. Lighting Measures'!F193,"")</f>
        <v/>
      </c>
      <c r="Q191" s="42" t="str">
        <f>'Input Prescr. Lighting Measures'!U193</f>
        <v/>
      </c>
    </row>
    <row r="192" spans="1:17" x14ac:dyDescent="0.2">
      <c r="A192" s="15" t="s">
        <v>6238</v>
      </c>
      <c r="B192" s="14">
        <f t="shared" si="4"/>
        <v>0</v>
      </c>
      <c r="C192" s="14">
        <f>'Input Prescr. Lighting Measures'!B194</f>
        <v>190</v>
      </c>
      <c r="D192" s="14" t="str">
        <f>'Input Prescr. Lighting Measures'!C194</f>
        <v/>
      </c>
      <c r="E192" s="14" t="str">
        <f>'Input Prescr. Lighting Measures'!G194</f>
        <v/>
      </c>
      <c r="F192" s="14" t="str">
        <f>IF(ISNUMBER($D192)=TRUE,'Input Prescr. Lighting Measures'!AX194,"")</f>
        <v/>
      </c>
      <c r="G192" s="14" t="str">
        <f>IF(ISNUMBER($D192)=TRUE,'Input Prescr. Lighting Measures'!V194,"")</f>
        <v/>
      </c>
      <c r="H192" s="104" t="str">
        <f>IF(ISNUMBER($D192)=TRUE,'Input Prescr. Lighting Measures'!W194,"")</f>
        <v/>
      </c>
      <c r="I192" s="45" t="str">
        <f>IFERROR(Q192*MIN(Table_Measure_Caps[[#Totals],[Estimated Raw Incentive Total]], Table_Measure_Caps[[#Totals],[Gross Measure Cost Total]], Value_Project_CAP)/Table_Measure_Caps[[#Totals],[Estimated Raw Incentive Total]], "")</f>
        <v/>
      </c>
      <c r="J192" s="45">
        <f>'Input Prescr. Lighting Measures'!R194*'Input Prescr. Lighting Measures'!M194</f>
        <v>0</v>
      </c>
      <c r="K192" s="14">
        <f>'Input Prescr. Lighting Measures'!S194</f>
        <v>0</v>
      </c>
      <c r="L192" s="15" t="e">
        <f>'Input Prescr. Lighting Measures'!AG194</f>
        <v>#N/A</v>
      </c>
      <c r="M192" s="15" t="str">
        <f>IF(ISNUMBER($D192)=TRUE,'Input Prescr. Lighting Measures'!K194,"")</f>
        <v/>
      </c>
      <c r="N192" s="15" t="str">
        <f>IF(ISNUMBER($D192)=TRUE,'Input Prescr. Lighting Measures'!N194,"")</f>
        <v/>
      </c>
      <c r="O192" s="31" t="str">
        <f t="shared" si="3"/>
        <v>Version 4.1 - 2026</v>
      </c>
      <c r="P192" s="89" t="str">
        <f>IF(ISNUMBER($D192)=TRUE,'Input Prescr. Lighting Measures'!F194,"")</f>
        <v/>
      </c>
      <c r="Q192" s="42" t="str">
        <f>'Input Prescr. Lighting Measures'!U194</f>
        <v/>
      </c>
    </row>
    <row r="193" spans="1:17" x14ac:dyDescent="0.2">
      <c r="A193" s="15" t="s">
        <v>6238</v>
      </c>
      <c r="B193" s="14">
        <f t="shared" si="4"/>
        <v>0</v>
      </c>
      <c r="C193" s="14">
        <f>'Input Prescr. Lighting Measures'!B195</f>
        <v>191</v>
      </c>
      <c r="D193" s="14" t="str">
        <f>'Input Prescr. Lighting Measures'!C195</f>
        <v/>
      </c>
      <c r="E193" s="14" t="str">
        <f>'Input Prescr. Lighting Measures'!G195</f>
        <v/>
      </c>
      <c r="F193" s="14" t="str">
        <f>IF(ISNUMBER($D193)=TRUE,'Input Prescr. Lighting Measures'!AX195,"")</f>
        <v/>
      </c>
      <c r="G193" s="14" t="str">
        <f>IF(ISNUMBER($D193)=TRUE,'Input Prescr. Lighting Measures'!V195,"")</f>
        <v/>
      </c>
      <c r="H193" s="104" t="str">
        <f>IF(ISNUMBER($D193)=TRUE,'Input Prescr. Lighting Measures'!W195,"")</f>
        <v/>
      </c>
      <c r="I193" s="45" t="str">
        <f>IFERROR(Q193*MIN(Table_Measure_Caps[[#Totals],[Estimated Raw Incentive Total]], Table_Measure_Caps[[#Totals],[Gross Measure Cost Total]], Value_Project_CAP)/Table_Measure_Caps[[#Totals],[Estimated Raw Incentive Total]], "")</f>
        <v/>
      </c>
      <c r="J193" s="45">
        <f>'Input Prescr. Lighting Measures'!R195*'Input Prescr. Lighting Measures'!M195</f>
        <v>0</v>
      </c>
      <c r="K193" s="14">
        <f>'Input Prescr. Lighting Measures'!S195</f>
        <v>0</v>
      </c>
      <c r="L193" s="15" t="e">
        <f>'Input Prescr. Lighting Measures'!AG195</f>
        <v>#N/A</v>
      </c>
      <c r="M193" s="15" t="str">
        <f>IF(ISNUMBER($D193)=TRUE,'Input Prescr. Lighting Measures'!K195,"")</f>
        <v/>
      </c>
      <c r="N193" s="15" t="str">
        <f>IF(ISNUMBER($D193)=TRUE,'Input Prescr. Lighting Measures'!N195,"")</f>
        <v/>
      </c>
      <c r="O193" s="31" t="str">
        <f t="shared" si="3"/>
        <v>Version 4.1 - 2026</v>
      </c>
      <c r="P193" s="89" t="str">
        <f>IF(ISNUMBER($D193)=TRUE,'Input Prescr. Lighting Measures'!F195,"")</f>
        <v/>
      </c>
      <c r="Q193" s="42" t="str">
        <f>'Input Prescr. Lighting Measures'!U195</f>
        <v/>
      </c>
    </row>
    <row r="194" spans="1:17" x14ac:dyDescent="0.2">
      <c r="A194" s="15" t="s">
        <v>6238</v>
      </c>
      <c r="B194" s="14">
        <f t="shared" si="4"/>
        <v>0</v>
      </c>
      <c r="C194" s="14">
        <f>'Input Prescr. Lighting Measures'!B196</f>
        <v>192</v>
      </c>
      <c r="D194" s="14" t="str">
        <f>'Input Prescr. Lighting Measures'!C196</f>
        <v/>
      </c>
      <c r="E194" s="14" t="str">
        <f>'Input Prescr. Lighting Measures'!G196</f>
        <v/>
      </c>
      <c r="F194" s="14" t="str">
        <f>IF(ISNUMBER($D194)=TRUE,'Input Prescr. Lighting Measures'!AX196,"")</f>
        <v/>
      </c>
      <c r="G194" s="14" t="str">
        <f>IF(ISNUMBER($D194)=TRUE,'Input Prescr. Lighting Measures'!V196,"")</f>
        <v/>
      </c>
      <c r="H194" s="104" t="str">
        <f>IF(ISNUMBER($D194)=TRUE,'Input Prescr. Lighting Measures'!W196,"")</f>
        <v/>
      </c>
      <c r="I194" s="45" t="str">
        <f>IFERROR(Q194*MIN(Table_Measure_Caps[[#Totals],[Estimated Raw Incentive Total]], Table_Measure_Caps[[#Totals],[Gross Measure Cost Total]], Value_Project_CAP)/Table_Measure_Caps[[#Totals],[Estimated Raw Incentive Total]], "")</f>
        <v/>
      </c>
      <c r="J194" s="45">
        <f>'Input Prescr. Lighting Measures'!R196*'Input Prescr. Lighting Measures'!M196</f>
        <v>0</v>
      </c>
      <c r="K194" s="14">
        <f>'Input Prescr. Lighting Measures'!S196</f>
        <v>0</v>
      </c>
      <c r="L194" s="15" t="e">
        <f>'Input Prescr. Lighting Measures'!AG196</f>
        <v>#N/A</v>
      </c>
      <c r="M194" s="15" t="str">
        <f>IF(ISNUMBER($D194)=TRUE,'Input Prescr. Lighting Measures'!K196,"")</f>
        <v/>
      </c>
      <c r="N194" s="15" t="str">
        <f>IF(ISNUMBER($D194)=TRUE,'Input Prescr. Lighting Measures'!N196,"")</f>
        <v/>
      </c>
      <c r="O194" s="31" t="str">
        <f t="shared" ref="O194:O257" si="5">Value_Application_Version</f>
        <v>Version 4.1 - 2026</v>
      </c>
      <c r="P194" s="89" t="str">
        <f>IF(ISNUMBER($D194)=TRUE,'Input Prescr. Lighting Measures'!F196,"")</f>
        <v/>
      </c>
      <c r="Q194" s="42" t="str">
        <f>'Input Prescr. Lighting Measures'!U196</f>
        <v/>
      </c>
    </row>
    <row r="195" spans="1:17" x14ac:dyDescent="0.2">
      <c r="A195" s="15" t="s">
        <v>6238</v>
      </c>
      <c r="B195" s="14">
        <f t="shared" si="4"/>
        <v>0</v>
      </c>
      <c r="C195" s="14">
        <f>'Input Prescr. Lighting Measures'!B197</f>
        <v>193</v>
      </c>
      <c r="D195" s="14" t="str">
        <f>'Input Prescr. Lighting Measures'!C197</f>
        <v/>
      </c>
      <c r="E195" s="14" t="str">
        <f>'Input Prescr. Lighting Measures'!G197</f>
        <v/>
      </c>
      <c r="F195" s="14" t="str">
        <f>IF(ISNUMBER($D195)=TRUE,'Input Prescr. Lighting Measures'!AX197,"")</f>
        <v/>
      </c>
      <c r="G195" s="14" t="str">
        <f>IF(ISNUMBER($D195)=TRUE,'Input Prescr. Lighting Measures'!V197,"")</f>
        <v/>
      </c>
      <c r="H195" s="104" t="str">
        <f>IF(ISNUMBER($D195)=TRUE,'Input Prescr. Lighting Measures'!W197,"")</f>
        <v/>
      </c>
      <c r="I195" s="45" t="str">
        <f>IFERROR(Q195*MIN(Table_Measure_Caps[[#Totals],[Estimated Raw Incentive Total]], Table_Measure_Caps[[#Totals],[Gross Measure Cost Total]], Value_Project_CAP)/Table_Measure_Caps[[#Totals],[Estimated Raw Incentive Total]], "")</f>
        <v/>
      </c>
      <c r="J195" s="45">
        <f>'Input Prescr. Lighting Measures'!R197*'Input Prescr. Lighting Measures'!M197</f>
        <v>0</v>
      </c>
      <c r="K195" s="14">
        <f>'Input Prescr. Lighting Measures'!S197</f>
        <v>0</v>
      </c>
      <c r="L195" s="15" t="e">
        <f>'Input Prescr. Lighting Measures'!AG197</f>
        <v>#N/A</v>
      </c>
      <c r="M195" s="15" t="str">
        <f>IF(ISNUMBER($D195)=TRUE,'Input Prescr. Lighting Measures'!K197,"")</f>
        <v/>
      </c>
      <c r="N195" s="15" t="str">
        <f>IF(ISNUMBER($D195)=TRUE,'Input Prescr. Lighting Measures'!N197,"")</f>
        <v/>
      </c>
      <c r="O195" s="31" t="str">
        <f t="shared" si="5"/>
        <v>Version 4.1 - 2026</v>
      </c>
      <c r="P195" s="89" t="str">
        <f>IF(ISNUMBER($D195)=TRUE,'Input Prescr. Lighting Measures'!F197,"")</f>
        <v/>
      </c>
      <c r="Q195" s="42" t="str">
        <f>'Input Prescr. Lighting Measures'!U197</f>
        <v/>
      </c>
    </row>
    <row r="196" spans="1:17" x14ac:dyDescent="0.2">
      <c r="A196" s="15" t="s">
        <v>6238</v>
      </c>
      <c r="B196" s="14">
        <f t="shared" si="4"/>
        <v>0</v>
      </c>
      <c r="C196" s="14">
        <f>'Input Prescr. Lighting Measures'!B198</f>
        <v>194</v>
      </c>
      <c r="D196" s="14" t="str">
        <f>'Input Prescr. Lighting Measures'!C198</f>
        <v/>
      </c>
      <c r="E196" s="14" t="str">
        <f>'Input Prescr. Lighting Measures'!G198</f>
        <v/>
      </c>
      <c r="F196" s="14" t="str">
        <f>IF(ISNUMBER($D196)=TRUE,'Input Prescr. Lighting Measures'!AX198,"")</f>
        <v/>
      </c>
      <c r="G196" s="14" t="str">
        <f>IF(ISNUMBER($D196)=TRUE,'Input Prescr. Lighting Measures'!V198,"")</f>
        <v/>
      </c>
      <c r="H196" s="104" t="str">
        <f>IF(ISNUMBER($D196)=TRUE,'Input Prescr. Lighting Measures'!W198,"")</f>
        <v/>
      </c>
      <c r="I196" s="45" t="str">
        <f>IFERROR(Q196*MIN(Table_Measure_Caps[[#Totals],[Estimated Raw Incentive Total]], Table_Measure_Caps[[#Totals],[Gross Measure Cost Total]], Value_Project_CAP)/Table_Measure_Caps[[#Totals],[Estimated Raw Incentive Total]], "")</f>
        <v/>
      </c>
      <c r="J196" s="45">
        <f>'Input Prescr. Lighting Measures'!R198*'Input Prescr. Lighting Measures'!M198</f>
        <v>0</v>
      </c>
      <c r="K196" s="14">
        <f>'Input Prescr. Lighting Measures'!S198</f>
        <v>0</v>
      </c>
      <c r="L196" s="15" t="e">
        <f>'Input Prescr. Lighting Measures'!AG198</f>
        <v>#N/A</v>
      </c>
      <c r="M196" s="15" t="str">
        <f>IF(ISNUMBER($D196)=TRUE,'Input Prescr. Lighting Measures'!K198,"")</f>
        <v/>
      </c>
      <c r="N196" s="15" t="str">
        <f>IF(ISNUMBER($D196)=TRUE,'Input Prescr. Lighting Measures'!N198,"")</f>
        <v/>
      </c>
      <c r="O196" s="31" t="str">
        <f t="shared" si="5"/>
        <v>Version 4.1 - 2026</v>
      </c>
      <c r="P196" s="89" t="str">
        <f>IF(ISNUMBER($D196)=TRUE,'Input Prescr. Lighting Measures'!F198,"")</f>
        <v/>
      </c>
      <c r="Q196" s="42" t="str">
        <f>'Input Prescr. Lighting Measures'!U198</f>
        <v/>
      </c>
    </row>
    <row r="197" spans="1:17" x14ac:dyDescent="0.2">
      <c r="A197" s="15" t="s">
        <v>6238</v>
      </c>
      <c r="B197" s="14">
        <f t="shared" si="4"/>
        <v>0</v>
      </c>
      <c r="C197" s="14">
        <f>'Input Prescr. Lighting Measures'!B199</f>
        <v>195</v>
      </c>
      <c r="D197" s="14" t="str">
        <f>'Input Prescr. Lighting Measures'!C199</f>
        <v/>
      </c>
      <c r="E197" s="14" t="str">
        <f>'Input Prescr. Lighting Measures'!G199</f>
        <v/>
      </c>
      <c r="F197" s="14" t="str">
        <f>IF(ISNUMBER($D197)=TRUE,'Input Prescr. Lighting Measures'!AX199,"")</f>
        <v/>
      </c>
      <c r="G197" s="14" t="str">
        <f>IF(ISNUMBER($D197)=TRUE,'Input Prescr. Lighting Measures'!V199,"")</f>
        <v/>
      </c>
      <c r="H197" s="104" t="str">
        <f>IF(ISNUMBER($D197)=TRUE,'Input Prescr. Lighting Measures'!W199,"")</f>
        <v/>
      </c>
      <c r="I197" s="45" t="str">
        <f>IFERROR(Q197*MIN(Table_Measure_Caps[[#Totals],[Estimated Raw Incentive Total]], Table_Measure_Caps[[#Totals],[Gross Measure Cost Total]], Value_Project_CAP)/Table_Measure_Caps[[#Totals],[Estimated Raw Incentive Total]], "")</f>
        <v/>
      </c>
      <c r="J197" s="45">
        <f>'Input Prescr. Lighting Measures'!R199*'Input Prescr. Lighting Measures'!M199</f>
        <v>0</v>
      </c>
      <c r="K197" s="14">
        <f>'Input Prescr. Lighting Measures'!S199</f>
        <v>0</v>
      </c>
      <c r="L197" s="15" t="e">
        <f>'Input Prescr. Lighting Measures'!AG199</f>
        <v>#N/A</v>
      </c>
      <c r="M197" s="15" t="str">
        <f>IF(ISNUMBER($D197)=TRUE,'Input Prescr. Lighting Measures'!K199,"")</f>
        <v/>
      </c>
      <c r="N197" s="15" t="str">
        <f>IF(ISNUMBER($D197)=TRUE,'Input Prescr. Lighting Measures'!N199,"")</f>
        <v/>
      </c>
      <c r="O197" s="31" t="str">
        <f t="shared" si="5"/>
        <v>Version 4.1 - 2026</v>
      </c>
      <c r="P197" s="89" t="str">
        <f>IF(ISNUMBER($D197)=TRUE,'Input Prescr. Lighting Measures'!F199,"")</f>
        <v/>
      </c>
      <c r="Q197" s="42" t="str">
        <f>'Input Prescr. Lighting Measures'!U199</f>
        <v/>
      </c>
    </row>
    <row r="198" spans="1:17" x14ac:dyDescent="0.2">
      <c r="A198" s="15" t="s">
        <v>6238</v>
      </c>
      <c r="B198" s="14">
        <f t="shared" si="4"/>
        <v>0</v>
      </c>
      <c r="C198" s="14">
        <f>'Input Prescr. Lighting Measures'!B200</f>
        <v>196</v>
      </c>
      <c r="D198" s="14" t="str">
        <f>'Input Prescr. Lighting Measures'!C200</f>
        <v/>
      </c>
      <c r="E198" s="14" t="str">
        <f>'Input Prescr. Lighting Measures'!G200</f>
        <v/>
      </c>
      <c r="F198" s="14" t="str">
        <f>IF(ISNUMBER($D198)=TRUE,'Input Prescr. Lighting Measures'!AX200,"")</f>
        <v/>
      </c>
      <c r="G198" s="14" t="str">
        <f>IF(ISNUMBER($D198)=TRUE,'Input Prescr. Lighting Measures'!V200,"")</f>
        <v/>
      </c>
      <c r="H198" s="104" t="str">
        <f>IF(ISNUMBER($D198)=TRUE,'Input Prescr. Lighting Measures'!W200,"")</f>
        <v/>
      </c>
      <c r="I198" s="45" t="str">
        <f>IFERROR(Q198*MIN(Table_Measure_Caps[[#Totals],[Estimated Raw Incentive Total]], Table_Measure_Caps[[#Totals],[Gross Measure Cost Total]], Value_Project_CAP)/Table_Measure_Caps[[#Totals],[Estimated Raw Incentive Total]], "")</f>
        <v/>
      </c>
      <c r="J198" s="45">
        <f>'Input Prescr. Lighting Measures'!R200*'Input Prescr. Lighting Measures'!M200</f>
        <v>0</v>
      </c>
      <c r="K198" s="14">
        <f>'Input Prescr. Lighting Measures'!S200</f>
        <v>0</v>
      </c>
      <c r="L198" s="15" t="e">
        <f>'Input Prescr. Lighting Measures'!AG200</f>
        <v>#N/A</v>
      </c>
      <c r="M198" s="15" t="str">
        <f>IF(ISNUMBER($D198)=TRUE,'Input Prescr. Lighting Measures'!K200,"")</f>
        <v/>
      </c>
      <c r="N198" s="15" t="str">
        <f>IF(ISNUMBER($D198)=TRUE,'Input Prescr. Lighting Measures'!N200,"")</f>
        <v/>
      </c>
      <c r="O198" s="31" t="str">
        <f t="shared" si="5"/>
        <v>Version 4.1 - 2026</v>
      </c>
      <c r="P198" s="89" t="str">
        <f>IF(ISNUMBER($D198)=TRUE,'Input Prescr. Lighting Measures'!F200,"")</f>
        <v/>
      </c>
      <c r="Q198" s="42" t="str">
        <f>'Input Prescr. Lighting Measures'!U200</f>
        <v/>
      </c>
    </row>
    <row r="199" spans="1:17" x14ac:dyDescent="0.2">
      <c r="A199" s="15" t="s">
        <v>6238</v>
      </c>
      <c r="B199" s="14">
        <f t="shared" si="4"/>
        <v>0</v>
      </c>
      <c r="C199" s="14">
        <f>'Input Prescr. Lighting Measures'!B201</f>
        <v>197</v>
      </c>
      <c r="D199" s="14" t="str">
        <f>'Input Prescr. Lighting Measures'!C201</f>
        <v/>
      </c>
      <c r="E199" s="14" t="str">
        <f>'Input Prescr. Lighting Measures'!G201</f>
        <v/>
      </c>
      <c r="F199" s="14" t="str">
        <f>IF(ISNUMBER($D199)=TRUE,'Input Prescr. Lighting Measures'!AX201,"")</f>
        <v/>
      </c>
      <c r="G199" s="14" t="str">
        <f>IF(ISNUMBER($D199)=TRUE,'Input Prescr. Lighting Measures'!V201,"")</f>
        <v/>
      </c>
      <c r="H199" s="104" t="str">
        <f>IF(ISNUMBER($D199)=TRUE,'Input Prescr. Lighting Measures'!W201,"")</f>
        <v/>
      </c>
      <c r="I199" s="45" t="str">
        <f>IFERROR(Q199*MIN(Table_Measure_Caps[[#Totals],[Estimated Raw Incentive Total]], Table_Measure_Caps[[#Totals],[Gross Measure Cost Total]], Value_Project_CAP)/Table_Measure_Caps[[#Totals],[Estimated Raw Incentive Total]], "")</f>
        <v/>
      </c>
      <c r="J199" s="45">
        <f>'Input Prescr. Lighting Measures'!R201*'Input Prescr. Lighting Measures'!M201</f>
        <v>0</v>
      </c>
      <c r="K199" s="14">
        <f>'Input Prescr. Lighting Measures'!S201</f>
        <v>0</v>
      </c>
      <c r="L199" s="15" t="e">
        <f>'Input Prescr. Lighting Measures'!AG201</f>
        <v>#N/A</v>
      </c>
      <c r="M199" s="15" t="str">
        <f>IF(ISNUMBER($D199)=TRUE,'Input Prescr. Lighting Measures'!K201,"")</f>
        <v/>
      </c>
      <c r="N199" s="15" t="str">
        <f>IF(ISNUMBER($D199)=TRUE,'Input Prescr. Lighting Measures'!N201,"")</f>
        <v/>
      </c>
      <c r="O199" s="31" t="str">
        <f t="shared" si="5"/>
        <v>Version 4.1 - 2026</v>
      </c>
      <c r="P199" s="89" t="str">
        <f>IF(ISNUMBER($D199)=TRUE,'Input Prescr. Lighting Measures'!F201,"")</f>
        <v/>
      </c>
      <c r="Q199" s="42" t="str">
        <f>'Input Prescr. Lighting Measures'!U201</f>
        <v/>
      </c>
    </row>
    <row r="200" spans="1:17" x14ac:dyDescent="0.2">
      <c r="A200" s="15" t="s">
        <v>6238</v>
      </c>
      <c r="B200" s="14">
        <f t="shared" si="4"/>
        <v>0</v>
      </c>
      <c r="C200" s="14">
        <f>'Input Prescr. Lighting Measures'!B202</f>
        <v>198</v>
      </c>
      <c r="D200" s="14" t="str">
        <f>'Input Prescr. Lighting Measures'!C202</f>
        <v/>
      </c>
      <c r="E200" s="14" t="str">
        <f>'Input Prescr. Lighting Measures'!G202</f>
        <v/>
      </c>
      <c r="F200" s="14" t="str">
        <f>IF(ISNUMBER($D200)=TRUE,'Input Prescr. Lighting Measures'!AX202,"")</f>
        <v/>
      </c>
      <c r="G200" s="14" t="str">
        <f>IF(ISNUMBER($D200)=TRUE,'Input Prescr. Lighting Measures'!V202,"")</f>
        <v/>
      </c>
      <c r="H200" s="104" t="str">
        <f>IF(ISNUMBER($D200)=TRUE,'Input Prescr. Lighting Measures'!W202,"")</f>
        <v/>
      </c>
      <c r="I200" s="45" t="str">
        <f>IFERROR(Q200*MIN(Table_Measure_Caps[[#Totals],[Estimated Raw Incentive Total]], Table_Measure_Caps[[#Totals],[Gross Measure Cost Total]], Value_Project_CAP)/Table_Measure_Caps[[#Totals],[Estimated Raw Incentive Total]], "")</f>
        <v/>
      </c>
      <c r="J200" s="45">
        <f>'Input Prescr. Lighting Measures'!R202*'Input Prescr. Lighting Measures'!M202</f>
        <v>0</v>
      </c>
      <c r="K200" s="14">
        <f>'Input Prescr. Lighting Measures'!S202</f>
        <v>0</v>
      </c>
      <c r="L200" s="15" t="e">
        <f>'Input Prescr. Lighting Measures'!AG202</f>
        <v>#N/A</v>
      </c>
      <c r="M200" s="15" t="str">
        <f>IF(ISNUMBER($D200)=TRUE,'Input Prescr. Lighting Measures'!K202,"")</f>
        <v/>
      </c>
      <c r="N200" s="15" t="str">
        <f>IF(ISNUMBER($D200)=TRUE,'Input Prescr. Lighting Measures'!N202,"")</f>
        <v/>
      </c>
      <c r="O200" s="31" t="str">
        <f t="shared" si="5"/>
        <v>Version 4.1 - 2026</v>
      </c>
      <c r="P200" s="89" t="str">
        <f>IF(ISNUMBER($D200)=TRUE,'Input Prescr. Lighting Measures'!F202,"")</f>
        <v/>
      </c>
      <c r="Q200" s="42" t="str">
        <f>'Input Prescr. Lighting Measures'!U202</f>
        <v/>
      </c>
    </row>
    <row r="201" spans="1:17" x14ac:dyDescent="0.2">
      <c r="A201" s="15" t="s">
        <v>6238</v>
      </c>
      <c r="B201" s="14">
        <f t="shared" si="4"/>
        <v>0</v>
      </c>
      <c r="C201" s="14">
        <f>'Input Prescr. Lighting Measures'!B203</f>
        <v>199</v>
      </c>
      <c r="D201" s="14" t="str">
        <f>'Input Prescr. Lighting Measures'!C203</f>
        <v/>
      </c>
      <c r="E201" s="14" t="str">
        <f>'Input Prescr. Lighting Measures'!G203</f>
        <v/>
      </c>
      <c r="F201" s="14" t="str">
        <f>IF(ISNUMBER($D201)=TRUE,'Input Prescr. Lighting Measures'!AX203,"")</f>
        <v/>
      </c>
      <c r="G201" s="14" t="str">
        <f>IF(ISNUMBER($D201)=TRUE,'Input Prescr. Lighting Measures'!V203,"")</f>
        <v/>
      </c>
      <c r="H201" s="104" t="str">
        <f>IF(ISNUMBER($D201)=TRUE,'Input Prescr. Lighting Measures'!W203,"")</f>
        <v/>
      </c>
      <c r="I201" s="45" t="str">
        <f>IFERROR(Q201*MIN(Table_Measure_Caps[[#Totals],[Estimated Raw Incentive Total]], Table_Measure_Caps[[#Totals],[Gross Measure Cost Total]], Value_Project_CAP)/Table_Measure_Caps[[#Totals],[Estimated Raw Incentive Total]], "")</f>
        <v/>
      </c>
      <c r="J201" s="45">
        <f>'Input Prescr. Lighting Measures'!R203*'Input Prescr. Lighting Measures'!M203</f>
        <v>0</v>
      </c>
      <c r="K201" s="14">
        <f>'Input Prescr. Lighting Measures'!S203</f>
        <v>0</v>
      </c>
      <c r="L201" s="15" t="e">
        <f>'Input Prescr. Lighting Measures'!AG203</f>
        <v>#N/A</v>
      </c>
      <c r="M201" s="15" t="str">
        <f>IF(ISNUMBER($D201)=TRUE,'Input Prescr. Lighting Measures'!K203,"")</f>
        <v/>
      </c>
      <c r="N201" s="15" t="str">
        <f>IF(ISNUMBER($D201)=TRUE,'Input Prescr. Lighting Measures'!N203,"")</f>
        <v/>
      </c>
      <c r="O201" s="31" t="str">
        <f t="shared" si="5"/>
        <v>Version 4.1 - 2026</v>
      </c>
      <c r="P201" s="89" t="str">
        <f>IF(ISNUMBER($D201)=TRUE,'Input Prescr. Lighting Measures'!F203,"")</f>
        <v/>
      </c>
      <c r="Q201" s="42" t="str">
        <f>'Input Prescr. Lighting Measures'!U203</f>
        <v/>
      </c>
    </row>
    <row r="202" spans="1:17" x14ac:dyDescent="0.2">
      <c r="A202" s="15" t="s">
        <v>6238</v>
      </c>
      <c r="B202" s="14">
        <f t="shared" si="4"/>
        <v>0</v>
      </c>
      <c r="C202" s="14">
        <f>'Input Prescr. Lighting Measures'!B204</f>
        <v>200</v>
      </c>
      <c r="D202" s="14" t="str">
        <f>'Input Prescr. Lighting Measures'!C204</f>
        <v/>
      </c>
      <c r="E202" s="14" t="str">
        <f>'Input Prescr. Lighting Measures'!G204</f>
        <v/>
      </c>
      <c r="F202" s="14" t="str">
        <f>IF(ISNUMBER($D202)=TRUE,'Input Prescr. Lighting Measures'!AX204,"")</f>
        <v/>
      </c>
      <c r="G202" s="14" t="str">
        <f>IF(ISNUMBER($D202)=TRUE,'Input Prescr. Lighting Measures'!V204,"")</f>
        <v/>
      </c>
      <c r="H202" s="104" t="str">
        <f>IF(ISNUMBER($D202)=TRUE,'Input Prescr. Lighting Measures'!W204,"")</f>
        <v/>
      </c>
      <c r="I202" s="45" t="str">
        <f>IFERROR(Q202*MIN(Table_Measure_Caps[[#Totals],[Estimated Raw Incentive Total]], Table_Measure_Caps[[#Totals],[Gross Measure Cost Total]], Value_Project_CAP)/Table_Measure_Caps[[#Totals],[Estimated Raw Incentive Total]], "")</f>
        <v/>
      </c>
      <c r="J202" s="45">
        <f>'Input Prescr. Lighting Measures'!R204*'Input Prescr. Lighting Measures'!M204</f>
        <v>0</v>
      </c>
      <c r="K202" s="14">
        <f>'Input Prescr. Lighting Measures'!S204</f>
        <v>0</v>
      </c>
      <c r="L202" s="15" t="e">
        <f>'Input Prescr. Lighting Measures'!AG204</f>
        <v>#N/A</v>
      </c>
      <c r="M202" s="15" t="str">
        <f>IF(ISNUMBER($D202)=TRUE,'Input Prescr. Lighting Measures'!K204,"")</f>
        <v/>
      </c>
      <c r="N202" s="15" t="str">
        <f>IF(ISNUMBER($D202)=TRUE,'Input Prescr. Lighting Measures'!N204,"")</f>
        <v/>
      </c>
      <c r="O202" s="31" t="str">
        <f t="shared" si="5"/>
        <v>Version 4.1 - 2026</v>
      </c>
      <c r="P202" s="89" t="str">
        <f>IF(ISNUMBER($D202)=TRUE,'Input Prescr. Lighting Measures'!F204,"")</f>
        <v/>
      </c>
      <c r="Q202" s="42" t="str">
        <f>'Input Prescr. Lighting Measures'!U204</f>
        <v/>
      </c>
    </row>
    <row r="203" spans="1:17" x14ac:dyDescent="0.2">
      <c r="A203" s="34" t="s">
        <v>2927</v>
      </c>
      <c r="B203" s="32">
        <f t="shared" si="0"/>
        <v>0</v>
      </c>
      <c r="C203" s="32">
        <f>'Input Custom Lighting Measures'!B5</f>
        <v>1</v>
      </c>
      <c r="D203" s="32" t="str">
        <f>'Input Custom Lighting Measures'!C5</f>
        <v/>
      </c>
      <c r="E203" s="32">
        <f>'Input Custom Lighting Measures'!J5</f>
        <v>0</v>
      </c>
      <c r="F203" s="33">
        <f>'Input Custom Lighting Measures'!P5</f>
        <v>0</v>
      </c>
      <c r="G203" s="33" t="str">
        <f>'Input Custom Lighting Measures'!Z5</f>
        <v/>
      </c>
      <c r="H203" s="105" t="str">
        <f>'Input Custom Lighting Measures'!AA5</f>
        <v/>
      </c>
      <c r="I203" s="46" t="str">
        <f>IFERROR(Q203*MIN(Table_Measure_Caps[[#Totals],[Estimated Raw Incentive Total]], Table_Measure_Caps[[#Totals],[Gross Measure Cost Total]], Value_Project_CAP)/Table_Measure_Caps[[#Totals],[Estimated Raw Incentive Total]], "")</f>
        <v/>
      </c>
      <c r="J203" s="46">
        <f>'Input Custom Lighting Measures'!W5*'Input Custom Lighting Measures'!P5</f>
        <v>0</v>
      </c>
      <c r="K203" s="32">
        <f>'Input Custom Lighting Measures'!X5</f>
        <v>0</v>
      </c>
      <c r="L203" s="95">
        <f>'Input Custom Lighting Measures'!AF5</f>
        <v>0</v>
      </c>
      <c r="M203" s="96" t="e">
        <f>'Input Custom Lighting Measures'!#REF!</f>
        <v>#REF!</v>
      </c>
      <c r="N203" s="34" t="e">
        <f>'Input Custom Lighting Measures'!#REF!</f>
        <v>#REF!</v>
      </c>
      <c r="O203" s="31" t="str">
        <f t="shared" si="5"/>
        <v>Version 4.1 - 2026</v>
      </c>
      <c r="P203" s="97" t="e">
        <f>INDEX(Table_Custom_Measure_No[Description], MATCH(Table18[[#This Row],[Measure Number]], Table_Custom_Measure_No[Custom Measure No], 0))</f>
        <v>#N/A</v>
      </c>
      <c r="Q203" s="102" t="str">
        <f>'Input Custom Lighting Measures'!Y5</f>
        <v/>
      </c>
    </row>
    <row r="204" spans="1:17" x14ac:dyDescent="0.2">
      <c r="A204" s="34" t="s">
        <v>2927</v>
      </c>
      <c r="B204" s="32">
        <f t="shared" ref="B204:B267" si="6">Input_ProjectNumber</f>
        <v>0</v>
      </c>
      <c r="C204" s="32">
        <f>'Input Custom Lighting Measures'!B6</f>
        <v>2</v>
      </c>
      <c r="D204" s="32" t="str">
        <f>'Input Custom Lighting Measures'!C6</f>
        <v/>
      </c>
      <c r="E204" s="32">
        <f>'Input Custom Lighting Measures'!J6</f>
        <v>0</v>
      </c>
      <c r="F204" s="33">
        <f>'Input Custom Lighting Measures'!P6</f>
        <v>0</v>
      </c>
      <c r="G204" s="33" t="str">
        <f>'Input Custom Lighting Measures'!Z6</f>
        <v/>
      </c>
      <c r="H204" s="105" t="str">
        <f>'Input Custom Lighting Measures'!AA6</f>
        <v/>
      </c>
      <c r="I204" s="46" t="str">
        <f>IFERROR(Q204*MIN(Table_Measure_Caps[[#Totals],[Estimated Raw Incentive Total]], Table_Measure_Caps[[#Totals],[Gross Measure Cost Total]], Value_Project_CAP)/Table_Measure_Caps[[#Totals],[Estimated Raw Incentive Total]], "")</f>
        <v/>
      </c>
      <c r="J204" s="46">
        <f>'Input Custom Lighting Measures'!W6*'Input Custom Lighting Measures'!P6</f>
        <v>0</v>
      </c>
      <c r="K204" s="32">
        <f>'Input Custom Lighting Measures'!X6</f>
        <v>0</v>
      </c>
      <c r="L204" s="95">
        <f>'Input Custom Lighting Measures'!AF6</f>
        <v>0</v>
      </c>
      <c r="M204" s="96" t="e">
        <f>'Input Custom Lighting Measures'!#REF!</f>
        <v>#REF!</v>
      </c>
      <c r="N204" s="34" t="e">
        <f>'Input Custom Lighting Measures'!#REF!</f>
        <v>#REF!</v>
      </c>
      <c r="O204" s="31" t="str">
        <f t="shared" si="5"/>
        <v>Version 4.1 - 2026</v>
      </c>
      <c r="P204" s="97" t="e">
        <f>INDEX(Table_Custom_Measure_No[Description], MATCH(Table18[[#This Row],[Measure Number]], Table_Custom_Measure_No[Custom Measure No], 0))</f>
        <v>#N/A</v>
      </c>
      <c r="Q204" s="102" t="str">
        <f>'Input Custom Lighting Measures'!Y6</f>
        <v/>
      </c>
    </row>
    <row r="205" spans="1:17" x14ac:dyDescent="0.2">
      <c r="A205" s="34" t="s">
        <v>2927</v>
      </c>
      <c r="B205" s="32">
        <f t="shared" si="6"/>
        <v>0</v>
      </c>
      <c r="C205" s="32">
        <f>'Input Custom Lighting Measures'!B7</f>
        <v>3</v>
      </c>
      <c r="D205" s="32" t="str">
        <f>'Input Custom Lighting Measures'!C7</f>
        <v/>
      </c>
      <c r="E205" s="32">
        <f>'Input Custom Lighting Measures'!J7</f>
        <v>0</v>
      </c>
      <c r="F205" s="33">
        <f>'Input Custom Lighting Measures'!P7</f>
        <v>0</v>
      </c>
      <c r="G205" s="33" t="str">
        <f>'Input Custom Lighting Measures'!Z7</f>
        <v/>
      </c>
      <c r="H205" s="105" t="str">
        <f>'Input Custom Lighting Measures'!AA7</f>
        <v/>
      </c>
      <c r="I205" s="46" t="str">
        <f>IFERROR(Q205*MIN(Table_Measure_Caps[[#Totals],[Estimated Raw Incentive Total]], Table_Measure_Caps[[#Totals],[Gross Measure Cost Total]], Value_Project_CAP)/Table_Measure_Caps[[#Totals],[Estimated Raw Incentive Total]], "")</f>
        <v/>
      </c>
      <c r="J205" s="46">
        <f>'Input Custom Lighting Measures'!W7*'Input Custom Lighting Measures'!P7</f>
        <v>0</v>
      </c>
      <c r="K205" s="32">
        <f>'Input Custom Lighting Measures'!X7</f>
        <v>0</v>
      </c>
      <c r="L205" s="95">
        <f>'Input Custom Lighting Measures'!AF7</f>
        <v>0</v>
      </c>
      <c r="M205" s="96" t="e">
        <f>'Input Custom Lighting Measures'!#REF!</f>
        <v>#REF!</v>
      </c>
      <c r="N205" s="34" t="e">
        <f>'Input Custom Lighting Measures'!#REF!</f>
        <v>#REF!</v>
      </c>
      <c r="O205" s="31" t="str">
        <f t="shared" si="5"/>
        <v>Version 4.1 - 2026</v>
      </c>
      <c r="P205" s="97" t="e">
        <f>INDEX(Table_Custom_Measure_No[Description], MATCH(Table18[[#This Row],[Measure Number]], Table_Custom_Measure_No[Custom Measure No], 0))</f>
        <v>#N/A</v>
      </c>
      <c r="Q205" s="102" t="str">
        <f>'Input Custom Lighting Measures'!Y7</f>
        <v/>
      </c>
    </row>
    <row r="206" spans="1:17" x14ac:dyDescent="0.2">
      <c r="A206" s="34" t="s">
        <v>2927</v>
      </c>
      <c r="B206" s="32">
        <f t="shared" si="6"/>
        <v>0</v>
      </c>
      <c r="C206" s="32">
        <f>'Input Custom Lighting Measures'!B8</f>
        <v>4</v>
      </c>
      <c r="D206" s="32" t="str">
        <f>'Input Custom Lighting Measures'!C8</f>
        <v/>
      </c>
      <c r="E206" s="32">
        <f>'Input Custom Lighting Measures'!J8</f>
        <v>0</v>
      </c>
      <c r="F206" s="33">
        <f>'Input Custom Lighting Measures'!P8</f>
        <v>0</v>
      </c>
      <c r="G206" s="33" t="str">
        <f>'Input Custom Lighting Measures'!Z8</f>
        <v/>
      </c>
      <c r="H206" s="105" t="str">
        <f>'Input Custom Lighting Measures'!AA8</f>
        <v/>
      </c>
      <c r="I206" s="46" t="str">
        <f>IFERROR(Q206*MIN(Table_Measure_Caps[[#Totals],[Estimated Raw Incentive Total]], Table_Measure_Caps[[#Totals],[Gross Measure Cost Total]], Value_Project_CAP)/Table_Measure_Caps[[#Totals],[Estimated Raw Incentive Total]], "")</f>
        <v/>
      </c>
      <c r="J206" s="46">
        <f>'Input Custom Lighting Measures'!W8*'Input Custom Lighting Measures'!P8</f>
        <v>0</v>
      </c>
      <c r="K206" s="32">
        <f>'Input Custom Lighting Measures'!X8</f>
        <v>0</v>
      </c>
      <c r="L206" s="95">
        <f>'Input Custom Lighting Measures'!AF8</f>
        <v>0</v>
      </c>
      <c r="M206" s="96" t="e">
        <f>'Input Custom Lighting Measures'!#REF!</f>
        <v>#REF!</v>
      </c>
      <c r="N206" s="34" t="e">
        <f>'Input Custom Lighting Measures'!#REF!</f>
        <v>#REF!</v>
      </c>
      <c r="O206" s="31" t="str">
        <f t="shared" si="5"/>
        <v>Version 4.1 - 2026</v>
      </c>
      <c r="P206" s="97" t="e">
        <f>INDEX(Table_Custom_Measure_No[Description], MATCH(Table18[[#This Row],[Measure Number]], Table_Custom_Measure_No[Custom Measure No], 0))</f>
        <v>#N/A</v>
      </c>
      <c r="Q206" s="102" t="str">
        <f>'Input Custom Lighting Measures'!Y8</f>
        <v/>
      </c>
    </row>
    <row r="207" spans="1:17" x14ac:dyDescent="0.2">
      <c r="A207" s="34" t="s">
        <v>2927</v>
      </c>
      <c r="B207" s="32">
        <f t="shared" si="6"/>
        <v>0</v>
      </c>
      <c r="C207" s="32">
        <f>'Input Custom Lighting Measures'!B9</f>
        <v>5</v>
      </c>
      <c r="D207" s="32" t="str">
        <f>'Input Custom Lighting Measures'!C9</f>
        <v/>
      </c>
      <c r="E207" s="32">
        <f>'Input Custom Lighting Measures'!J9</f>
        <v>0</v>
      </c>
      <c r="F207" s="33">
        <f>'Input Custom Lighting Measures'!P9</f>
        <v>0</v>
      </c>
      <c r="G207" s="33" t="str">
        <f>'Input Custom Lighting Measures'!Z9</f>
        <v/>
      </c>
      <c r="H207" s="105" t="str">
        <f>'Input Custom Lighting Measures'!AA9</f>
        <v/>
      </c>
      <c r="I207" s="46" t="str">
        <f>IFERROR(Q207*MIN(Table_Measure_Caps[[#Totals],[Estimated Raw Incentive Total]], Table_Measure_Caps[[#Totals],[Gross Measure Cost Total]], Value_Project_CAP)/Table_Measure_Caps[[#Totals],[Estimated Raw Incentive Total]], "")</f>
        <v/>
      </c>
      <c r="J207" s="46">
        <f>'Input Custom Lighting Measures'!W9*'Input Custom Lighting Measures'!P9</f>
        <v>0</v>
      </c>
      <c r="K207" s="32">
        <f>'Input Custom Lighting Measures'!X9</f>
        <v>0</v>
      </c>
      <c r="L207" s="95">
        <f>'Input Custom Lighting Measures'!AF9</f>
        <v>0</v>
      </c>
      <c r="M207" s="96" t="e">
        <f>'Input Custom Lighting Measures'!#REF!</f>
        <v>#REF!</v>
      </c>
      <c r="N207" s="34" t="e">
        <f>'Input Custom Lighting Measures'!#REF!</f>
        <v>#REF!</v>
      </c>
      <c r="O207" s="31" t="str">
        <f t="shared" si="5"/>
        <v>Version 4.1 - 2026</v>
      </c>
      <c r="P207" s="97" t="e">
        <f>INDEX(Table_Custom_Measure_No[Description], MATCH(Table18[[#This Row],[Measure Number]], Table_Custom_Measure_No[Custom Measure No], 0))</f>
        <v>#N/A</v>
      </c>
      <c r="Q207" s="102" t="str">
        <f>'Input Custom Lighting Measures'!Y9</f>
        <v/>
      </c>
    </row>
    <row r="208" spans="1:17" x14ac:dyDescent="0.2">
      <c r="A208" s="34" t="s">
        <v>2927</v>
      </c>
      <c r="B208" s="32">
        <f t="shared" si="6"/>
        <v>0</v>
      </c>
      <c r="C208" s="32">
        <f>'Input Custom Lighting Measures'!B10</f>
        <v>6</v>
      </c>
      <c r="D208" s="32" t="str">
        <f>'Input Custom Lighting Measures'!C10</f>
        <v/>
      </c>
      <c r="E208" s="32">
        <f>'Input Custom Lighting Measures'!J10</f>
        <v>0</v>
      </c>
      <c r="F208" s="33">
        <f>'Input Custom Lighting Measures'!P10</f>
        <v>0</v>
      </c>
      <c r="G208" s="33" t="str">
        <f>'Input Custom Lighting Measures'!Z10</f>
        <v/>
      </c>
      <c r="H208" s="105" t="str">
        <f>'Input Custom Lighting Measures'!AA10</f>
        <v/>
      </c>
      <c r="I208" s="46" t="str">
        <f>IFERROR(Q208*MIN(Table_Measure_Caps[[#Totals],[Estimated Raw Incentive Total]], Table_Measure_Caps[[#Totals],[Gross Measure Cost Total]], Value_Project_CAP)/Table_Measure_Caps[[#Totals],[Estimated Raw Incentive Total]], "")</f>
        <v/>
      </c>
      <c r="J208" s="46">
        <f>'Input Custom Lighting Measures'!W10*'Input Custom Lighting Measures'!P10</f>
        <v>0</v>
      </c>
      <c r="K208" s="32">
        <f>'Input Custom Lighting Measures'!X10</f>
        <v>0</v>
      </c>
      <c r="L208" s="95">
        <f>'Input Custom Lighting Measures'!AF10</f>
        <v>0</v>
      </c>
      <c r="M208" s="96" t="e">
        <f>'Input Custom Lighting Measures'!#REF!</f>
        <v>#REF!</v>
      </c>
      <c r="N208" s="34" t="e">
        <f>'Input Custom Lighting Measures'!#REF!</f>
        <v>#REF!</v>
      </c>
      <c r="O208" s="31" t="str">
        <f t="shared" si="5"/>
        <v>Version 4.1 - 2026</v>
      </c>
      <c r="P208" s="97" t="e">
        <f>INDEX(Table_Custom_Measure_No[Description], MATCH(Table18[[#This Row],[Measure Number]], Table_Custom_Measure_No[Custom Measure No], 0))</f>
        <v>#N/A</v>
      </c>
      <c r="Q208" s="102" t="str">
        <f>'Input Custom Lighting Measures'!Y10</f>
        <v/>
      </c>
    </row>
    <row r="209" spans="1:17" x14ac:dyDescent="0.2">
      <c r="A209" s="34" t="s">
        <v>2927</v>
      </c>
      <c r="B209" s="32">
        <f t="shared" si="6"/>
        <v>0</v>
      </c>
      <c r="C209" s="32">
        <f>'Input Custom Lighting Measures'!B11</f>
        <v>7</v>
      </c>
      <c r="D209" s="32" t="str">
        <f>'Input Custom Lighting Measures'!C11</f>
        <v/>
      </c>
      <c r="E209" s="32">
        <f>'Input Custom Lighting Measures'!J11</f>
        <v>0</v>
      </c>
      <c r="F209" s="33">
        <f>'Input Custom Lighting Measures'!P11</f>
        <v>0</v>
      </c>
      <c r="G209" s="33" t="str">
        <f>'Input Custom Lighting Measures'!Z11</f>
        <v/>
      </c>
      <c r="H209" s="105" t="str">
        <f>'Input Custom Lighting Measures'!AA11</f>
        <v/>
      </c>
      <c r="I209" s="46" t="str">
        <f>IFERROR(Q209*MIN(Table_Measure_Caps[[#Totals],[Estimated Raw Incentive Total]], Table_Measure_Caps[[#Totals],[Gross Measure Cost Total]], Value_Project_CAP)/Table_Measure_Caps[[#Totals],[Estimated Raw Incentive Total]], "")</f>
        <v/>
      </c>
      <c r="J209" s="46">
        <f>'Input Custom Lighting Measures'!W11*'Input Custom Lighting Measures'!P11</f>
        <v>0</v>
      </c>
      <c r="K209" s="32">
        <f>'Input Custom Lighting Measures'!X11</f>
        <v>0</v>
      </c>
      <c r="L209" s="95">
        <f>'Input Custom Lighting Measures'!AF11</f>
        <v>0</v>
      </c>
      <c r="M209" s="96" t="e">
        <f>'Input Custom Lighting Measures'!#REF!</f>
        <v>#REF!</v>
      </c>
      <c r="N209" s="34" t="e">
        <f>'Input Custom Lighting Measures'!#REF!</f>
        <v>#REF!</v>
      </c>
      <c r="O209" s="31" t="str">
        <f t="shared" si="5"/>
        <v>Version 4.1 - 2026</v>
      </c>
      <c r="P209" s="97" t="e">
        <f>INDEX(Table_Custom_Measure_No[Description], MATCH(Table18[[#This Row],[Measure Number]], Table_Custom_Measure_No[Custom Measure No], 0))</f>
        <v>#N/A</v>
      </c>
      <c r="Q209" s="102" t="str">
        <f>'Input Custom Lighting Measures'!Y11</f>
        <v/>
      </c>
    </row>
    <row r="210" spans="1:17" x14ac:dyDescent="0.2">
      <c r="A210" s="34" t="s">
        <v>2927</v>
      </c>
      <c r="B210" s="32">
        <f t="shared" si="6"/>
        <v>0</v>
      </c>
      <c r="C210" s="32">
        <f>'Input Custom Lighting Measures'!B12</f>
        <v>8</v>
      </c>
      <c r="D210" s="32" t="str">
        <f>'Input Custom Lighting Measures'!C12</f>
        <v/>
      </c>
      <c r="E210" s="32">
        <f>'Input Custom Lighting Measures'!J12</f>
        <v>0</v>
      </c>
      <c r="F210" s="33">
        <f>'Input Custom Lighting Measures'!P12</f>
        <v>0</v>
      </c>
      <c r="G210" s="33" t="str">
        <f>'Input Custom Lighting Measures'!Z12</f>
        <v/>
      </c>
      <c r="H210" s="105" t="str">
        <f>'Input Custom Lighting Measures'!AA12</f>
        <v/>
      </c>
      <c r="I210" s="46" t="str">
        <f>IFERROR(Q210*MIN(Table_Measure_Caps[[#Totals],[Estimated Raw Incentive Total]], Table_Measure_Caps[[#Totals],[Gross Measure Cost Total]], Value_Project_CAP)/Table_Measure_Caps[[#Totals],[Estimated Raw Incentive Total]], "")</f>
        <v/>
      </c>
      <c r="J210" s="46">
        <f>'Input Custom Lighting Measures'!W12*'Input Custom Lighting Measures'!P12</f>
        <v>0</v>
      </c>
      <c r="K210" s="32">
        <f>'Input Custom Lighting Measures'!X12</f>
        <v>0</v>
      </c>
      <c r="L210" s="95">
        <f>'Input Custom Lighting Measures'!AF12</f>
        <v>0</v>
      </c>
      <c r="M210" s="96" t="e">
        <f>'Input Custom Lighting Measures'!#REF!</f>
        <v>#REF!</v>
      </c>
      <c r="N210" s="34" t="e">
        <f>'Input Custom Lighting Measures'!#REF!</f>
        <v>#REF!</v>
      </c>
      <c r="O210" s="31" t="str">
        <f t="shared" si="5"/>
        <v>Version 4.1 - 2026</v>
      </c>
      <c r="P210" s="97" t="e">
        <f>INDEX(Table_Custom_Measure_No[Description], MATCH(Table18[[#This Row],[Measure Number]], Table_Custom_Measure_No[Custom Measure No], 0))</f>
        <v>#N/A</v>
      </c>
      <c r="Q210" s="102" t="str">
        <f>'Input Custom Lighting Measures'!Y12</f>
        <v/>
      </c>
    </row>
    <row r="211" spans="1:17" x14ac:dyDescent="0.2">
      <c r="A211" s="34" t="s">
        <v>2927</v>
      </c>
      <c r="B211" s="32">
        <f t="shared" si="6"/>
        <v>0</v>
      </c>
      <c r="C211" s="32">
        <f>'Input Custom Lighting Measures'!B13</f>
        <v>9</v>
      </c>
      <c r="D211" s="32" t="str">
        <f>'Input Custom Lighting Measures'!C13</f>
        <v/>
      </c>
      <c r="E211" s="32">
        <f>'Input Custom Lighting Measures'!J13</f>
        <v>0</v>
      </c>
      <c r="F211" s="33">
        <f>'Input Custom Lighting Measures'!P13</f>
        <v>0</v>
      </c>
      <c r="G211" s="33" t="str">
        <f>'Input Custom Lighting Measures'!Z13</f>
        <v/>
      </c>
      <c r="H211" s="105" t="str">
        <f>'Input Custom Lighting Measures'!AA13</f>
        <v/>
      </c>
      <c r="I211" s="46" t="str">
        <f>IFERROR(Q211*MIN(Table_Measure_Caps[[#Totals],[Estimated Raw Incentive Total]], Table_Measure_Caps[[#Totals],[Gross Measure Cost Total]], Value_Project_CAP)/Table_Measure_Caps[[#Totals],[Estimated Raw Incentive Total]], "")</f>
        <v/>
      </c>
      <c r="J211" s="46">
        <f>'Input Custom Lighting Measures'!W13*'Input Custom Lighting Measures'!P13</f>
        <v>0</v>
      </c>
      <c r="K211" s="32">
        <f>'Input Custom Lighting Measures'!X13</f>
        <v>0</v>
      </c>
      <c r="L211" s="95">
        <f>'Input Custom Lighting Measures'!AF13</f>
        <v>0</v>
      </c>
      <c r="M211" s="96" t="e">
        <f>'Input Custom Lighting Measures'!#REF!</f>
        <v>#REF!</v>
      </c>
      <c r="N211" s="34" t="e">
        <f>'Input Custom Lighting Measures'!#REF!</f>
        <v>#REF!</v>
      </c>
      <c r="O211" s="31" t="str">
        <f t="shared" si="5"/>
        <v>Version 4.1 - 2026</v>
      </c>
      <c r="P211" s="97" t="e">
        <f>INDEX(Table_Custom_Measure_No[Description], MATCH(Table18[[#This Row],[Measure Number]], Table_Custom_Measure_No[Custom Measure No], 0))</f>
        <v>#N/A</v>
      </c>
      <c r="Q211" s="102" t="str">
        <f>'Input Custom Lighting Measures'!Y13</f>
        <v/>
      </c>
    </row>
    <row r="212" spans="1:17" x14ac:dyDescent="0.2">
      <c r="A212" s="34" t="s">
        <v>2927</v>
      </c>
      <c r="B212" s="32">
        <f t="shared" si="6"/>
        <v>0</v>
      </c>
      <c r="C212" s="32">
        <f>'Input Custom Lighting Measures'!B14</f>
        <v>10</v>
      </c>
      <c r="D212" s="32" t="str">
        <f>'Input Custom Lighting Measures'!C14</f>
        <v/>
      </c>
      <c r="E212" s="32">
        <f>'Input Custom Lighting Measures'!J14</f>
        <v>0</v>
      </c>
      <c r="F212" s="33">
        <f>'Input Custom Lighting Measures'!P14</f>
        <v>0</v>
      </c>
      <c r="G212" s="33" t="str">
        <f>'Input Custom Lighting Measures'!Z14</f>
        <v/>
      </c>
      <c r="H212" s="105" t="str">
        <f>'Input Custom Lighting Measures'!AA14</f>
        <v/>
      </c>
      <c r="I212" s="46" t="str">
        <f>IFERROR(Q212*MIN(Table_Measure_Caps[[#Totals],[Estimated Raw Incentive Total]], Table_Measure_Caps[[#Totals],[Gross Measure Cost Total]], Value_Project_CAP)/Table_Measure_Caps[[#Totals],[Estimated Raw Incentive Total]], "")</f>
        <v/>
      </c>
      <c r="J212" s="46">
        <f>'Input Custom Lighting Measures'!W14*'Input Custom Lighting Measures'!P14</f>
        <v>0</v>
      </c>
      <c r="K212" s="32">
        <f>'Input Custom Lighting Measures'!X14</f>
        <v>0</v>
      </c>
      <c r="L212" s="95">
        <f>'Input Custom Lighting Measures'!AF14</f>
        <v>0</v>
      </c>
      <c r="M212" s="96" t="e">
        <f>'Input Custom Lighting Measures'!#REF!</f>
        <v>#REF!</v>
      </c>
      <c r="N212" s="34" t="e">
        <f>'Input Custom Lighting Measures'!#REF!</f>
        <v>#REF!</v>
      </c>
      <c r="O212" s="31" t="str">
        <f t="shared" si="5"/>
        <v>Version 4.1 - 2026</v>
      </c>
      <c r="P212" s="97" t="e">
        <f>INDEX(Table_Custom_Measure_No[Description], MATCH(Table18[[#This Row],[Measure Number]], Table_Custom_Measure_No[Custom Measure No], 0))</f>
        <v>#N/A</v>
      </c>
      <c r="Q212" s="102" t="str">
        <f>'Input Custom Lighting Measures'!Y14</f>
        <v/>
      </c>
    </row>
    <row r="213" spans="1:17" x14ac:dyDescent="0.2">
      <c r="A213" s="34" t="s">
        <v>2927</v>
      </c>
      <c r="B213" s="32">
        <f t="shared" si="6"/>
        <v>0</v>
      </c>
      <c r="C213" s="32">
        <f>'Input Custom Lighting Measures'!B15</f>
        <v>11</v>
      </c>
      <c r="D213" s="32" t="str">
        <f>'Input Custom Lighting Measures'!C15</f>
        <v/>
      </c>
      <c r="E213" s="32">
        <f>'Input Custom Lighting Measures'!J15</f>
        <v>0</v>
      </c>
      <c r="F213" s="33">
        <f>'Input Custom Lighting Measures'!P15</f>
        <v>0</v>
      </c>
      <c r="G213" s="33" t="str">
        <f>'Input Custom Lighting Measures'!Z15</f>
        <v/>
      </c>
      <c r="H213" s="105" t="str">
        <f>'Input Custom Lighting Measures'!AA15</f>
        <v/>
      </c>
      <c r="I213" s="46" t="str">
        <f>IFERROR(Q213*MIN(Table_Measure_Caps[[#Totals],[Estimated Raw Incentive Total]], Table_Measure_Caps[[#Totals],[Gross Measure Cost Total]], Value_Project_CAP)/Table_Measure_Caps[[#Totals],[Estimated Raw Incentive Total]], "")</f>
        <v/>
      </c>
      <c r="J213" s="46">
        <f>'Input Custom Lighting Measures'!W15*'Input Custom Lighting Measures'!P15</f>
        <v>0</v>
      </c>
      <c r="K213" s="32">
        <f>'Input Custom Lighting Measures'!X15</f>
        <v>0</v>
      </c>
      <c r="L213" s="95">
        <f>'Input Custom Lighting Measures'!AF15</f>
        <v>0</v>
      </c>
      <c r="M213" s="96" t="e">
        <f>'Input Custom Lighting Measures'!#REF!</f>
        <v>#REF!</v>
      </c>
      <c r="N213" s="34" t="e">
        <f>'Input Custom Lighting Measures'!#REF!</f>
        <v>#REF!</v>
      </c>
      <c r="O213" s="31" t="str">
        <f t="shared" si="5"/>
        <v>Version 4.1 - 2026</v>
      </c>
      <c r="P213" s="97" t="e">
        <f>INDEX(Table_Custom_Measure_No[Description], MATCH(Table18[[#This Row],[Measure Number]], Table_Custom_Measure_No[Custom Measure No], 0))</f>
        <v>#N/A</v>
      </c>
      <c r="Q213" s="102" t="str">
        <f>'Input Custom Lighting Measures'!Y15</f>
        <v/>
      </c>
    </row>
    <row r="214" spans="1:17" x14ac:dyDescent="0.2">
      <c r="A214" s="34" t="s">
        <v>2927</v>
      </c>
      <c r="B214" s="32">
        <f t="shared" si="6"/>
        <v>0</v>
      </c>
      <c r="C214" s="32">
        <f>'Input Custom Lighting Measures'!B16</f>
        <v>12</v>
      </c>
      <c r="D214" s="32" t="str">
        <f>'Input Custom Lighting Measures'!C16</f>
        <v/>
      </c>
      <c r="E214" s="32">
        <f>'Input Custom Lighting Measures'!J16</f>
        <v>0</v>
      </c>
      <c r="F214" s="33">
        <f>'Input Custom Lighting Measures'!P16</f>
        <v>0</v>
      </c>
      <c r="G214" s="33" t="str">
        <f>'Input Custom Lighting Measures'!Z16</f>
        <v/>
      </c>
      <c r="H214" s="105" t="str">
        <f>'Input Custom Lighting Measures'!AA16</f>
        <v/>
      </c>
      <c r="I214" s="46" t="str">
        <f>IFERROR(Q214*MIN(Table_Measure_Caps[[#Totals],[Estimated Raw Incentive Total]], Table_Measure_Caps[[#Totals],[Gross Measure Cost Total]], Value_Project_CAP)/Table_Measure_Caps[[#Totals],[Estimated Raw Incentive Total]], "")</f>
        <v/>
      </c>
      <c r="J214" s="46">
        <f>'Input Custom Lighting Measures'!W16*'Input Custom Lighting Measures'!P16</f>
        <v>0</v>
      </c>
      <c r="K214" s="32">
        <f>'Input Custom Lighting Measures'!X16</f>
        <v>0</v>
      </c>
      <c r="L214" s="95">
        <f>'Input Custom Lighting Measures'!AF16</f>
        <v>0</v>
      </c>
      <c r="M214" s="96" t="e">
        <f>'Input Custom Lighting Measures'!#REF!</f>
        <v>#REF!</v>
      </c>
      <c r="N214" s="34" t="e">
        <f>'Input Custom Lighting Measures'!#REF!</f>
        <v>#REF!</v>
      </c>
      <c r="O214" s="31" t="str">
        <f t="shared" si="5"/>
        <v>Version 4.1 - 2026</v>
      </c>
      <c r="P214" s="97" t="e">
        <f>INDEX(Table_Custom_Measure_No[Description], MATCH(Table18[[#This Row],[Measure Number]], Table_Custom_Measure_No[Custom Measure No], 0))</f>
        <v>#N/A</v>
      </c>
      <c r="Q214" s="102" t="str">
        <f>'Input Custom Lighting Measures'!Y16</f>
        <v/>
      </c>
    </row>
    <row r="215" spans="1:17" x14ac:dyDescent="0.2">
      <c r="A215" s="34" t="s">
        <v>2927</v>
      </c>
      <c r="B215" s="32">
        <f t="shared" si="6"/>
        <v>0</v>
      </c>
      <c r="C215" s="32">
        <f>'Input Custom Lighting Measures'!B17</f>
        <v>13</v>
      </c>
      <c r="D215" s="32" t="str">
        <f>'Input Custom Lighting Measures'!C17</f>
        <v/>
      </c>
      <c r="E215" s="32">
        <f>'Input Custom Lighting Measures'!J17</f>
        <v>0</v>
      </c>
      <c r="F215" s="33">
        <f>'Input Custom Lighting Measures'!P17</f>
        <v>0</v>
      </c>
      <c r="G215" s="33" t="str">
        <f>'Input Custom Lighting Measures'!Z17</f>
        <v/>
      </c>
      <c r="H215" s="105" t="str">
        <f>'Input Custom Lighting Measures'!AA17</f>
        <v/>
      </c>
      <c r="I215" s="46" t="str">
        <f>IFERROR(Q215*MIN(Table_Measure_Caps[[#Totals],[Estimated Raw Incentive Total]], Table_Measure_Caps[[#Totals],[Gross Measure Cost Total]], Value_Project_CAP)/Table_Measure_Caps[[#Totals],[Estimated Raw Incentive Total]], "")</f>
        <v/>
      </c>
      <c r="J215" s="46">
        <f>'Input Custom Lighting Measures'!W17*'Input Custom Lighting Measures'!P17</f>
        <v>0</v>
      </c>
      <c r="K215" s="32">
        <f>'Input Custom Lighting Measures'!X17</f>
        <v>0</v>
      </c>
      <c r="L215" s="95">
        <f>'Input Custom Lighting Measures'!AF17</f>
        <v>0</v>
      </c>
      <c r="M215" s="96" t="e">
        <f>'Input Custom Lighting Measures'!#REF!</f>
        <v>#REF!</v>
      </c>
      <c r="N215" s="34" t="e">
        <f>'Input Custom Lighting Measures'!#REF!</f>
        <v>#REF!</v>
      </c>
      <c r="O215" s="31" t="str">
        <f t="shared" si="5"/>
        <v>Version 4.1 - 2026</v>
      </c>
      <c r="P215" s="97" t="e">
        <f>INDEX(Table_Custom_Measure_No[Description], MATCH(Table18[[#This Row],[Measure Number]], Table_Custom_Measure_No[Custom Measure No], 0))</f>
        <v>#N/A</v>
      </c>
      <c r="Q215" s="102" t="str">
        <f>'Input Custom Lighting Measures'!Y17</f>
        <v/>
      </c>
    </row>
    <row r="216" spans="1:17" x14ac:dyDescent="0.2">
      <c r="A216" s="34" t="s">
        <v>2927</v>
      </c>
      <c r="B216" s="32">
        <f t="shared" si="6"/>
        <v>0</v>
      </c>
      <c r="C216" s="32">
        <f>'Input Custom Lighting Measures'!B18</f>
        <v>14</v>
      </c>
      <c r="D216" s="32" t="str">
        <f>'Input Custom Lighting Measures'!C18</f>
        <v/>
      </c>
      <c r="E216" s="32">
        <f>'Input Custom Lighting Measures'!J18</f>
        <v>0</v>
      </c>
      <c r="F216" s="33">
        <f>'Input Custom Lighting Measures'!P18</f>
        <v>0</v>
      </c>
      <c r="G216" s="33" t="str">
        <f>'Input Custom Lighting Measures'!Z18</f>
        <v/>
      </c>
      <c r="H216" s="105" t="str">
        <f>'Input Custom Lighting Measures'!AA18</f>
        <v/>
      </c>
      <c r="I216" s="46" t="str">
        <f>IFERROR(Q216*MIN(Table_Measure_Caps[[#Totals],[Estimated Raw Incentive Total]], Table_Measure_Caps[[#Totals],[Gross Measure Cost Total]], Value_Project_CAP)/Table_Measure_Caps[[#Totals],[Estimated Raw Incentive Total]], "")</f>
        <v/>
      </c>
      <c r="J216" s="46">
        <f>'Input Custom Lighting Measures'!W18*'Input Custom Lighting Measures'!P18</f>
        <v>0</v>
      </c>
      <c r="K216" s="32">
        <f>'Input Custom Lighting Measures'!X18</f>
        <v>0</v>
      </c>
      <c r="L216" s="95">
        <f>'Input Custom Lighting Measures'!AF18</f>
        <v>0</v>
      </c>
      <c r="M216" s="96" t="e">
        <f>'Input Custom Lighting Measures'!#REF!</f>
        <v>#REF!</v>
      </c>
      <c r="N216" s="34" t="e">
        <f>'Input Custom Lighting Measures'!#REF!</f>
        <v>#REF!</v>
      </c>
      <c r="O216" s="31" t="str">
        <f t="shared" si="5"/>
        <v>Version 4.1 - 2026</v>
      </c>
      <c r="P216" s="97" t="e">
        <f>INDEX(Table_Custom_Measure_No[Description], MATCH(Table18[[#This Row],[Measure Number]], Table_Custom_Measure_No[Custom Measure No], 0))</f>
        <v>#N/A</v>
      </c>
      <c r="Q216" s="102" t="str">
        <f>'Input Custom Lighting Measures'!Y18</f>
        <v/>
      </c>
    </row>
    <row r="217" spans="1:17" x14ac:dyDescent="0.2">
      <c r="A217" s="34" t="s">
        <v>2927</v>
      </c>
      <c r="B217" s="32">
        <f t="shared" si="6"/>
        <v>0</v>
      </c>
      <c r="C217" s="32">
        <f>'Input Custom Lighting Measures'!B19</f>
        <v>15</v>
      </c>
      <c r="D217" s="32" t="str">
        <f>'Input Custom Lighting Measures'!C19</f>
        <v/>
      </c>
      <c r="E217" s="32">
        <f>'Input Custom Lighting Measures'!J19</f>
        <v>0</v>
      </c>
      <c r="F217" s="33">
        <f>'Input Custom Lighting Measures'!P19</f>
        <v>0</v>
      </c>
      <c r="G217" s="33" t="str">
        <f>'Input Custom Lighting Measures'!Z19</f>
        <v/>
      </c>
      <c r="H217" s="105" t="str">
        <f>'Input Custom Lighting Measures'!AA19</f>
        <v/>
      </c>
      <c r="I217" s="46" t="str">
        <f>IFERROR(Q217*MIN(Table_Measure_Caps[[#Totals],[Estimated Raw Incentive Total]], Table_Measure_Caps[[#Totals],[Gross Measure Cost Total]], Value_Project_CAP)/Table_Measure_Caps[[#Totals],[Estimated Raw Incentive Total]], "")</f>
        <v/>
      </c>
      <c r="J217" s="46">
        <f>'Input Custom Lighting Measures'!W19*'Input Custom Lighting Measures'!P19</f>
        <v>0</v>
      </c>
      <c r="K217" s="32">
        <f>'Input Custom Lighting Measures'!X19</f>
        <v>0</v>
      </c>
      <c r="L217" s="95">
        <f>'Input Custom Lighting Measures'!AF19</f>
        <v>0</v>
      </c>
      <c r="M217" s="96" t="e">
        <f>'Input Custom Lighting Measures'!#REF!</f>
        <v>#REF!</v>
      </c>
      <c r="N217" s="34" t="e">
        <f>'Input Custom Lighting Measures'!#REF!</f>
        <v>#REF!</v>
      </c>
      <c r="O217" s="31" t="str">
        <f t="shared" si="5"/>
        <v>Version 4.1 - 2026</v>
      </c>
      <c r="P217" s="97" t="e">
        <f>INDEX(Table_Custom_Measure_No[Description], MATCH(Table18[[#This Row],[Measure Number]], Table_Custom_Measure_No[Custom Measure No], 0))</f>
        <v>#N/A</v>
      </c>
      <c r="Q217" s="102" t="str">
        <f>'Input Custom Lighting Measures'!Y19</f>
        <v/>
      </c>
    </row>
    <row r="218" spans="1:17" x14ac:dyDescent="0.2">
      <c r="A218" s="34" t="s">
        <v>2927</v>
      </c>
      <c r="B218" s="32">
        <f t="shared" si="6"/>
        <v>0</v>
      </c>
      <c r="C218" s="32">
        <f>'Input Custom Lighting Measures'!B20</f>
        <v>16</v>
      </c>
      <c r="D218" s="32" t="str">
        <f>'Input Custom Lighting Measures'!C20</f>
        <v/>
      </c>
      <c r="E218" s="32">
        <f>'Input Custom Lighting Measures'!J20</f>
        <v>0</v>
      </c>
      <c r="F218" s="33">
        <f>'Input Custom Lighting Measures'!P20</f>
        <v>0</v>
      </c>
      <c r="G218" s="33" t="str">
        <f>'Input Custom Lighting Measures'!Z20</f>
        <v/>
      </c>
      <c r="H218" s="105" t="str">
        <f>'Input Custom Lighting Measures'!AA20</f>
        <v/>
      </c>
      <c r="I218" s="46" t="str">
        <f>IFERROR(Q218*MIN(Table_Measure_Caps[[#Totals],[Estimated Raw Incentive Total]], Table_Measure_Caps[[#Totals],[Gross Measure Cost Total]], Value_Project_CAP)/Table_Measure_Caps[[#Totals],[Estimated Raw Incentive Total]], "")</f>
        <v/>
      </c>
      <c r="J218" s="46">
        <f>'Input Custom Lighting Measures'!W20*'Input Custom Lighting Measures'!P20</f>
        <v>0</v>
      </c>
      <c r="K218" s="32">
        <f>'Input Custom Lighting Measures'!X20</f>
        <v>0</v>
      </c>
      <c r="L218" s="95">
        <f>'Input Custom Lighting Measures'!AF20</f>
        <v>0</v>
      </c>
      <c r="M218" s="96" t="e">
        <f>'Input Custom Lighting Measures'!#REF!</f>
        <v>#REF!</v>
      </c>
      <c r="N218" s="34" t="e">
        <f>'Input Custom Lighting Measures'!#REF!</f>
        <v>#REF!</v>
      </c>
      <c r="O218" s="31" t="str">
        <f t="shared" si="5"/>
        <v>Version 4.1 - 2026</v>
      </c>
      <c r="P218" s="97" t="e">
        <f>INDEX(Table_Custom_Measure_No[Description], MATCH(Table18[[#This Row],[Measure Number]], Table_Custom_Measure_No[Custom Measure No], 0))</f>
        <v>#N/A</v>
      </c>
      <c r="Q218" s="102" t="str">
        <f>'Input Custom Lighting Measures'!Y20</f>
        <v/>
      </c>
    </row>
    <row r="219" spans="1:17" x14ac:dyDescent="0.2">
      <c r="A219" s="34" t="s">
        <v>2927</v>
      </c>
      <c r="B219" s="32">
        <f t="shared" si="6"/>
        <v>0</v>
      </c>
      <c r="C219" s="32">
        <f>'Input Custom Lighting Measures'!B21</f>
        <v>17</v>
      </c>
      <c r="D219" s="32" t="str">
        <f>'Input Custom Lighting Measures'!C21</f>
        <v/>
      </c>
      <c r="E219" s="32">
        <f>'Input Custom Lighting Measures'!J21</f>
        <v>0</v>
      </c>
      <c r="F219" s="33">
        <f>'Input Custom Lighting Measures'!P21</f>
        <v>0</v>
      </c>
      <c r="G219" s="33" t="str">
        <f>'Input Custom Lighting Measures'!Z21</f>
        <v/>
      </c>
      <c r="H219" s="105" t="str">
        <f>'Input Custom Lighting Measures'!AA21</f>
        <v/>
      </c>
      <c r="I219" s="46" t="str">
        <f>IFERROR(Q219*MIN(Table_Measure_Caps[[#Totals],[Estimated Raw Incentive Total]], Table_Measure_Caps[[#Totals],[Gross Measure Cost Total]], Value_Project_CAP)/Table_Measure_Caps[[#Totals],[Estimated Raw Incentive Total]], "")</f>
        <v/>
      </c>
      <c r="J219" s="46">
        <f>'Input Custom Lighting Measures'!W21*'Input Custom Lighting Measures'!P21</f>
        <v>0</v>
      </c>
      <c r="K219" s="32">
        <f>'Input Custom Lighting Measures'!X21</f>
        <v>0</v>
      </c>
      <c r="L219" s="95">
        <f>'Input Custom Lighting Measures'!AF21</f>
        <v>0</v>
      </c>
      <c r="M219" s="96" t="e">
        <f>'Input Custom Lighting Measures'!#REF!</f>
        <v>#REF!</v>
      </c>
      <c r="N219" s="34" t="e">
        <f>'Input Custom Lighting Measures'!#REF!</f>
        <v>#REF!</v>
      </c>
      <c r="O219" s="31" t="str">
        <f t="shared" si="5"/>
        <v>Version 4.1 - 2026</v>
      </c>
      <c r="P219" s="97" t="e">
        <f>INDEX(Table_Custom_Measure_No[Description], MATCH(Table18[[#This Row],[Measure Number]], Table_Custom_Measure_No[Custom Measure No], 0))</f>
        <v>#N/A</v>
      </c>
      <c r="Q219" s="102" t="str">
        <f>'Input Custom Lighting Measures'!Y21</f>
        <v/>
      </c>
    </row>
    <row r="220" spans="1:17" x14ac:dyDescent="0.2">
      <c r="A220" s="34" t="s">
        <v>2927</v>
      </c>
      <c r="B220" s="32">
        <f t="shared" si="6"/>
        <v>0</v>
      </c>
      <c r="C220" s="32">
        <f>'Input Custom Lighting Measures'!B22</f>
        <v>18</v>
      </c>
      <c r="D220" s="32" t="str">
        <f>'Input Custom Lighting Measures'!C22</f>
        <v/>
      </c>
      <c r="E220" s="32">
        <f>'Input Custom Lighting Measures'!J22</f>
        <v>0</v>
      </c>
      <c r="F220" s="33">
        <f>'Input Custom Lighting Measures'!P22</f>
        <v>0</v>
      </c>
      <c r="G220" s="33" t="str">
        <f>'Input Custom Lighting Measures'!Z22</f>
        <v/>
      </c>
      <c r="H220" s="105" t="str">
        <f>'Input Custom Lighting Measures'!AA22</f>
        <v/>
      </c>
      <c r="I220" s="46" t="str">
        <f>IFERROR(Q220*MIN(Table_Measure_Caps[[#Totals],[Estimated Raw Incentive Total]], Table_Measure_Caps[[#Totals],[Gross Measure Cost Total]], Value_Project_CAP)/Table_Measure_Caps[[#Totals],[Estimated Raw Incentive Total]], "")</f>
        <v/>
      </c>
      <c r="J220" s="46">
        <f>'Input Custom Lighting Measures'!W22*'Input Custom Lighting Measures'!P22</f>
        <v>0</v>
      </c>
      <c r="K220" s="32">
        <f>'Input Custom Lighting Measures'!X22</f>
        <v>0</v>
      </c>
      <c r="L220" s="95">
        <f>'Input Custom Lighting Measures'!AF22</f>
        <v>0</v>
      </c>
      <c r="M220" s="96" t="e">
        <f>'Input Custom Lighting Measures'!#REF!</f>
        <v>#REF!</v>
      </c>
      <c r="N220" s="34" t="e">
        <f>'Input Custom Lighting Measures'!#REF!</f>
        <v>#REF!</v>
      </c>
      <c r="O220" s="31" t="str">
        <f t="shared" si="5"/>
        <v>Version 4.1 - 2026</v>
      </c>
      <c r="P220" s="97" t="e">
        <f>INDEX(Table_Custom_Measure_No[Description], MATCH(Table18[[#This Row],[Measure Number]], Table_Custom_Measure_No[Custom Measure No], 0))</f>
        <v>#N/A</v>
      </c>
      <c r="Q220" s="102" t="str">
        <f>'Input Custom Lighting Measures'!Y22</f>
        <v/>
      </c>
    </row>
    <row r="221" spans="1:17" x14ac:dyDescent="0.2">
      <c r="A221" s="34" t="s">
        <v>2927</v>
      </c>
      <c r="B221" s="32">
        <f t="shared" si="6"/>
        <v>0</v>
      </c>
      <c r="C221" s="32">
        <f>'Input Custom Lighting Measures'!B23</f>
        <v>19</v>
      </c>
      <c r="D221" s="32" t="str">
        <f>'Input Custom Lighting Measures'!C23</f>
        <v/>
      </c>
      <c r="E221" s="32">
        <f>'Input Custom Lighting Measures'!J23</f>
        <v>0</v>
      </c>
      <c r="F221" s="33">
        <f>'Input Custom Lighting Measures'!P23</f>
        <v>0</v>
      </c>
      <c r="G221" s="33" t="str">
        <f>'Input Custom Lighting Measures'!Z23</f>
        <v/>
      </c>
      <c r="H221" s="105" t="str">
        <f>'Input Custom Lighting Measures'!AA23</f>
        <v/>
      </c>
      <c r="I221" s="46" t="str">
        <f>IFERROR(Q221*MIN(Table_Measure_Caps[[#Totals],[Estimated Raw Incentive Total]], Table_Measure_Caps[[#Totals],[Gross Measure Cost Total]], Value_Project_CAP)/Table_Measure_Caps[[#Totals],[Estimated Raw Incentive Total]], "")</f>
        <v/>
      </c>
      <c r="J221" s="46">
        <f>'Input Custom Lighting Measures'!W23*'Input Custom Lighting Measures'!P23</f>
        <v>0</v>
      </c>
      <c r="K221" s="32">
        <f>'Input Custom Lighting Measures'!X23</f>
        <v>0</v>
      </c>
      <c r="L221" s="95">
        <f>'Input Custom Lighting Measures'!AF23</f>
        <v>0</v>
      </c>
      <c r="M221" s="96" t="e">
        <f>'Input Custom Lighting Measures'!#REF!</f>
        <v>#REF!</v>
      </c>
      <c r="N221" s="34" t="e">
        <f>'Input Custom Lighting Measures'!#REF!</f>
        <v>#REF!</v>
      </c>
      <c r="O221" s="31" t="str">
        <f t="shared" si="5"/>
        <v>Version 4.1 - 2026</v>
      </c>
      <c r="P221" s="97" t="e">
        <f>INDEX(Table_Custom_Measure_No[Description], MATCH(Table18[[#This Row],[Measure Number]], Table_Custom_Measure_No[Custom Measure No], 0))</f>
        <v>#N/A</v>
      </c>
      <c r="Q221" s="102" t="str">
        <f>'Input Custom Lighting Measures'!Y23</f>
        <v/>
      </c>
    </row>
    <row r="222" spans="1:17" x14ac:dyDescent="0.2">
      <c r="A222" s="34" t="s">
        <v>2927</v>
      </c>
      <c r="B222" s="32">
        <f t="shared" si="6"/>
        <v>0</v>
      </c>
      <c r="C222" s="32">
        <f>'Input Custom Lighting Measures'!B24</f>
        <v>20</v>
      </c>
      <c r="D222" s="32" t="str">
        <f>'Input Custom Lighting Measures'!C24</f>
        <v/>
      </c>
      <c r="E222" s="32">
        <f>'Input Custom Lighting Measures'!J24</f>
        <v>0</v>
      </c>
      <c r="F222" s="33">
        <f>'Input Custom Lighting Measures'!P24</f>
        <v>0</v>
      </c>
      <c r="G222" s="33" t="str">
        <f>'Input Custom Lighting Measures'!Z24</f>
        <v/>
      </c>
      <c r="H222" s="105" t="str">
        <f>'Input Custom Lighting Measures'!AA24</f>
        <v/>
      </c>
      <c r="I222" s="46" t="str">
        <f>IFERROR(Q222*MIN(Table_Measure_Caps[[#Totals],[Estimated Raw Incentive Total]], Table_Measure_Caps[[#Totals],[Gross Measure Cost Total]], Value_Project_CAP)/Table_Measure_Caps[[#Totals],[Estimated Raw Incentive Total]], "")</f>
        <v/>
      </c>
      <c r="J222" s="46">
        <f>'Input Custom Lighting Measures'!W24*'Input Custom Lighting Measures'!P24</f>
        <v>0</v>
      </c>
      <c r="K222" s="32">
        <f>'Input Custom Lighting Measures'!X24</f>
        <v>0</v>
      </c>
      <c r="L222" s="95">
        <f>'Input Custom Lighting Measures'!AF24</f>
        <v>0</v>
      </c>
      <c r="M222" s="96" t="e">
        <f>'Input Custom Lighting Measures'!#REF!</f>
        <v>#REF!</v>
      </c>
      <c r="N222" s="34" t="e">
        <f>'Input Custom Lighting Measures'!#REF!</f>
        <v>#REF!</v>
      </c>
      <c r="O222" s="31" t="str">
        <f t="shared" si="5"/>
        <v>Version 4.1 - 2026</v>
      </c>
      <c r="P222" s="97" t="e">
        <f>INDEX(Table_Custom_Measure_No[Description], MATCH(Table18[[#This Row],[Measure Number]], Table_Custom_Measure_No[Custom Measure No], 0))</f>
        <v>#N/A</v>
      </c>
      <c r="Q222" s="102" t="str">
        <f>'Input Custom Lighting Measures'!Y24</f>
        <v/>
      </c>
    </row>
    <row r="223" spans="1:17" x14ac:dyDescent="0.2">
      <c r="A223" s="34" t="s">
        <v>2927</v>
      </c>
      <c r="B223" s="32">
        <f t="shared" si="6"/>
        <v>0</v>
      </c>
      <c r="C223" s="32">
        <f>'Input Custom Lighting Measures'!B25</f>
        <v>21</v>
      </c>
      <c r="D223" s="32" t="str">
        <f>'Input Custom Lighting Measures'!C25</f>
        <v/>
      </c>
      <c r="E223" s="32">
        <f>'Input Custom Lighting Measures'!J25</f>
        <v>0</v>
      </c>
      <c r="F223" s="33">
        <f>'Input Custom Lighting Measures'!P25</f>
        <v>0</v>
      </c>
      <c r="G223" s="33" t="str">
        <f>'Input Custom Lighting Measures'!Z25</f>
        <v/>
      </c>
      <c r="H223" s="105" t="str">
        <f>'Input Custom Lighting Measures'!AA25</f>
        <v/>
      </c>
      <c r="I223" s="46" t="str">
        <f>IFERROR(Q223*MIN(Table_Measure_Caps[[#Totals],[Estimated Raw Incentive Total]], Table_Measure_Caps[[#Totals],[Gross Measure Cost Total]], Value_Project_CAP)/Table_Measure_Caps[[#Totals],[Estimated Raw Incentive Total]], "")</f>
        <v/>
      </c>
      <c r="J223" s="46">
        <f>'Input Custom Lighting Measures'!W25*'Input Custom Lighting Measures'!P25</f>
        <v>0</v>
      </c>
      <c r="K223" s="32">
        <f>'Input Custom Lighting Measures'!X25</f>
        <v>0</v>
      </c>
      <c r="L223" s="95">
        <f>'Input Custom Lighting Measures'!AF25</f>
        <v>0</v>
      </c>
      <c r="M223" s="96" t="e">
        <f>'Input Custom Lighting Measures'!#REF!</f>
        <v>#REF!</v>
      </c>
      <c r="N223" s="34" t="e">
        <f>'Input Custom Lighting Measures'!#REF!</f>
        <v>#REF!</v>
      </c>
      <c r="O223" s="31" t="str">
        <f t="shared" si="5"/>
        <v>Version 4.1 - 2026</v>
      </c>
      <c r="P223" s="97" t="e">
        <f>INDEX(Table_Custom_Measure_No[Description], MATCH(Table18[[#This Row],[Measure Number]], Table_Custom_Measure_No[Custom Measure No], 0))</f>
        <v>#N/A</v>
      </c>
      <c r="Q223" s="102" t="str">
        <f>'Input Custom Lighting Measures'!Y25</f>
        <v/>
      </c>
    </row>
    <row r="224" spans="1:17" x14ac:dyDescent="0.2">
      <c r="A224" s="34" t="s">
        <v>2927</v>
      </c>
      <c r="B224" s="32">
        <f t="shared" si="6"/>
        <v>0</v>
      </c>
      <c r="C224" s="32">
        <f>'Input Custom Lighting Measures'!B26</f>
        <v>22</v>
      </c>
      <c r="D224" s="32" t="str">
        <f>'Input Custom Lighting Measures'!C26</f>
        <v/>
      </c>
      <c r="E224" s="32">
        <f>'Input Custom Lighting Measures'!J26</f>
        <v>0</v>
      </c>
      <c r="F224" s="33">
        <f>'Input Custom Lighting Measures'!P26</f>
        <v>0</v>
      </c>
      <c r="G224" s="33" t="str">
        <f>'Input Custom Lighting Measures'!Z26</f>
        <v/>
      </c>
      <c r="H224" s="105" t="str">
        <f>'Input Custom Lighting Measures'!AA26</f>
        <v/>
      </c>
      <c r="I224" s="46" t="str">
        <f>IFERROR(Q224*MIN(Table_Measure_Caps[[#Totals],[Estimated Raw Incentive Total]], Table_Measure_Caps[[#Totals],[Gross Measure Cost Total]], Value_Project_CAP)/Table_Measure_Caps[[#Totals],[Estimated Raw Incentive Total]], "")</f>
        <v/>
      </c>
      <c r="J224" s="46">
        <f>'Input Custom Lighting Measures'!W26*'Input Custom Lighting Measures'!P26</f>
        <v>0</v>
      </c>
      <c r="K224" s="32">
        <f>'Input Custom Lighting Measures'!X26</f>
        <v>0</v>
      </c>
      <c r="L224" s="95">
        <f>'Input Custom Lighting Measures'!AF26</f>
        <v>0</v>
      </c>
      <c r="M224" s="96" t="e">
        <f>'Input Custom Lighting Measures'!#REF!</f>
        <v>#REF!</v>
      </c>
      <c r="N224" s="34" t="e">
        <f>'Input Custom Lighting Measures'!#REF!</f>
        <v>#REF!</v>
      </c>
      <c r="O224" s="31" t="str">
        <f t="shared" si="5"/>
        <v>Version 4.1 - 2026</v>
      </c>
      <c r="P224" s="97" t="e">
        <f>INDEX(Table_Custom_Measure_No[Description], MATCH(Table18[[#This Row],[Measure Number]], Table_Custom_Measure_No[Custom Measure No], 0))</f>
        <v>#N/A</v>
      </c>
      <c r="Q224" s="102" t="str">
        <f>'Input Custom Lighting Measures'!Y26</f>
        <v/>
      </c>
    </row>
    <row r="225" spans="1:17" x14ac:dyDescent="0.2">
      <c r="A225" s="34" t="s">
        <v>2927</v>
      </c>
      <c r="B225" s="32">
        <f t="shared" si="6"/>
        <v>0</v>
      </c>
      <c r="C225" s="32">
        <f>'Input Custom Lighting Measures'!B27</f>
        <v>23</v>
      </c>
      <c r="D225" s="32" t="str">
        <f>'Input Custom Lighting Measures'!C27</f>
        <v/>
      </c>
      <c r="E225" s="32">
        <f>'Input Custom Lighting Measures'!J27</f>
        <v>0</v>
      </c>
      <c r="F225" s="33">
        <f>'Input Custom Lighting Measures'!P27</f>
        <v>0</v>
      </c>
      <c r="G225" s="33" t="str">
        <f>'Input Custom Lighting Measures'!Z27</f>
        <v/>
      </c>
      <c r="H225" s="105" t="str">
        <f>'Input Custom Lighting Measures'!AA27</f>
        <v/>
      </c>
      <c r="I225" s="46" t="str">
        <f>IFERROR(Q225*MIN(Table_Measure_Caps[[#Totals],[Estimated Raw Incentive Total]], Table_Measure_Caps[[#Totals],[Gross Measure Cost Total]], Value_Project_CAP)/Table_Measure_Caps[[#Totals],[Estimated Raw Incentive Total]], "")</f>
        <v/>
      </c>
      <c r="J225" s="46">
        <f>'Input Custom Lighting Measures'!W27*'Input Custom Lighting Measures'!P27</f>
        <v>0</v>
      </c>
      <c r="K225" s="32">
        <f>'Input Custom Lighting Measures'!X27</f>
        <v>0</v>
      </c>
      <c r="L225" s="95">
        <f>'Input Custom Lighting Measures'!AF27</f>
        <v>0</v>
      </c>
      <c r="M225" s="96" t="e">
        <f>'Input Custom Lighting Measures'!#REF!</f>
        <v>#REF!</v>
      </c>
      <c r="N225" s="34" t="e">
        <f>'Input Custom Lighting Measures'!#REF!</f>
        <v>#REF!</v>
      </c>
      <c r="O225" s="31" t="str">
        <f t="shared" si="5"/>
        <v>Version 4.1 - 2026</v>
      </c>
      <c r="P225" s="97" t="e">
        <f>INDEX(Table_Custom_Measure_No[Description], MATCH(Table18[[#This Row],[Measure Number]], Table_Custom_Measure_No[Custom Measure No], 0))</f>
        <v>#N/A</v>
      </c>
      <c r="Q225" s="102" t="str">
        <f>'Input Custom Lighting Measures'!Y27</f>
        <v/>
      </c>
    </row>
    <row r="226" spans="1:17" x14ac:dyDescent="0.2">
      <c r="A226" s="34" t="s">
        <v>2927</v>
      </c>
      <c r="B226" s="32">
        <f t="shared" si="6"/>
        <v>0</v>
      </c>
      <c r="C226" s="32">
        <f>'Input Custom Lighting Measures'!B28</f>
        <v>24</v>
      </c>
      <c r="D226" s="32" t="str">
        <f>'Input Custom Lighting Measures'!C28</f>
        <v/>
      </c>
      <c r="E226" s="32">
        <f>'Input Custom Lighting Measures'!J28</f>
        <v>0</v>
      </c>
      <c r="F226" s="33">
        <f>'Input Custom Lighting Measures'!P28</f>
        <v>0</v>
      </c>
      <c r="G226" s="33" t="str">
        <f>'Input Custom Lighting Measures'!Z28</f>
        <v/>
      </c>
      <c r="H226" s="105" t="str">
        <f>'Input Custom Lighting Measures'!AA28</f>
        <v/>
      </c>
      <c r="I226" s="46" t="str">
        <f>IFERROR(Q226*MIN(Table_Measure_Caps[[#Totals],[Estimated Raw Incentive Total]], Table_Measure_Caps[[#Totals],[Gross Measure Cost Total]], Value_Project_CAP)/Table_Measure_Caps[[#Totals],[Estimated Raw Incentive Total]], "")</f>
        <v/>
      </c>
      <c r="J226" s="46">
        <f>'Input Custom Lighting Measures'!W28*'Input Custom Lighting Measures'!P28</f>
        <v>0</v>
      </c>
      <c r="K226" s="32">
        <f>'Input Custom Lighting Measures'!X28</f>
        <v>0</v>
      </c>
      <c r="L226" s="95">
        <f>'Input Custom Lighting Measures'!AF28</f>
        <v>0</v>
      </c>
      <c r="M226" s="96" t="e">
        <f>'Input Custom Lighting Measures'!#REF!</f>
        <v>#REF!</v>
      </c>
      <c r="N226" s="34" t="e">
        <f>'Input Custom Lighting Measures'!#REF!</f>
        <v>#REF!</v>
      </c>
      <c r="O226" s="31" t="str">
        <f t="shared" si="5"/>
        <v>Version 4.1 - 2026</v>
      </c>
      <c r="P226" s="97" t="e">
        <f>INDEX(Table_Custom_Measure_No[Description], MATCH(Table18[[#This Row],[Measure Number]], Table_Custom_Measure_No[Custom Measure No], 0))</f>
        <v>#N/A</v>
      </c>
      <c r="Q226" s="102" t="str">
        <f>'Input Custom Lighting Measures'!Y28</f>
        <v/>
      </c>
    </row>
    <row r="227" spans="1:17" x14ac:dyDescent="0.2">
      <c r="A227" s="34" t="s">
        <v>2927</v>
      </c>
      <c r="B227" s="32">
        <f t="shared" si="6"/>
        <v>0</v>
      </c>
      <c r="C227" s="32">
        <f>'Input Custom Lighting Measures'!B29</f>
        <v>25</v>
      </c>
      <c r="D227" s="32" t="str">
        <f>'Input Custom Lighting Measures'!C29</f>
        <v/>
      </c>
      <c r="E227" s="32">
        <f>'Input Custom Lighting Measures'!J29</f>
        <v>0</v>
      </c>
      <c r="F227" s="33">
        <f>'Input Custom Lighting Measures'!P29</f>
        <v>0</v>
      </c>
      <c r="G227" s="33" t="str">
        <f>'Input Custom Lighting Measures'!Z29</f>
        <v/>
      </c>
      <c r="H227" s="105" t="str">
        <f>'Input Custom Lighting Measures'!AA29</f>
        <v/>
      </c>
      <c r="I227" s="46" t="str">
        <f>IFERROR(Q227*MIN(Table_Measure_Caps[[#Totals],[Estimated Raw Incentive Total]], Table_Measure_Caps[[#Totals],[Gross Measure Cost Total]], Value_Project_CAP)/Table_Measure_Caps[[#Totals],[Estimated Raw Incentive Total]], "")</f>
        <v/>
      </c>
      <c r="J227" s="46">
        <f>'Input Custom Lighting Measures'!W29*'Input Custom Lighting Measures'!P29</f>
        <v>0</v>
      </c>
      <c r="K227" s="32">
        <f>'Input Custom Lighting Measures'!X29</f>
        <v>0</v>
      </c>
      <c r="L227" s="95">
        <f>'Input Custom Lighting Measures'!AF29</f>
        <v>0</v>
      </c>
      <c r="M227" s="96" t="e">
        <f>'Input Custom Lighting Measures'!#REF!</f>
        <v>#REF!</v>
      </c>
      <c r="N227" s="34" t="e">
        <f>'Input Custom Lighting Measures'!#REF!</f>
        <v>#REF!</v>
      </c>
      <c r="O227" s="31" t="str">
        <f t="shared" si="5"/>
        <v>Version 4.1 - 2026</v>
      </c>
      <c r="P227" s="97" t="e">
        <f>INDEX(Table_Custom_Measure_No[Description], MATCH(Table18[[#This Row],[Measure Number]], Table_Custom_Measure_No[Custom Measure No], 0))</f>
        <v>#N/A</v>
      </c>
      <c r="Q227" s="102" t="str">
        <f>'Input Custom Lighting Measures'!Y29</f>
        <v/>
      </c>
    </row>
    <row r="228" spans="1:17" x14ac:dyDescent="0.2">
      <c r="A228" s="34" t="s">
        <v>2927</v>
      </c>
      <c r="B228" s="32">
        <f t="shared" si="6"/>
        <v>0</v>
      </c>
      <c r="C228" s="32">
        <f>'Input Custom Lighting Measures'!B30</f>
        <v>26</v>
      </c>
      <c r="D228" s="32" t="str">
        <f>'Input Custom Lighting Measures'!C30</f>
        <v/>
      </c>
      <c r="E228" s="32">
        <f>'Input Custom Lighting Measures'!J30</f>
        <v>0</v>
      </c>
      <c r="F228" s="33">
        <f>'Input Custom Lighting Measures'!P30</f>
        <v>0</v>
      </c>
      <c r="G228" s="33" t="str">
        <f>'Input Custom Lighting Measures'!Z30</f>
        <v/>
      </c>
      <c r="H228" s="105" t="str">
        <f>'Input Custom Lighting Measures'!AA30</f>
        <v/>
      </c>
      <c r="I228" s="46" t="str">
        <f>IFERROR(Q228*MIN(Table_Measure_Caps[[#Totals],[Estimated Raw Incentive Total]], Table_Measure_Caps[[#Totals],[Gross Measure Cost Total]], Value_Project_CAP)/Table_Measure_Caps[[#Totals],[Estimated Raw Incentive Total]], "")</f>
        <v/>
      </c>
      <c r="J228" s="46">
        <f>'Input Custom Lighting Measures'!W30*'Input Custom Lighting Measures'!P30</f>
        <v>0</v>
      </c>
      <c r="K228" s="32">
        <f>'Input Custom Lighting Measures'!X30</f>
        <v>0</v>
      </c>
      <c r="L228" s="95">
        <f>'Input Custom Lighting Measures'!AF30</f>
        <v>0</v>
      </c>
      <c r="M228" s="96" t="e">
        <f>'Input Custom Lighting Measures'!#REF!</f>
        <v>#REF!</v>
      </c>
      <c r="N228" s="34" t="e">
        <f>'Input Custom Lighting Measures'!#REF!</f>
        <v>#REF!</v>
      </c>
      <c r="O228" s="31" t="str">
        <f t="shared" si="5"/>
        <v>Version 4.1 - 2026</v>
      </c>
      <c r="P228" s="97" t="e">
        <f>INDEX(Table_Custom_Measure_No[Description], MATCH(Table18[[#This Row],[Measure Number]], Table_Custom_Measure_No[Custom Measure No], 0))</f>
        <v>#N/A</v>
      </c>
      <c r="Q228" s="102" t="str">
        <f>'Input Custom Lighting Measures'!Y30</f>
        <v/>
      </c>
    </row>
    <row r="229" spans="1:17" x14ac:dyDescent="0.2">
      <c r="A229" s="34" t="s">
        <v>2927</v>
      </c>
      <c r="B229" s="32">
        <f t="shared" si="6"/>
        <v>0</v>
      </c>
      <c r="C229" s="32">
        <f>'Input Custom Lighting Measures'!B31</f>
        <v>27</v>
      </c>
      <c r="D229" s="32" t="str">
        <f>'Input Custom Lighting Measures'!C31</f>
        <v/>
      </c>
      <c r="E229" s="32">
        <f>'Input Custom Lighting Measures'!J31</f>
        <v>0</v>
      </c>
      <c r="F229" s="33">
        <f>'Input Custom Lighting Measures'!P31</f>
        <v>0</v>
      </c>
      <c r="G229" s="33" t="str">
        <f>'Input Custom Lighting Measures'!Z31</f>
        <v/>
      </c>
      <c r="H229" s="105" t="str">
        <f>'Input Custom Lighting Measures'!AA31</f>
        <v/>
      </c>
      <c r="I229" s="46" t="str">
        <f>IFERROR(Q229*MIN(Table_Measure_Caps[[#Totals],[Estimated Raw Incentive Total]], Table_Measure_Caps[[#Totals],[Gross Measure Cost Total]], Value_Project_CAP)/Table_Measure_Caps[[#Totals],[Estimated Raw Incentive Total]], "")</f>
        <v/>
      </c>
      <c r="J229" s="46">
        <f>'Input Custom Lighting Measures'!W31*'Input Custom Lighting Measures'!P31</f>
        <v>0</v>
      </c>
      <c r="K229" s="32">
        <f>'Input Custom Lighting Measures'!X31</f>
        <v>0</v>
      </c>
      <c r="L229" s="95">
        <f>'Input Custom Lighting Measures'!AF31</f>
        <v>0</v>
      </c>
      <c r="M229" s="96" t="e">
        <f>'Input Custom Lighting Measures'!#REF!</f>
        <v>#REF!</v>
      </c>
      <c r="N229" s="34" t="e">
        <f>'Input Custom Lighting Measures'!#REF!</f>
        <v>#REF!</v>
      </c>
      <c r="O229" s="31" t="str">
        <f t="shared" si="5"/>
        <v>Version 4.1 - 2026</v>
      </c>
      <c r="P229" s="97" t="e">
        <f>INDEX(Table_Custom_Measure_No[Description], MATCH(Table18[[#This Row],[Measure Number]], Table_Custom_Measure_No[Custom Measure No], 0))</f>
        <v>#N/A</v>
      </c>
      <c r="Q229" s="102" t="str">
        <f>'Input Custom Lighting Measures'!Y31</f>
        <v/>
      </c>
    </row>
    <row r="230" spans="1:17" x14ac:dyDescent="0.2">
      <c r="A230" s="34" t="s">
        <v>2927</v>
      </c>
      <c r="B230" s="32">
        <f t="shared" si="6"/>
        <v>0</v>
      </c>
      <c r="C230" s="32">
        <f>'Input Custom Lighting Measures'!B32</f>
        <v>28</v>
      </c>
      <c r="D230" s="32" t="str">
        <f>'Input Custom Lighting Measures'!C32</f>
        <v/>
      </c>
      <c r="E230" s="32">
        <f>'Input Custom Lighting Measures'!J32</f>
        <v>0</v>
      </c>
      <c r="F230" s="33">
        <f>'Input Custom Lighting Measures'!P32</f>
        <v>0</v>
      </c>
      <c r="G230" s="33" t="str">
        <f>'Input Custom Lighting Measures'!Z32</f>
        <v/>
      </c>
      <c r="H230" s="105" t="str">
        <f>'Input Custom Lighting Measures'!AA32</f>
        <v/>
      </c>
      <c r="I230" s="46" t="str">
        <f>IFERROR(Q230*MIN(Table_Measure_Caps[[#Totals],[Estimated Raw Incentive Total]], Table_Measure_Caps[[#Totals],[Gross Measure Cost Total]], Value_Project_CAP)/Table_Measure_Caps[[#Totals],[Estimated Raw Incentive Total]], "")</f>
        <v/>
      </c>
      <c r="J230" s="46">
        <f>'Input Custom Lighting Measures'!W32*'Input Custom Lighting Measures'!P32</f>
        <v>0</v>
      </c>
      <c r="K230" s="32">
        <f>'Input Custom Lighting Measures'!X32</f>
        <v>0</v>
      </c>
      <c r="L230" s="95">
        <f>'Input Custom Lighting Measures'!AF32</f>
        <v>0</v>
      </c>
      <c r="M230" s="96" t="e">
        <f>'Input Custom Lighting Measures'!#REF!</f>
        <v>#REF!</v>
      </c>
      <c r="N230" s="34" t="e">
        <f>'Input Custom Lighting Measures'!#REF!</f>
        <v>#REF!</v>
      </c>
      <c r="O230" s="31" t="str">
        <f t="shared" si="5"/>
        <v>Version 4.1 - 2026</v>
      </c>
      <c r="P230" s="97" t="e">
        <f>INDEX(Table_Custom_Measure_No[Description], MATCH(Table18[[#This Row],[Measure Number]], Table_Custom_Measure_No[Custom Measure No], 0))</f>
        <v>#N/A</v>
      </c>
      <c r="Q230" s="102" t="str">
        <f>'Input Custom Lighting Measures'!Y32</f>
        <v/>
      </c>
    </row>
    <row r="231" spans="1:17" x14ac:dyDescent="0.2">
      <c r="A231" s="34" t="s">
        <v>2927</v>
      </c>
      <c r="B231" s="32">
        <f t="shared" si="6"/>
        <v>0</v>
      </c>
      <c r="C231" s="32">
        <f>'Input Custom Lighting Measures'!B33</f>
        <v>29</v>
      </c>
      <c r="D231" s="32" t="str">
        <f>'Input Custom Lighting Measures'!C33</f>
        <v/>
      </c>
      <c r="E231" s="32">
        <f>'Input Custom Lighting Measures'!J33</f>
        <v>0</v>
      </c>
      <c r="F231" s="33">
        <f>'Input Custom Lighting Measures'!P33</f>
        <v>0</v>
      </c>
      <c r="G231" s="33" t="str">
        <f>'Input Custom Lighting Measures'!Z33</f>
        <v/>
      </c>
      <c r="H231" s="105" t="str">
        <f>'Input Custom Lighting Measures'!AA33</f>
        <v/>
      </c>
      <c r="I231" s="46" t="str">
        <f>IFERROR(Q231*MIN(Table_Measure_Caps[[#Totals],[Estimated Raw Incentive Total]], Table_Measure_Caps[[#Totals],[Gross Measure Cost Total]], Value_Project_CAP)/Table_Measure_Caps[[#Totals],[Estimated Raw Incentive Total]], "")</f>
        <v/>
      </c>
      <c r="J231" s="46">
        <f>'Input Custom Lighting Measures'!W33*'Input Custom Lighting Measures'!P33</f>
        <v>0</v>
      </c>
      <c r="K231" s="32">
        <f>'Input Custom Lighting Measures'!X33</f>
        <v>0</v>
      </c>
      <c r="L231" s="95">
        <f>'Input Custom Lighting Measures'!AF33</f>
        <v>0</v>
      </c>
      <c r="M231" s="96" t="e">
        <f>'Input Custom Lighting Measures'!#REF!</f>
        <v>#REF!</v>
      </c>
      <c r="N231" s="34" t="e">
        <f>'Input Custom Lighting Measures'!#REF!</f>
        <v>#REF!</v>
      </c>
      <c r="O231" s="31" t="str">
        <f t="shared" si="5"/>
        <v>Version 4.1 - 2026</v>
      </c>
      <c r="P231" s="97" t="e">
        <f>INDEX(Table_Custom_Measure_No[Description], MATCH(Table18[[#This Row],[Measure Number]], Table_Custom_Measure_No[Custom Measure No], 0))</f>
        <v>#N/A</v>
      </c>
      <c r="Q231" s="102" t="str">
        <f>'Input Custom Lighting Measures'!Y33</f>
        <v/>
      </c>
    </row>
    <row r="232" spans="1:17" x14ac:dyDescent="0.2">
      <c r="A232" s="34" t="s">
        <v>2927</v>
      </c>
      <c r="B232" s="32">
        <f t="shared" si="6"/>
        <v>0</v>
      </c>
      <c r="C232" s="32">
        <f>'Input Custom Lighting Measures'!B34</f>
        <v>30</v>
      </c>
      <c r="D232" s="32" t="str">
        <f>'Input Custom Lighting Measures'!C34</f>
        <v/>
      </c>
      <c r="E232" s="32">
        <f>'Input Custom Lighting Measures'!J34</f>
        <v>0</v>
      </c>
      <c r="F232" s="33">
        <f>'Input Custom Lighting Measures'!P34</f>
        <v>0</v>
      </c>
      <c r="G232" s="33" t="str">
        <f>'Input Custom Lighting Measures'!Z34</f>
        <v/>
      </c>
      <c r="H232" s="105" t="str">
        <f>'Input Custom Lighting Measures'!AA34</f>
        <v/>
      </c>
      <c r="I232" s="46" t="str">
        <f>IFERROR(Q232*MIN(Table_Measure_Caps[[#Totals],[Estimated Raw Incentive Total]], Table_Measure_Caps[[#Totals],[Gross Measure Cost Total]], Value_Project_CAP)/Table_Measure_Caps[[#Totals],[Estimated Raw Incentive Total]], "")</f>
        <v/>
      </c>
      <c r="J232" s="46">
        <f>'Input Custom Lighting Measures'!W34*'Input Custom Lighting Measures'!P34</f>
        <v>0</v>
      </c>
      <c r="K232" s="32">
        <f>'Input Custom Lighting Measures'!X34</f>
        <v>0</v>
      </c>
      <c r="L232" s="95">
        <f>'Input Custom Lighting Measures'!AF34</f>
        <v>0</v>
      </c>
      <c r="M232" s="96" t="e">
        <f>'Input Custom Lighting Measures'!#REF!</f>
        <v>#REF!</v>
      </c>
      <c r="N232" s="34" t="e">
        <f>'Input Custom Lighting Measures'!#REF!</f>
        <v>#REF!</v>
      </c>
      <c r="O232" s="31" t="str">
        <f t="shared" si="5"/>
        <v>Version 4.1 - 2026</v>
      </c>
      <c r="P232" s="97" t="e">
        <f>INDEX(Table_Custom_Measure_No[Description], MATCH(Table18[[#This Row],[Measure Number]], Table_Custom_Measure_No[Custom Measure No], 0))</f>
        <v>#N/A</v>
      </c>
      <c r="Q232" s="102" t="str">
        <f>'Input Custom Lighting Measures'!Y34</f>
        <v/>
      </c>
    </row>
    <row r="233" spans="1:17" x14ac:dyDescent="0.2">
      <c r="A233" s="34" t="s">
        <v>2927</v>
      </c>
      <c r="B233" s="32">
        <f t="shared" si="6"/>
        <v>0</v>
      </c>
      <c r="C233" s="32">
        <f>'Input Custom Lighting Measures'!B35</f>
        <v>31</v>
      </c>
      <c r="D233" s="32" t="str">
        <f>'Input Custom Lighting Measures'!C35</f>
        <v/>
      </c>
      <c r="E233" s="32">
        <f>'Input Custom Lighting Measures'!J35</f>
        <v>0</v>
      </c>
      <c r="F233" s="33">
        <f>'Input Custom Lighting Measures'!P35</f>
        <v>0</v>
      </c>
      <c r="G233" s="33" t="str">
        <f>'Input Custom Lighting Measures'!Z35</f>
        <v/>
      </c>
      <c r="H233" s="105" t="str">
        <f>'Input Custom Lighting Measures'!AA35</f>
        <v/>
      </c>
      <c r="I233" s="46" t="str">
        <f>IFERROR(Q233*MIN(Table_Measure_Caps[[#Totals],[Estimated Raw Incentive Total]], Table_Measure_Caps[[#Totals],[Gross Measure Cost Total]], Value_Project_CAP)/Table_Measure_Caps[[#Totals],[Estimated Raw Incentive Total]], "")</f>
        <v/>
      </c>
      <c r="J233" s="46">
        <f>'Input Custom Lighting Measures'!W35*'Input Custom Lighting Measures'!P35</f>
        <v>0</v>
      </c>
      <c r="K233" s="32">
        <f>'Input Custom Lighting Measures'!X35</f>
        <v>0</v>
      </c>
      <c r="L233" s="95">
        <f>'Input Custom Lighting Measures'!AF35</f>
        <v>0</v>
      </c>
      <c r="M233" s="96" t="e">
        <f>'Input Custom Lighting Measures'!#REF!</f>
        <v>#REF!</v>
      </c>
      <c r="N233" s="34" t="e">
        <f>'Input Custom Lighting Measures'!#REF!</f>
        <v>#REF!</v>
      </c>
      <c r="O233" s="31" t="str">
        <f t="shared" si="5"/>
        <v>Version 4.1 - 2026</v>
      </c>
      <c r="P233" s="97" t="e">
        <f>INDEX(Table_Custom_Measure_No[Description], MATCH(Table18[[#This Row],[Measure Number]], Table_Custom_Measure_No[Custom Measure No], 0))</f>
        <v>#N/A</v>
      </c>
      <c r="Q233" s="102" t="str">
        <f>'Input Custom Lighting Measures'!Y35</f>
        <v/>
      </c>
    </row>
    <row r="234" spans="1:17" x14ac:dyDescent="0.2">
      <c r="A234" s="34" t="s">
        <v>2927</v>
      </c>
      <c r="B234" s="32">
        <f t="shared" si="6"/>
        <v>0</v>
      </c>
      <c r="C234" s="32">
        <f>'Input Custom Lighting Measures'!B36</f>
        <v>32</v>
      </c>
      <c r="D234" s="32" t="str">
        <f>'Input Custom Lighting Measures'!C36</f>
        <v/>
      </c>
      <c r="E234" s="32">
        <f>'Input Custom Lighting Measures'!J36</f>
        <v>0</v>
      </c>
      <c r="F234" s="33">
        <f>'Input Custom Lighting Measures'!P36</f>
        <v>0</v>
      </c>
      <c r="G234" s="33" t="str">
        <f>'Input Custom Lighting Measures'!Z36</f>
        <v/>
      </c>
      <c r="H234" s="105" t="str">
        <f>'Input Custom Lighting Measures'!AA36</f>
        <v/>
      </c>
      <c r="I234" s="46" t="str">
        <f>IFERROR(Q234*MIN(Table_Measure_Caps[[#Totals],[Estimated Raw Incentive Total]], Table_Measure_Caps[[#Totals],[Gross Measure Cost Total]], Value_Project_CAP)/Table_Measure_Caps[[#Totals],[Estimated Raw Incentive Total]], "")</f>
        <v/>
      </c>
      <c r="J234" s="46">
        <f>'Input Custom Lighting Measures'!W36*'Input Custom Lighting Measures'!P36</f>
        <v>0</v>
      </c>
      <c r="K234" s="32">
        <f>'Input Custom Lighting Measures'!X36</f>
        <v>0</v>
      </c>
      <c r="L234" s="95">
        <f>'Input Custom Lighting Measures'!AF36</f>
        <v>0</v>
      </c>
      <c r="M234" s="96" t="e">
        <f>'Input Custom Lighting Measures'!#REF!</f>
        <v>#REF!</v>
      </c>
      <c r="N234" s="34" t="e">
        <f>'Input Custom Lighting Measures'!#REF!</f>
        <v>#REF!</v>
      </c>
      <c r="O234" s="31" t="str">
        <f t="shared" si="5"/>
        <v>Version 4.1 - 2026</v>
      </c>
      <c r="P234" s="97" t="e">
        <f>INDEX(Table_Custom_Measure_No[Description], MATCH(Table18[[#This Row],[Measure Number]], Table_Custom_Measure_No[Custom Measure No], 0))</f>
        <v>#N/A</v>
      </c>
      <c r="Q234" s="102" t="str">
        <f>'Input Custom Lighting Measures'!Y36</f>
        <v/>
      </c>
    </row>
    <row r="235" spans="1:17" x14ac:dyDescent="0.2">
      <c r="A235" s="34" t="s">
        <v>2927</v>
      </c>
      <c r="B235" s="32">
        <f t="shared" si="6"/>
        <v>0</v>
      </c>
      <c r="C235" s="32">
        <f>'Input Custom Lighting Measures'!B37</f>
        <v>33</v>
      </c>
      <c r="D235" s="32" t="str">
        <f>'Input Custom Lighting Measures'!C37</f>
        <v/>
      </c>
      <c r="E235" s="32">
        <f>'Input Custom Lighting Measures'!J37</f>
        <v>0</v>
      </c>
      <c r="F235" s="33">
        <f>'Input Custom Lighting Measures'!P37</f>
        <v>0</v>
      </c>
      <c r="G235" s="33" t="str">
        <f>'Input Custom Lighting Measures'!Z37</f>
        <v/>
      </c>
      <c r="H235" s="105" t="str">
        <f>'Input Custom Lighting Measures'!AA37</f>
        <v/>
      </c>
      <c r="I235" s="46" t="str">
        <f>IFERROR(Q235*MIN(Table_Measure_Caps[[#Totals],[Estimated Raw Incentive Total]], Table_Measure_Caps[[#Totals],[Gross Measure Cost Total]], Value_Project_CAP)/Table_Measure_Caps[[#Totals],[Estimated Raw Incentive Total]], "")</f>
        <v/>
      </c>
      <c r="J235" s="46">
        <f>'Input Custom Lighting Measures'!W37*'Input Custom Lighting Measures'!P37</f>
        <v>0</v>
      </c>
      <c r="K235" s="32">
        <f>'Input Custom Lighting Measures'!X37</f>
        <v>0</v>
      </c>
      <c r="L235" s="95">
        <f>'Input Custom Lighting Measures'!AF37</f>
        <v>0</v>
      </c>
      <c r="M235" s="96" t="e">
        <f>'Input Custom Lighting Measures'!#REF!</f>
        <v>#REF!</v>
      </c>
      <c r="N235" s="34" t="e">
        <f>'Input Custom Lighting Measures'!#REF!</f>
        <v>#REF!</v>
      </c>
      <c r="O235" s="31" t="str">
        <f t="shared" si="5"/>
        <v>Version 4.1 - 2026</v>
      </c>
      <c r="P235" s="97" t="e">
        <f>INDEX(Table_Custom_Measure_No[Description], MATCH(Table18[[#This Row],[Measure Number]], Table_Custom_Measure_No[Custom Measure No], 0))</f>
        <v>#N/A</v>
      </c>
      <c r="Q235" s="102" t="str">
        <f>'Input Custom Lighting Measures'!Y37</f>
        <v/>
      </c>
    </row>
    <row r="236" spans="1:17" x14ac:dyDescent="0.2">
      <c r="A236" s="34" t="s">
        <v>2927</v>
      </c>
      <c r="B236" s="32">
        <f t="shared" si="6"/>
        <v>0</v>
      </c>
      <c r="C236" s="32">
        <f>'Input Custom Lighting Measures'!B38</f>
        <v>34</v>
      </c>
      <c r="D236" s="32" t="str">
        <f>'Input Custom Lighting Measures'!C38</f>
        <v/>
      </c>
      <c r="E236" s="32">
        <f>'Input Custom Lighting Measures'!J38</f>
        <v>0</v>
      </c>
      <c r="F236" s="33">
        <f>'Input Custom Lighting Measures'!P38</f>
        <v>0</v>
      </c>
      <c r="G236" s="33" t="str">
        <f>'Input Custom Lighting Measures'!Z38</f>
        <v/>
      </c>
      <c r="H236" s="105" t="str">
        <f>'Input Custom Lighting Measures'!AA38</f>
        <v/>
      </c>
      <c r="I236" s="46" t="str">
        <f>IFERROR(Q236*MIN(Table_Measure_Caps[[#Totals],[Estimated Raw Incentive Total]], Table_Measure_Caps[[#Totals],[Gross Measure Cost Total]], Value_Project_CAP)/Table_Measure_Caps[[#Totals],[Estimated Raw Incentive Total]], "")</f>
        <v/>
      </c>
      <c r="J236" s="46">
        <f>'Input Custom Lighting Measures'!W38*'Input Custom Lighting Measures'!P38</f>
        <v>0</v>
      </c>
      <c r="K236" s="32">
        <f>'Input Custom Lighting Measures'!X38</f>
        <v>0</v>
      </c>
      <c r="L236" s="95">
        <f>'Input Custom Lighting Measures'!AF38</f>
        <v>0</v>
      </c>
      <c r="M236" s="96" t="e">
        <f>'Input Custom Lighting Measures'!#REF!</f>
        <v>#REF!</v>
      </c>
      <c r="N236" s="34" t="e">
        <f>'Input Custom Lighting Measures'!#REF!</f>
        <v>#REF!</v>
      </c>
      <c r="O236" s="31" t="str">
        <f t="shared" si="5"/>
        <v>Version 4.1 - 2026</v>
      </c>
      <c r="P236" s="97" t="e">
        <f>INDEX(Table_Custom_Measure_No[Description], MATCH(Table18[[#This Row],[Measure Number]], Table_Custom_Measure_No[Custom Measure No], 0))</f>
        <v>#N/A</v>
      </c>
      <c r="Q236" s="102" t="str">
        <f>'Input Custom Lighting Measures'!Y38</f>
        <v/>
      </c>
    </row>
    <row r="237" spans="1:17" x14ac:dyDescent="0.2">
      <c r="A237" s="34" t="s">
        <v>2927</v>
      </c>
      <c r="B237" s="32">
        <f t="shared" si="6"/>
        <v>0</v>
      </c>
      <c r="C237" s="32">
        <f>'Input Custom Lighting Measures'!B39</f>
        <v>35</v>
      </c>
      <c r="D237" s="32" t="str">
        <f>'Input Custom Lighting Measures'!C39</f>
        <v/>
      </c>
      <c r="E237" s="32">
        <f>'Input Custom Lighting Measures'!J39</f>
        <v>0</v>
      </c>
      <c r="F237" s="33">
        <f>'Input Custom Lighting Measures'!P39</f>
        <v>0</v>
      </c>
      <c r="G237" s="33" t="str">
        <f>'Input Custom Lighting Measures'!Z39</f>
        <v/>
      </c>
      <c r="H237" s="105" t="str">
        <f>'Input Custom Lighting Measures'!AA39</f>
        <v/>
      </c>
      <c r="I237" s="46" t="str">
        <f>IFERROR(Q237*MIN(Table_Measure_Caps[[#Totals],[Estimated Raw Incentive Total]], Table_Measure_Caps[[#Totals],[Gross Measure Cost Total]], Value_Project_CAP)/Table_Measure_Caps[[#Totals],[Estimated Raw Incentive Total]], "")</f>
        <v/>
      </c>
      <c r="J237" s="46">
        <f>'Input Custom Lighting Measures'!W39*'Input Custom Lighting Measures'!P39</f>
        <v>0</v>
      </c>
      <c r="K237" s="32">
        <f>'Input Custom Lighting Measures'!X39</f>
        <v>0</v>
      </c>
      <c r="L237" s="95">
        <f>'Input Custom Lighting Measures'!AF39</f>
        <v>0</v>
      </c>
      <c r="M237" s="96" t="e">
        <f>'Input Custom Lighting Measures'!#REF!</f>
        <v>#REF!</v>
      </c>
      <c r="N237" s="34" t="e">
        <f>'Input Custom Lighting Measures'!#REF!</f>
        <v>#REF!</v>
      </c>
      <c r="O237" s="31" t="str">
        <f t="shared" si="5"/>
        <v>Version 4.1 - 2026</v>
      </c>
      <c r="P237" s="97" t="e">
        <f>INDEX(Table_Custom_Measure_No[Description], MATCH(Table18[[#This Row],[Measure Number]], Table_Custom_Measure_No[Custom Measure No], 0))</f>
        <v>#N/A</v>
      </c>
      <c r="Q237" s="102" t="str">
        <f>'Input Custom Lighting Measures'!Y39</f>
        <v/>
      </c>
    </row>
    <row r="238" spans="1:17" x14ac:dyDescent="0.2">
      <c r="A238" s="34" t="s">
        <v>2927</v>
      </c>
      <c r="B238" s="32">
        <f t="shared" si="6"/>
        <v>0</v>
      </c>
      <c r="C238" s="32">
        <f>'Input Custom Lighting Measures'!B40</f>
        <v>36</v>
      </c>
      <c r="D238" s="32" t="str">
        <f>'Input Custom Lighting Measures'!C40</f>
        <v/>
      </c>
      <c r="E238" s="32">
        <f>'Input Custom Lighting Measures'!J40</f>
        <v>0</v>
      </c>
      <c r="F238" s="33">
        <f>'Input Custom Lighting Measures'!P40</f>
        <v>0</v>
      </c>
      <c r="G238" s="33" t="str">
        <f>'Input Custom Lighting Measures'!Z40</f>
        <v/>
      </c>
      <c r="H238" s="105" t="str">
        <f>'Input Custom Lighting Measures'!AA40</f>
        <v/>
      </c>
      <c r="I238" s="46" t="str">
        <f>IFERROR(Q238*MIN(Table_Measure_Caps[[#Totals],[Estimated Raw Incentive Total]], Table_Measure_Caps[[#Totals],[Gross Measure Cost Total]], Value_Project_CAP)/Table_Measure_Caps[[#Totals],[Estimated Raw Incentive Total]], "")</f>
        <v/>
      </c>
      <c r="J238" s="46">
        <f>'Input Custom Lighting Measures'!W40*'Input Custom Lighting Measures'!P40</f>
        <v>0</v>
      </c>
      <c r="K238" s="32">
        <f>'Input Custom Lighting Measures'!X40</f>
        <v>0</v>
      </c>
      <c r="L238" s="95">
        <f>'Input Custom Lighting Measures'!AF40</f>
        <v>0</v>
      </c>
      <c r="M238" s="96" t="e">
        <f>'Input Custom Lighting Measures'!#REF!</f>
        <v>#REF!</v>
      </c>
      <c r="N238" s="34" t="e">
        <f>'Input Custom Lighting Measures'!#REF!</f>
        <v>#REF!</v>
      </c>
      <c r="O238" s="31" t="str">
        <f t="shared" si="5"/>
        <v>Version 4.1 - 2026</v>
      </c>
      <c r="P238" s="97" t="e">
        <f>INDEX(Table_Custom_Measure_No[Description], MATCH(Table18[[#This Row],[Measure Number]], Table_Custom_Measure_No[Custom Measure No], 0))</f>
        <v>#N/A</v>
      </c>
      <c r="Q238" s="102" t="str">
        <f>'Input Custom Lighting Measures'!Y40</f>
        <v/>
      </c>
    </row>
    <row r="239" spans="1:17" x14ac:dyDescent="0.2">
      <c r="A239" s="34" t="s">
        <v>2927</v>
      </c>
      <c r="B239" s="32">
        <f t="shared" si="6"/>
        <v>0</v>
      </c>
      <c r="C239" s="32">
        <f>'Input Custom Lighting Measures'!B41</f>
        <v>37</v>
      </c>
      <c r="D239" s="32" t="str">
        <f>'Input Custom Lighting Measures'!C41</f>
        <v/>
      </c>
      <c r="E239" s="32">
        <f>'Input Custom Lighting Measures'!J41</f>
        <v>0</v>
      </c>
      <c r="F239" s="33">
        <f>'Input Custom Lighting Measures'!P41</f>
        <v>0</v>
      </c>
      <c r="G239" s="33" t="str">
        <f>'Input Custom Lighting Measures'!Z41</f>
        <v/>
      </c>
      <c r="H239" s="105" t="str">
        <f>'Input Custom Lighting Measures'!AA41</f>
        <v/>
      </c>
      <c r="I239" s="46" t="str">
        <f>IFERROR(Q239*MIN(Table_Measure_Caps[[#Totals],[Estimated Raw Incentive Total]], Table_Measure_Caps[[#Totals],[Gross Measure Cost Total]], Value_Project_CAP)/Table_Measure_Caps[[#Totals],[Estimated Raw Incentive Total]], "")</f>
        <v/>
      </c>
      <c r="J239" s="46">
        <f>'Input Custom Lighting Measures'!W41*'Input Custom Lighting Measures'!P41</f>
        <v>0</v>
      </c>
      <c r="K239" s="32">
        <f>'Input Custom Lighting Measures'!X41</f>
        <v>0</v>
      </c>
      <c r="L239" s="95">
        <f>'Input Custom Lighting Measures'!AF41</f>
        <v>0</v>
      </c>
      <c r="M239" s="96" t="e">
        <f>'Input Custom Lighting Measures'!#REF!</f>
        <v>#REF!</v>
      </c>
      <c r="N239" s="34" t="e">
        <f>'Input Custom Lighting Measures'!#REF!</f>
        <v>#REF!</v>
      </c>
      <c r="O239" s="31" t="str">
        <f t="shared" si="5"/>
        <v>Version 4.1 - 2026</v>
      </c>
      <c r="P239" s="97" t="e">
        <f>INDEX(Table_Custom_Measure_No[Description], MATCH(Table18[[#This Row],[Measure Number]], Table_Custom_Measure_No[Custom Measure No], 0))</f>
        <v>#N/A</v>
      </c>
      <c r="Q239" s="102" t="str">
        <f>'Input Custom Lighting Measures'!Y41</f>
        <v/>
      </c>
    </row>
    <row r="240" spans="1:17" x14ac:dyDescent="0.2">
      <c r="A240" s="34" t="s">
        <v>2927</v>
      </c>
      <c r="B240" s="32">
        <f t="shared" si="6"/>
        <v>0</v>
      </c>
      <c r="C240" s="32">
        <f>'Input Custom Lighting Measures'!B42</f>
        <v>38</v>
      </c>
      <c r="D240" s="32" t="str">
        <f>'Input Custom Lighting Measures'!C42</f>
        <v/>
      </c>
      <c r="E240" s="32">
        <f>'Input Custom Lighting Measures'!J42</f>
        <v>0</v>
      </c>
      <c r="F240" s="33">
        <f>'Input Custom Lighting Measures'!P42</f>
        <v>0</v>
      </c>
      <c r="G240" s="33" t="str">
        <f>'Input Custom Lighting Measures'!Z42</f>
        <v/>
      </c>
      <c r="H240" s="105" t="str">
        <f>'Input Custom Lighting Measures'!AA42</f>
        <v/>
      </c>
      <c r="I240" s="46" t="str">
        <f>IFERROR(Q240*MIN(Table_Measure_Caps[[#Totals],[Estimated Raw Incentive Total]], Table_Measure_Caps[[#Totals],[Gross Measure Cost Total]], Value_Project_CAP)/Table_Measure_Caps[[#Totals],[Estimated Raw Incentive Total]], "")</f>
        <v/>
      </c>
      <c r="J240" s="46">
        <f>'Input Custom Lighting Measures'!W42*'Input Custom Lighting Measures'!P42</f>
        <v>0</v>
      </c>
      <c r="K240" s="32">
        <f>'Input Custom Lighting Measures'!X42</f>
        <v>0</v>
      </c>
      <c r="L240" s="95">
        <f>'Input Custom Lighting Measures'!AF42</f>
        <v>0</v>
      </c>
      <c r="M240" s="96" t="e">
        <f>'Input Custom Lighting Measures'!#REF!</f>
        <v>#REF!</v>
      </c>
      <c r="N240" s="34" t="e">
        <f>'Input Custom Lighting Measures'!#REF!</f>
        <v>#REF!</v>
      </c>
      <c r="O240" s="31" t="str">
        <f t="shared" si="5"/>
        <v>Version 4.1 - 2026</v>
      </c>
      <c r="P240" s="97" t="e">
        <f>INDEX(Table_Custom_Measure_No[Description], MATCH(Table18[[#This Row],[Measure Number]], Table_Custom_Measure_No[Custom Measure No], 0))</f>
        <v>#N/A</v>
      </c>
      <c r="Q240" s="102" t="str">
        <f>'Input Custom Lighting Measures'!Y42</f>
        <v/>
      </c>
    </row>
    <row r="241" spans="1:17" x14ac:dyDescent="0.2">
      <c r="A241" s="34" t="s">
        <v>2927</v>
      </c>
      <c r="B241" s="32">
        <f t="shared" si="6"/>
        <v>0</v>
      </c>
      <c r="C241" s="32">
        <f>'Input Custom Lighting Measures'!B43</f>
        <v>39</v>
      </c>
      <c r="D241" s="32" t="str">
        <f>'Input Custom Lighting Measures'!C43</f>
        <v/>
      </c>
      <c r="E241" s="32">
        <f>'Input Custom Lighting Measures'!J43</f>
        <v>0</v>
      </c>
      <c r="F241" s="33">
        <f>'Input Custom Lighting Measures'!P43</f>
        <v>0</v>
      </c>
      <c r="G241" s="33" t="str">
        <f>'Input Custom Lighting Measures'!Z43</f>
        <v/>
      </c>
      <c r="H241" s="105" t="str">
        <f>'Input Custom Lighting Measures'!AA43</f>
        <v/>
      </c>
      <c r="I241" s="46" t="str">
        <f>IFERROR(Q241*MIN(Table_Measure_Caps[[#Totals],[Estimated Raw Incentive Total]], Table_Measure_Caps[[#Totals],[Gross Measure Cost Total]], Value_Project_CAP)/Table_Measure_Caps[[#Totals],[Estimated Raw Incentive Total]], "")</f>
        <v/>
      </c>
      <c r="J241" s="46">
        <f>'Input Custom Lighting Measures'!W43*'Input Custom Lighting Measures'!P43</f>
        <v>0</v>
      </c>
      <c r="K241" s="32">
        <f>'Input Custom Lighting Measures'!X43</f>
        <v>0</v>
      </c>
      <c r="L241" s="95">
        <f>'Input Custom Lighting Measures'!AF43</f>
        <v>0</v>
      </c>
      <c r="M241" s="96" t="e">
        <f>'Input Custom Lighting Measures'!#REF!</f>
        <v>#REF!</v>
      </c>
      <c r="N241" s="34" t="e">
        <f>'Input Custom Lighting Measures'!#REF!</f>
        <v>#REF!</v>
      </c>
      <c r="O241" s="31" t="str">
        <f t="shared" si="5"/>
        <v>Version 4.1 - 2026</v>
      </c>
      <c r="P241" s="97" t="e">
        <f>INDEX(Table_Custom_Measure_No[Description], MATCH(Table18[[#This Row],[Measure Number]], Table_Custom_Measure_No[Custom Measure No], 0))</f>
        <v>#N/A</v>
      </c>
      <c r="Q241" s="102" t="str">
        <f>'Input Custom Lighting Measures'!Y43</f>
        <v/>
      </c>
    </row>
    <row r="242" spans="1:17" x14ac:dyDescent="0.2">
      <c r="A242" s="34" t="s">
        <v>2927</v>
      </c>
      <c r="B242" s="32">
        <f t="shared" si="6"/>
        <v>0</v>
      </c>
      <c r="C242" s="32">
        <f>'Input Custom Lighting Measures'!B44</f>
        <v>40</v>
      </c>
      <c r="D242" s="32" t="str">
        <f>'Input Custom Lighting Measures'!C44</f>
        <v/>
      </c>
      <c r="E242" s="32">
        <f>'Input Custom Lighting Measures'!J44</f>
        <v>0</v>
      </c>
      <c r="F242" s="33">
        <f>'Input Custom Lighting Measures'!P44</f>
        <v>0</v>
      </c>
      <c r="G242" s="33" t="str">
        <f>'Input Custom Lighting Measures'!Z44</f>
        <v/>
      </c>
      <c r="H242" s="105" t="str">
        <f>'Input Custom Lighting Measures'!AA44</f>
        <v/>
      </c>
      <c r="I242" s="46" t="str">
        <f>IFERROR(Q242*MIN(Table_Measure_Caps[[#Totals],[Estimated Raw Incentive Total]], Table_Measure_Caps[[#Totals],[Gross Measure Cost Total]], Value_Project_CAP)/Table_Measure_Caps[[#Totals],[Estimated Raw Incentive Total]], "")</f>
        <v/>
      </c>
      <c r="J242" s="46">
        <f>'Input Custom Lighting Measures'!W44*'Input Custom Lighting Measures'!P44</f>
        <v>0</v>
      </c>
      <c r="K242" s="32">
        <f>'Input Custom Lighting Measures'!X44</f>
        <v>0</v>
      </c>
      <c r="L242" s="95">
        <f>'Input Custom Lighting Measures'!AF44</f>
        <v>0</v>
      </c>
      <c r="M242" s="96" t="e">
        <f>'Input Custom Lighting Measures'!#REF!</f>
        <v>#REF!</v>
      </c>
      <c r="N242" s="34" t="e">
        <f>'Input Custom Lighting Measures'!#REF!</f>
        <v>#REF!</v>
      </c>
      <c r="O242" s="31" t="str">
        <f t="shared" si="5"/>
        <v>Version 4.1 - 2026</v>
      </c>
      <c r="P242" s="97" t="e">
        <f>INDEX(Table_Custom_Measure_No[Description], MATCH(Table18[[#This Row],[Measure Number]], Table_Custom_Measure_No[Custom Measure No], 0))</f>
        <v>#N/A</v>
      </c>
      <c r="Q242" s="102" t="str">
        <f>'Input Custom Lighting Measures'!Y44</f>
        <v/>
      </c>
    </row>
    <row r="243" spans="1:17" x14ac:dyDescent="0.2">
      <c r="A243" s="34" t="s">
        <v>2927</v>
      </c>
      <c r="B243" s="32">
        <f t="shared" si="6"/>
        <v>0</v>
      </c>
      <c r="C243" s="32">
        <f>'Input Custom Lighting Measures'!B45</f>
        <v>41</v>
      </c>
      <c r="D243" s="32" t="str">
        <f>'Input Custom Lighting Measures'!C45</f>
        <v/>
      </c>
      <c r="E243" s="32">
        <f>'Input Custom Lighting Measures'!J45</f>
        <v>0</v>
      </c>
      <c r="F243" s="33">
        <f>'Input Custom Lighting Measures'!P45</f>
        <v>0</v>
      </c>
      <c r="G243" s="33" t="str">
        <f>'Input Custom Lighting Measures'!Z45</f>
        <v/>
      </c>
      <c r="H243" s="105" t="str">
        <f>'Input Custom Lighting Measures'!AA45</f>
        <v/>
      </c>
      <c r="I243" s="46" t="str">
        <f>IFERROR(Q243*MIN(Table_Measure_Caps[[#Totals],[Estimated Raw Incentive Total]], Table_Measure_Caps[[#Totals],[Gross Measure Cost Total]], Value_Project_CAP)/Table_Measure_Caps[[#Totals],[Estimated Raw Incentive Total]], "")</f>
        <v/>
      </c>
      <c r="J243" s="46">
        <f>'Input Custom Lighting Measures'!W45*'Input Custom Lighting Measures'!P45</f>
        <v>0</v>
      </c>
      <c r="K243" s="32">
        <f>'Input Custom Lighting Measures'!X45</f>
        <v>0</v>
      </c>
      <c r="L243" s="95">
        <f>'Input Custom Lighting Measures'!AF45</f>
        <v>0</v>
      </c>
      <c r="M243" s="96" t="e">
        <f>'Input Custom Lighting Measures'!#REF!</f>
        <v>#REF!</v>
      </c>
      <c r="N243" s="34" t="e">
        <f>'Input Custom Lighting Measures'!#REF!</f>
        <v>#REF!</v>
      </c>
      <c r="O243" s="31" t="str">
        <f t="shared" si="5"/>
        <v>Version 4.1 - 2026</v>
      </c>
      <c r="P243" s="97" t="e">
        <f>INDEX(Table_Custom_Measure_No[Description], MATCH(Table18[[#This Row],[Measure Number]], Table_Custom_Measure_No[Custom Measure No], 0))</f>
        <v>#N/A</v>
      </c>
      <c r="Q243" s="102" t="str">
        <f>'Input Custom Lighting Measures'!Y45</f>
        <v/>
      </c>
    </row>
    <row r="244" spans="1:17" x14ac:dyDescent="0.2">
      <c r="A244" s="34" t="s">
        <v>2927</v>
      </c>
      <c r="B244" s="32">
        <f t="shared" si="6"/>
        <v>0</v>
      </c>
      <c r="C244" s="32">
        <f>'Input Custom Lighting Measures'!B46</f>
        <v>42</v>
      </c>
      <c r="D244" s="32" t="str">
        <f>'Input Custom Lighting Measures'!C46</f>
        <v/>
      </c>
      <c r="E244" s="32">
        <f>'Input Custom Lighting Measures'!J46</f>
        <v>0</v>
      </c>
      <c r="F244" s="33">
        <f>'Input Custom Lighting Measures'!P46</f>
        <v>0</v>
      </c>
      <c r="G244" s="33" t="str">
        <f>'Input Custom Lighting Measures'!Z46</f>
        <v/>
      </c>
      <c r="H244" s="105" t="str">
        <f>'Input Custom Lighting Measures'!AA46</f>
        <v/>
      </c>
      <c r="I244" s="46" t="str">
        <f>IFERROR(Q244*MIN(Table_Measure_Caps[[#Totals],[Estimated Raw Incentive Total]], Table_Measure_Caps[[#Totals],[Gross Measure Cost Total]], Value_Project_CAP)/Table_Measure_Caps[[#Totals],[Estimated Raw Incentive Total]], "")</f>
        <v/>
      </c>
      <c r="J244" s="46">
        <f>'Input Custom Lighting Measures'!W46*'Input Custom Lighting Measures'!P46</f>
        <v>0</v>
      </c>
      <c r="K244" s="32">
        <f>'Input Custom Lighting Measures'!X46</f>
        <v>0</v>
      </c>
      <c r="L244" s="95">
        <f>'Input Custom Lighting Measures'!AF46</f>
        <v>0</v>
      </c>
      <c r="M244" s="96" t="e">
        <f>'Input Custom Lighting Measures'!#REF!</f>
        <v>#REF!</v>
      </c>
      <c r="N244" s="34" t="e">
        <f>'Input Custom Lighting Measures'!#REF!</f>
        <v>#REF!</v>
      </c>
      <c r="O244" s="31" t="str">
        <f t="shared" si="5"/>
        <v>Version 4.1 - 2026</v>
      </c>
      <c r="P244" s="97" t="e">
        <f>INDEX(Table_Custom_Measure_No[Description], MATCH(Table18[[#This Row],[Measure Number]], Table_Custom_Measure_No[Custom Measure No], 0))</f>
        <v>#N/A</v>
      </c>
      <c r="Q244" s="102" t="str">
        <f>'Input Custom Lighting Measures'!Y46</f>
        <v/>
      </c>
    </row>
    <row r="245" spans="1:17" x14ac:dyDescent="0.2">
      <c r="A245" s="34" t="s">
        <v>2927</v>
      </c>
      <c r="B245" s="32">
        <f t="shared" si="6"/>
        <v>0</v>
      </c>
      <c r="C245" s="32">
        <f>'Input Custom Lighting Measures'!B47</f>
        <v>43</v>
      </c>
      <c r="D245" s="32" t="str">
        <f>'Input Custom Lighting Measures'!C47</f>
        <v/>
      </c>
      <c r="E245" s="32">
        <f>'Input Custom Lighting Measures'!J47</f>
        <v>0</v>
      </c>
      <c r="F245" s="33">
        <f>'Input Custom Lighting Measures'!P47</f>
        <v>0</v>
      </c>
      <c r="G245" s="33" t="str">
        <f>'Input Custom Lighting Measures'!Z47</f>
        <v/>
      </c>
      <c r="H245" s="105" t="str">
        <f>'Input Custom Lighting Measures'!AA47</f>
        <v/>
      </c>
      <c r="I245" s="46" t="str">
        <f>IFERROR(Q245*MIN(Table_Measure_Caps[[#Totals],[Estimated Raw Incentive Total]], Table_Measure_Caps[[#Totals],[Gross Measure Cost Total]], Value_Project_CAP)/Table_Measure_Caps[[#Totals],[Estimated Raw Incentive Total]], "")</f>
        <v/>
      </c>
      <c r="J245" s="46">
        <f>'Input Custom Lighting Measures'!W47*'Input Custom Lighting Measures'!P47</f>
        <v>0</v>
      </c>
      <c r="K245" s="32">
        <f>'Input Custom Lighting Measures'!X47</f>
        <v>0</v>
      </c>
      <c r="L245" s="95">
        <f>'Input Custom Lighting Measures'!AF47</f>
        <v>0</v>
      </c>
      <c r="M245" s="96" t="e">
        <f>'Input Custom Lighting Measures'!#REF!</f>
        <v>#REF!</v>
      </c>
      <c r="N245" s="34" t="e">
        <f>'Input Custom Lighting Measures'!#REF!</f>
        <v>#REF!</v>
      </c>
      <c r="O245" s="31" t="str">
        <f t="shared" si="5"/>
        <v>Version 4.1 - 2026</v>
      </c>
      <c r="P245" s="97" t="e">
        <f>INDEX(Table_Custom_Measure_No[Description], MATCH(Table18[[#This Row],[Measure Number]], Table_Custom_Measure_No[Custom Measure No], 0))</f>
        <v>#N/A</v>
      </c>
      <c r="Q245" s="102" t="str">
        <f>'Input Custom Lighting Measures'!Y47</f>
        <v/>
      </c>
    </row>
    <row r="246" spans="1:17" x14ac:dyDescent="0.2">
      <c r="A246" s="34" t="s">
        <v>2927</v>
      </c>
      <c r="B246" s="32">
        <f t="shared" si="6"/>
        <v>0</v>
      </c>
      <c r="C246" s="32">
        <f>'Input Custom Lighting Measures'!B48</f>
        <v>44</v>
      </c>
      <c r="D246" s="32" t="str">
        <f>'Input Custom Lighting Measures'!C48</f>
        <v/>
      </c>
      <c r="E246" s="32">
        <f>'Input Custom Lighting Measures'!J48</f>
        <v>0</v>
      </c>
      <c r="F246" s="33">
        <f>'Input Custom Lighting Measures'!P48</f>
        <v>0</v>
      </c>
      <c r="G246" s="33" t="str">
        <f>'Input Custom Lighting Measures'!Z48</f>
        <v/>
      </c>
      <c r="H246" s="105" t="str">
        <f>'Input Custom Lighting Measures'!AA48</f>
        <v/>
      </c>
      <c r="I246" s="46" t="str">
        <f>IFERROR(Q246*MIN(Table_Measure_Caps[[#Totals],[Estimated Raw Incentive Total]], Table_Measure_Caps[[#Totals],[Gross Measure Cost Total]], Value_Project_CAP)/Table_Measure_Caps[[#Totals],[Estimated Raw Incentive Total]], "")</f>
        <v/>
      </c>
      <c r="J246" s="46">
        <f>'Input Custom Lighting Measures'!W48*'Input Custom Lighting Measures'!P48</f>
        <v>0</v>
      </c>
      <c r="K246" s="32">
        <f>'Input Custom Lighting Measures'!X48</f>
        <v>0</v>
      </c>
      <c r="L246" s="95">
        <f>'Input Custom Lighting Measures'!AF48</f>
        <v>0</v>
      </c>
      <c r="M246" s="96" t="e">
        <f>'Input Custom Lighting Measures'!#REF!</f>
        <v>#REF!</v>
      </c>
      <c r="N246" s="34" t="e">
        <f>'Input Custom Lighting Measures'!#REF!</f>
        <v>#REF!</v>
      </c>
      <c r="O246" s="31" t="str">
        <f t="shared" si="5"/>
        <v>Version 4.1 - 2026</v>
      </c>
      <c r="P246" s="97" t="e">
        <f>INDEX(Table_Custom_Measure_No[Description], MATCH(Table18[[#This Row],[Measure Number]], Table_Custom_Measure_No[Custom Measure No], 0))</f>
        <v>#N/A</v>
      </c>
      <c r="Q246" s="102" t="str">
        <f>'Input Custom Lighting Measures'!Y48</f>
        <v/>
      </c>
    </row>
    <row r="247" spans="1:17" x14ac:dyDescent="0.2">
      <c r="A247" s="34" t="s">
        <v>2927</v>
      </c>
      <c r="B247" s="32">
        <f t="shared" si="6"/>
        <v>0</v>
      </c>
      <c r="C247" s="32">
        <f>'Input Custom Lighting Measures'!B49</f>
        <v>45</v>
      </c>
      <c r="D247" s="32" t="str">
        <f>'Input Custom Lighting Measures'!C49</f>
        <v/>
      </c>
      <c r="E247" s="32">
        <f>'Input Custom Lighting Measures'!J49</f>
        <v>0</v>
      </c>
      <c r="F247" s="33">
        <f>'Input Custom Lighting Measures'!P49</f>
        <v>0</v>
      </c>
      <c r="G247" s="33" t="str">
        <f>'Input Custom Lighting Measures'!Z49</f>
        <v/>
      </c>
      <c r="H247" s="105" t="str">
        <f>'Input Custom Lighting Measures'!AA49</f>
        <v/>
      </c>
      <c r="I247" s="46" t="str">
        <f>IFERROR(Q247*MIN(Table_Measure_Caps[[#Totals],[Estimated Raw Incentive Total]], Table_Measure_Caps[[#Totals],[Gross Measure Cost Total]], Value_Project_CAP)/Table_Measure_Caps[[#Totals],[Estimated Raw Incentive Total]], "")</f>
        <v/>
      </c>
      <c r="J247" s="46">
        <f>'Input Custom Lighting Measures'!W49*'Input Custom Lighting Measures'!P49</f>
        <v>0</v>
      </c>
      <c r="K247" s="32">
        <f>'Input Custom Lighting Measures'!X49</f>
        <v>0</v>
      </c>
      <c r="L247" s="95">
        <f>'Input Custom Lighting Measures'!AF49</f>
        <v>0</v>
      </c>
      <c r="M247" s="96" t="e">
        <f>'Input Custom Lighting Measures'!#REF!</f>
        <v>#REF!</v>
      </c>
      <c r="N247" s="34" t="e">
        <f>'Input Custom Lighting Measures'!#REF!</f>
        <v>#REF!</v>
      </c>
      <c r="O247" s="31" t="str">
        <f t="shared" si="5"/>
        <v>Version 4.1 - 2026</v>
      </c>
      <c r="P247" s="97" t="e">
        <f>INDEX(Table_Custom_Measure_No[Description], MATCH(Table18[[#This Row],[Measure Number]], Table_Custom_Measure_No[Custom Measure No], 0))</f>
        <v>#N/A</v>
      </c>
      <c r="Q247" s="102" t="str">
        <f>'Input Custom Lighting Measures'!Y49</f>
        <v/>
      </c>
    </row>
    <row r="248" spans="1:17" x14ac:dyDescent="0.2">
      <c r="A248" s="34" t="s">
        <v>2927</v>
      </c>
      <c r="B248" s="32">
        <f t="shared" si="6"/>
        <v>0</v>
      </c>
      <c r="C248" s="32">
        <f>'Input Custom Lighting Measures'!B50</f>
        <v>46</v>
      </c>
      <c r="D248" s="32" t="str">
        <f>'Input Custom Lighting Measures'!C50</f>
        <v/>
      </c>
      <c r="E248" s="32">
        <f>'Input Custom Lighting Measures'!J50</f>
        <v>0</v>
      </c>
      <c r="F248" s="33">
        <f>'Input Custom Lighting Measures'!P50</f>
        <v>0</v>
      </c>
      <c r="G248" s="33" t="str">
        <f>'Input Custom Lighting Measures'!Z50</f>
        <v/>
      </c>
      <c r="H248" s="105" t="str">
        <f>'Input Custom Lighting Measures'!AA50</f>
        <v/>
      </c>
      <c r="I248" s="46" t="str">
        <f>IFERROR(Q248*MIN(Table_Measure_Caps[[#Totals],[Estimated Raw Incentive Total]], Table_Measure_Caps[[#Totals],[Gross Measure Cost Total]], Value_Project_CAP)/Table_Measure_Caps[[#Totals],[Estimated Raw Incentive Total]], "")</f>
        <v/>
      </c>
      <c r="J248" s="46">
        <f>'Input Custom Lighting Measures'!W50*'Input Custom Lighting Measures'!P50</f>
        <v>0</v>
      </c>
      <c r="K248" s="32">
        <f>'Input Custom Lighting Measures'!X50</f>
        <v>0</v>
      </c>
      <c r="L248" s="95">
        <f>'Input Custom Lighting Measures'!AF50</f>
        <v>0</v>
      </c>
      <c r="M248" s="96" t="e">
        <f>'Input Custom Lighting Measures'!#REF!</f>
        <v>#REF!</v>
      </c>
      <c r="N248" s="34" t="e">
        <f>'Input Custom Lighting Measures'!#REF!</f>
        <v>#REF!</v>
      </c>
      <c r="O248" s="31" t="str">
        <f t="shared" si="5"/>
        <v>Version 4.1 - 2026</v>
      </c>
      <c r="P248" s="97" t="e">
        <f>INDEX(Table_Custom_Measure_No[Description], MATCH(Table18[[#This Row],[Measure Number]], Table_Custom_Measure_No[Custom Measure No], 0))</f>
        <v>#N/A</v>
      </c>
      <c r="Q248" s="102" t="str">
        <f>'Input Custom Lighting Measures'!Y50</f>
        <v/>
      </c>
    </row>
    <row r="249" spans="1:17" x14ac:dyDescent="0.2">
      <c r="A249" s="34" t="s">
        <v>2927</v>
      </c>
      <c r="B249" s="32">
        <f t="shared" si="6"/>
        <v>0</v>
      </c>
      <c r="C249" s="32">
        <f>'Input Custom Lighting Measures'!B51</f>
        <v>47</v>
      </c>
      <c r="D249" s="32" t="str">
        <f>'Input Custom Lighting Measures'!C51</f>
        <v/>
      </c>
      <c r="E249" s="32">
        <f>'Input Custom Lighting Measures'!J51</f>
        <v>0</v>
      </c>
      <c r="F249" s="33">
        <f>'Input Custom Lighting Measures'!P51</f>
        <v>0</v>
      </c>
      <c r="G249" s="33" t="str">
        <f>'Input Custom Lighting Measures'!Z51</f>
        <v/>
      </c>
      <c r="H249" s="105" t="str">
        <f>'Input Custom Lighting Measures'!AA51</f>
        <v/>
      </c>
      <c r="I249" s="46" t="str">
        <f>IFERROR(Q249*MIN(Table_Measure_Caps[[#Totals],[Estimated Raw Incentive Total]], Table_Measure_Caps[[#Totals],[Gross Measure Cost Total]], Value_Project_CAP)/Table_Measure_Caps[[#Totals],[Estimated Raw Incentive Total]], "")</f>
        <v/>
      </c>
      <c r="J249" s="46">
        <f>'Input Custom Lighting Measures'!W51*'Input Custom Lighting Measures'!P51</f>
        <v>0</v>
      </c>
      <c r="K249" s="32">
        <f>'Input Custom Lighting Measures'!X51</f>
        <v>0</v>
      </c>
      <c r="L249" s="95">
        <f>'Input Custom Lighting Measures'!AF51</f>
        <v>0</v>
      </c>
      <c r="M249" s="96" t="e">
        <f>'Input Custom Lighting Measures'!#REF!</f>
        <v>#REF!</v>
      </c>
      <c r="N249" s="34" t="e">
        <f>'Input Custom Lighting Measures'!#REF!</f>
        <v>#REF!</v>
      </c>
      <c r="O249" s="31" t="str">
        <f t="shared" si="5"/>
        <v>Version 4.1 - 2026</v>
      </c>
      <c r="P249" s="97" t="e">
        <f>INDEX(Table_Custom_Measure_No[Description], MATCH(Table18[[#This Row],[Measure Number]], Table_Custom_Measure_No[Custom Measure No], 0))</f>
        <v>#N/A</v>
      </c>
      <c r="Q249" s="102" t="str">
        <f>'Input Custom Lighting Measures'!Y51</f>
        <v/>
      </c>
    </row>
    <row r="250" spans="1:17" x14ac:dyDescent="0.2">
      <c r="A250" s="34" t="s">
        <v>2927</v>
      </c>
      <c r="B250" s="32">
        <f t="shared" si="6"/>
        <v>0</v>
      </c>
      <c r="C250" s="32">
        <f>'Input Custom Lighting Measures'!B52</f>
        <v>48</v>
      </c>
      <c r="D250" s="32" t="str">
        <f>'Input Custom Lighting Measures'!C52</f>
        <v/>
      </c>
      <c r="E250" s="32">
        <f>'Input Custom Lighting Measures'!J52</f>
        <v>0</v>
      </c>
      <c r="F250" s="33">
        <f>'Input Custom Lighting Measures'!P52</f>
        <v>0</v>
      </c>
      <c r="G250" s="33" t="str">
        <f>'Input Custom Lighting Measures'!Z52</f>
        <v/>
      </c>
      <c r="H250" s="105" t="str">
        <f>'Input Custom Lighting Measures'!AA52</f>
        <v/>
      </c>
      <c r="I250" s="46" t="str">
        <f>IFERROR(Q250*MIN(Table_Measure_Caps[[#Totals],[Estimated Raw Incentive Total]], Table_Measure_Caps[[#Totals],[Gross Measure Cost Total]], Value_Project_CAP)/Table_Measure_Caps[[#Totals],[Estimated Raw Incentive Total]], "")</f>
        <v/>
      </c>
      <c r="J250" s="46">
        <f>'Input Custom Lighting Measures'!W52*'Input Custom Lighting Measures'!P52</f>
        <v>0</v>
      </c>
      <c r="K250" s="32">
        <f>'Input Custom Lighting Measures'!X52</f>
        <v>0</v>
      </c>
      <c r="L250" s="95">
        <f>'Input Custom Lighting Measures'!AF52</f>
        <v>0</v>
      </c>
      <c r="M250" s="96" t="e">
        <f>'Input Custom Lighting Measures'!#REF!</f>
        <v>#REF!</v>
      </c>
      <c r="N250" s="34" t="e">
        <f>'Input Custom Lighting Measures'!#REF!</f>
        <v>#REF!</v>
      </c>
      <c r="O250" s="31" t="str">
        <f t="shared" si="5"/>
        <v>Version 4.1 - 2026</v>
      </c>
      <c r="P250" s="97" t="e">
        <f>INDEX(Table_Custom_Measure_No[Description], MATCH(Table18[[#This Row],[Measure Number]], Table_Custom_Measure_No[Custom Measure No], 0))</f>
        <v>#N/A</v>
      </c>
      <c r="Q250" s="102" t="str">
        <f>'Input Custom Lighting Measures'!Y52</f>
        <v/>
      </c>
    </row>
    <row r="251" spans="1:17" x14ac:dyDescent="0.2">
      <c r="A251" s="34" t="s">
        <v>2927</v>
      </c>
      <c r="B251" s="32">
        <f t="shared" si="6"/>
        <v>0</v>
      </c>
      <c r="C251" s="32">
        <f>'Input Custom Lighting Measures'!B53</f>
        <v>49</v>
      </c>
      <c r="D251" s="32" t="str">
        <f>'Input Custom Lighting Measures'!C53</f>
        <v/>
      </c>
      <c r="E251" s="32">
        <f>'Input Custom Lighting Measures'!J53</f>
        <v>0</v>
      </c>
      <c r="F251" s="33">
        <f>'Input Custom Lighting Measures'!P53</f>
        <v>0</v>
      </c>
      <c r="G251" s="33" t="str">
        <f>'Input Custom Lighting Measures'!Z53</f>
        <v/>
      </c>
      <c r="H251" s="105" t="str">
        <f>'Input Custom Lighting Measures'!AA53</f>
        <v/>
      </c>
      <c r="I251" s="46" t="str">
        <f>IFERROR(Q251*MIN(Table_Measure_Caps[[#Totals],[Estimated Raw Incentive Total]], Table_Measure_Caps[[#Totals],[Gross Measure Cost Total]], Value_Project_CAP)/Table_Measure_Caps[[#Totals],[Estimated Raw Incentive Total]], "")</f>
        <v/>
      </c>
      <c r="J251" s="46">
        <f>'Input Custom Lighting Measures'!W53*'Input Custom Lighting Measures'!P53</f>
        <v>0</v>
      </c>
      <c r="K251" s="32">
        <f>'Input Custom Lighting Measures'!X53</f>
        <v>0</v>
      </c>
      <c r="L251" s="95">
        <f>'Input Custom Lighting Measures'!AF53</f>
        <v>0</v>
      </c>
      <c r="M251" s="96" t="e">
        <f>'Input Custom Lighting Measures'!#REF!</f>
        <v>#REF!</v>
      </c>
      <c r="N251" s="34" t="e">
        <f>'Input Custom Lighting Measures'!#REF!</f>
        <v>#REF!</v>
      </c>
      <c r="O251" s="31" t="str">
        <f t="shared" si="5"/>
        <v>Version 4.1 - 2026</v>
      </c>
      <c r="P251" s="97" t="e">
        <f>INDEX(Table_Custom_Measure_No[Description], MATCH(Table18[[#This Row],[Measure Number]], Table_Custom_Measure_No[Custom Measure No], 0))</f>
        <v>#N/A</v>
      </c>
      <c r="Q251" s="102" t="str">
        <f>'Input Custom Lighting Measures'!Y53</f>
        <v/>
      </c>
    </row>
    <row r="252" spans="1:17" x14ac:dyDescent="0.2">
      <c r="A252" s="34" t="s">
        <v>2927</v>
      </c>
      <c r="B252" s="32">
        <f t="shared" si="6"/>
        <v>0</v>
      </c>
      <c r="C252" s="32">
        <f>'Input Custom Lighting Measures'!B54</f>
        <v>50</v>
      </c>
      <c r="D252" s="32" t="str">
        <f>'Input Custom Lighting Measures'!C54</f>
        <v/>
      </c>
      <c r="E252" s="32">
        <f>'Input Custom Lighting Measures'!J54</f>
        <v>0</v>
      </c>
      <c r="F252" s="33">
        <f>'Input Custom Lighting Measures'!P54</f>
        <v>0</v>
      </c>
      <c r="G252" s="33" t="str">
        <f>'Input Custom Lighting Measures'!Z54</f>
        <v/>
      </c>
      <c r="H252" s="105" t="str">
        <f>'Input Custom Lighting Measures'!AA54</f>
        <v/>
      </c>
      <c r="I252" s="46" t="str">
        <f>IFERROR(Q252*MIN(Table_Measure_Caps[[#Totals],[Estimated Raw Incentive Total]], Table_Measure_Caps[[#Totals],[Gross Measure Cost Total]], Value_Project_CAP)/Table_Measure_Caps[[#Totals],[Estimated Raw Incentive Total]], "")</f>
        <v/>
      </c>
      <c r="J252" s="46">
        <f>'Input Custom Lighting Measures'!W54*'Input Custom Lighting Measures'!P54</f>
        <v>0</v>
      </c>
      <c r="K252" s="32">
        <f>'Input Custom Lighting Measures'!X54</f>
        <v>0</v>
      </c>
      <c r="L252" s="95">
        <f>'Input Custom Lighting Measures'!AF54</f>
        <v>0</v>
      </c>
      <c r="M252" s="96" t="e">
        <f>'Input Custom Lighting Measures'!#REF!</f>
        <v>#REF!</v>
      </c>
      <c r="N252" s="34" t="e">
        <f>'Input Custom Lighting Measures'!#REF!</f>
        <v>#REF!</v>
      </c>
      <c r="O252" s="31" t="str">
        <f t="shared" si="5"/>
        <v>Version 4.1 - 2026</v>
      </c>
      <c r="P252" s="97" t="e">
        <f>INDEX(Table_Custom_Measure_No[Description], MATCH(Table18[[#This Row],[Measure Number]], Table_Custom_Measure_No[Custom Measure No], 0))</f>
        <v>#N/A</v>
      </c>
      <c r="Q252" s="102" t="str">
        <f>'Input Custom Lighting Measures'!Y54</f>
        <v/>
      </c>
    </row>
    <row r="253" spans="1:17" x14ac:dyDescent="0.2">
      <c r="A253" s="34" t="s">
        <v>2927</v>
      </c>
      <c r="B253" s="32">
        <f t="shared" si="6"/>
        <v>0</v>
      </c>
      <c r="C253" s="32">
        <f>'Input Custom Lighting Measures'!B55</f>
        <v>51</v>
      </c>
      <c r="D253" s="32" t="str">
        <f>'Input Custom Lighting Measures'!C55</f>
        <v/>
      </c>
      <c r="E253" s="32">
        <f>'Input Custom Lighting Measures'!J55</f>
        <v>0</v>
      </c>
      <c r="F253" s="33">
        <f>'Input Custom Lighting Measures'!P55</f>
        <v>0</v>
      </c>
      <c r="G253" s="33" t="str">
        <f>'Input Custom Lighting Measures'!Z55</f>
        <v/>
      </c>
      <c r="H253" s="105" t="str">
        <f>'Input Custom Lighting Measures'!AA55</f>
        <v/>
      </c>
      <c r="I253" s="46" t="str">
        <f>IFERROR(Q253*MIN(Table_Measure_Caps[[#Totals],[Estimated Raw Incentive Total]], Table_Measure_Caps[[#Totals],[Gross Measure Cost Total]], Value_Project_CAP)/Table_Measure_Caps[[#Totals],[Estimated Raw Incentive Total]], "")</f>
        <v/>
      </c>
      <c r="J253" s="46">
        <f>'Input Custom Lighting Measures'!W55*'Input Custom Lighting Measures'!P55</f>
        <v>0</v>
      </c>
      <c r="K253" s="32">
        <f>'Input Custom Lighting Measures'!X55</f>
        <v>0</v>
      </c>
      <c r="L253" s="95">
        <f>'Input Custom Lighting Measures'!AF55</f>
        <v>0</v>
      </c>
      <c r="M253" s="96" t="e">
        <f>'Input Custom Lighting Measures'!#REF!</f>
        <v>#REF!</v>
      </c>
      <c r="N253" s="34" t="e">
        <f>'Input Custom Lighting Measures'!#REF!</f>
        <v>#REF!</v>
      </c>
      <c r="O253" s="31" t="str">
        <f t="shared" si="5"/>
        <v>Version 4.1 - 2026</v>
      </c>
      <c r="P253" s="97" t="e">
        <f>INDEX(Table_Custom_Measure_No[Description], MATCH(Table18[[#This Row],[Measure Number]], Table_Custom_Measure_No[Custom Measure No], 0))</f>
        <v>#N/A</v>
      </c>
      <c r="Q253" s="102" t="str">
        <f>'Input Custom Lighting Measures'!Y55</f>
        <v/>
      </c>
    </row>
    <row r="254" spans="1:17" x14ac:dyDescent="0.2">
      <c r="A254" s="34" t="s">
        <v>2927</v>
      </c>
      <c r="B254" s="32">
        <f t="shared" si="6"/>
        <v>0</v>
      </c>
      <c r="C254" s="32">
        <f>'Input Custom Lighting Measures'!B56</f>
        <v>52</v>
      </c>
      <c r="D254" s="32" t="str">
        <f>'Input Custom Lighting Measures'!C56</f>
        <v/>
      </c>
      <c r="E254" s="32">
        <f>'Input Custom Lighting Measures'!J56</f>
        <v>0</v>
      </c>
      <c r="F254" s="33">
        <f>'Input Custom Lighting Measures'!P56</f>
        <v>0</v>
      </c>
      <c r="G254" s="33" t="str">
        <f>'Input Custom Lighting Measures'!Z56</f>
        <v/>
      </c>
      <c r="H254" s="105" t="str">
        <f>'Input Custom Lighting Measures'!AA56</f>
        <v/>
      </c>
      <c r="I254" s="46" t="str">
        <f>IFERROR(Q254*MIN(Table_Measure_Caps[[#Totals],[Estimated Raw Incentive Total]], Table_Measure_Caps[[#Totals],[Gross Measure Cost Total]], Value_Project_CAP)/Table_Measure_Caps[[#Totals],[Estimated Raw Incentive Total]], "")</f>
        <v/>
      </c>
      <c r="J254" s="46">
        <f>'Input Custom Lighting Measures'!W56*'Input Custom Lighting Measures'!P56</f>
        <v>0</v>
      </c>
      <c r="K254" s="32">
        <f>'Input Custom Lighting Measures'!X56</f>
        <v>0</v>
      </c>
      <c r="L254" s="95">
        <f>'Input Custom Lighting Measures'!AF56</f>
        <v>0</v>
      </c>
      <c r="M254" s="96" t="e">
        <f>'Input Custom Lighting Measures'!#REF!</f>
        <v>#REF!</v>
      </c>
      <c r="N254" s="34" t="e">
        <f>'Input Custom Lighting Measures'!#REF!</f>
        <v>#REF!</v>
      </c>
      <c r="O254" s="31" t="str">
        <f t="shared" si="5"/>
        <v>Version 4.1 - 2026</v>
      </c>
      <c r="P254" s="97" t="e">
        <f>INDEX(Table_Custom_Measure_No[Description], MATCH(Table18[[#This Row],[Measure Number]], Table_Custom_Measure_No[Custom Measure No], 0))</f>
        <v>#N/A</v>
      </c>
      <c r="Q254" s="102" t="str">
        <f>'Input Custom Lighting Measures'!Y56</f>
        <v/>
      </c>
    </row>
    <row r="255" spans="1:17" x14ac:dyDescent="0.2">
      <c r="A255" s="34" t="s">
        <v>2927</v>
      </c>
      <c r="B255" s="32">
        <f t="shared" si="6"/>
        <v>0</v>
      </c>
      <c r="C255" s="32">
        <f>'Input Custom Lighting Measures'!B57</f>
        <v>53</v>
      </c>
      <c r="D255" s="32" t="str">
        <f>'Input Custom Lighting Measures'!C57</f>
        <v/>
      </c>
      <c r="E255" s="32">
        <f>'Input Custom Lighting Measures'!J57</f>
        <v>0</v>
      </c>
      <c r="F255" s="33">
        <f>'Input Custom Lighting Measures'!P57</f>
        <v>0</v>
      </c>
      <c r="G255" s="33" t="str">
        <f>'Input Custom Lighting Measures'!Z57</f>
        <v/>
      </c>
      <c r="H255" s="105" t="str">
        <f>'Input Custom Lighting Measures'!AA57</f>
        <v/>
      </c>
      <c r="I255" s="46" t="str">
        <f>IFERROR(Q255*MIN(Table_Measure_Caps[[#Totals],[Estimated Raw Incentive Total]], Table_Measure_Caps[[#Totals],[Gross Measure Cost Total]], Value_Project_CAP)/Table_Measure_Caps[[#Totals],[Estimated Raw Incentive Total]], "")</f>
        <v/>
      </c>
      <c r="J255" s="46">
        <f>'Input Custom Lighting Measures'!W57*'Input Custom Lighting Measures'!P57</f>
        <v>0</v>
      </c>
      <c r="K255" s="32">
        <f>'Input Custom Lighting Measures'!X57</f>
        <v>0</v>
      </c>
      <c r="L255" s="95">
        <f>'Input Custom Lighting Measures'!AF57</f>
        <v>0</v>
      </c>
      <c r="M255" s="96" t="e">
        <f>'Input Custom Lighting Measures'!#REF!</f>
        <v>#REF!</v>
      </c>
      <c r="N255" s="34" t="e">
        <f>'Input Custom Lighting Measures'!#REF!</f>
        <v>#REF!</v>
      </c>
      <c r="O255" s="31" t="str">
        <f t="shared" si="5"/>
        <v>Version 4.1 - 2026</v>
      </c>
      <c r="P255" s="97" t="e">
        <f>INDEX(Table_Custom_Measure_No[Description], MATCH(Table18[[#This Row],[Measure Number]], Table_Custom_Measure_No[Custom Measure No], 0))</f>
        <v>#N/A</v>
      </c>
      <c r="Q255" s="102" t="str">
        <f>'Input Custom Lighting Measures'!Y57</f>
        <v/>
      </c>
    </row>
    <row r="256" spans="1:17" x14ac:dyDescent="0.2">
      <c r="A256" s="34" t="s">
        <v>2927</v>
      </c>
      <c r="B256" s="32">
        <f t="shared" si="6"/>
        <v>0</v>
      </c>
      <c r="C256" s="32">
        <f>'Input Custom Lighting Measures'!B58</f>
        <v>54</v>
      </c>
      <c r="D256" s="32" t="str">
        <f>'Input Custom Lighting Measures'!C58</f>
        <v/>
      </c>
      <c r="E256" s="32">
        <f>'Input Custom Lighting Measures'!J58</f>
        <v>0</v>
      </c>
      <c r="F256" s="33">
        <f>'Input Custom Lighting Measures'!P58</f>
        <v>0</v>
      </c>
      <c r="G256" s="33" t="str">
        <f>'Input Custom Lighting Measures'!Z58</f>
        <v/>
      </c>
      <c r="H256" s="105" t="str">
        <f>'Input Custom Lighting Measures'!AA58</f>
        <v/>
      </c>
      <c r="I256" s="46" t="str">
        <f>IFERROR(Q256*MIN(Table_Measure_Caps[[#Totals],[Estimated Raw Incentive Total]], Table_Measure_Caps[[#Totals],[Gross Measure Cost Total]], Value_Project_CAP)/Table_Measure_Caps[[#Totals],[Estimated Raw Incentive Total]], "")</f>
        <v/>
      </c>
      <c r="J256" s="46">
        <f>'Input Custom Lighting Measures'!W58*'Input Custom Lighting Measures'!P58</f>
        <v>0</v>
      </c>
      <c r="K256" s="32">
        <f>'Input Custom Lighting Measures'!X58</f>
        <v>0</v>
      </c>
      <c r="L256" s="95">
        <f>'Input Custom Lighting Measures'!AF58</f>
        <v>0</v>
      </c>
      <c r="M256" s="96" t="e">
        <f>'Input Custom Lighting Measures'!#REF!</f>
        <v>#REF!</v>
      </c>
      <c r="N256" s="34" t="e">
        <f>'Input Custom Lighting Measures'!#REF!</f>
        <v>#REF!</v>
      </c>
      <c r="O256" s="31" t="str">
        <f t="shared" si="5"/>
        <v>Version 4.1 - 2026</v>
      </c>
      <c r="P256" s="97" t="e">
        <f>INDEX(Table_Custom_Measure_No[Description], MATCH(Table18[[#This Row],[Measure Number]], Table_Custom_Measure_No[Custom Measure No], 0))</f>
        <v>#N/A</v>
      </c>
      <c r="Q256" s="102" t="str">
        <f>'Input Custom Lighting Measures'!Y58</f>
        <v/>
      </c>
    </row>
    <row r="257" spans="1:17" x14ac:dyDescent="0.2">
      <c r="A257" s="34" t="s">
        <v>2927</v>
      </c>
      <c r="B257" s="32">
        <f t="shared" si="6"/>
        <v>0</v>
      </c>
      <c r="C257" s="32">
        <f>'Input Custom Lighting Measures'!B59</f>
        <v>55</v>
      </c>
      <c r="D257" s="32" t="str">
        <f>'Input Custom Lighting Measures'!C59</f>
        <v/>
      </c>
      <c r="E257" s="32">
        <f>'Input Custom Lighting Measures'!J59</f>
        <v>0</v>
      </c>
      <c r="F257" s="33">
        <f>'Input Custom Lighting Measures'!P59</f>
        <v>0</v>
      </c>
      <c r="G257" s="33" t="str">
        <f>'Input Custom Lighting Measures'!Z59</f>
        <v/>
      </c>
      <c r="H257" s="105" t="str">
        <f>'Input Custom Lighting Measures'!AA59</f>
        <v/>
      </c>
      <c r="I257" s="46" t="str">
        <f>IFERROR(Q257*MIN(Table_Measure_Caps[[#Totals],[Estimated Raw Incentive Total]], Table_Measure_Caps[[#Totals],[Gross Measure Cost Total]], Value_Project_CAP)/Table_Measure_Caps[[#Totals],[Estimated Raw Incentive Total]], "")</f>
        <v/>
      </c>
      <c r="J257" s="46">
        <f>'Input Custom Lighting Measures'!W59*'Input Custom Lighting Measures'!P59</f>
        <v>0</v>
      </c>
      <c r="K257" s="32">
        <f>'Input Custom Lighting Measures'!X59</f>
        <v>0</v>
      </c>
      <c r="L257" s="95">
        <f>'Input Custom Lighting Measures'!AF59</f>
        <v>0</v>
      </c>
      <c r="M257" s="96" t="e">
        <f>'Input Custom Lighting Measures'!#REF!</f>
        <v>#REF!</v>
      </c>
      <c r="N257" s="34" t="e">
        <f>'Input Custom Lighting Measures'!#REF!</f>
        <v>#REF!</v>
      </c>
      <c r="O257" s="31" t="str">
        <f t="shared" si="5"/>
        <v>Version 4.1 - 2026</v>
      </c>
      <c r="P257" s="97" t="e">
        <f>INDEX(Table_Custom_Measure_No[Description], MATCH(Table18[[#This Row],[Measure Number]], Table_Custom_Measure_No[Custom Measure No], 0))</f>
        <v>#N/A</v>
      </c>
      <c r="Q257" s="102" t="str">
        <f>'Input Custom Lighting Measures'!Y59</f>
        <v/>
      </c>
    </row>
    <row r="258" spans="1:17" x14ac:dyDescent="0.2">
      <c r="A258" s="34" t="s">
        <v>2927</v>
      </c>
      <c r="B258" s="32">
        <f t="shared" si="6"/>
        <v>0</v>
      </c>
      <c r="C258" s="32">
        <f>'Input Custom Lighting Measures'!B60</f>
        <v>56</v>
      </c>
      <c r="D258" s="32" t="str">
        <f>'Input Custom Lighting Measures'!C60</f>
        <v/>
      </c>
      <c r="E258" s="32">
        <f>'Input Custom Lighting Measures'!J60</f>
        <v>0</v>
      </c>
      <c r="F258" s="33">
        <f>'Input Custom Lighting Measures'!P60</f>
        <v>0</v>
      </c>
      <c r="G258" s="33" t="str">
        <f>'Input Custom Lighting Measures'!Z60</f>
        <v/>
      </c>
      <c r="H258" s="105" t="str">
        <f>'Input Custom Lighting Measures'!AA60</f>
        <v/>
      </c>
      <c r="I258" s="46" t="str">
        <f>IFERROR(Q258*MIN(Table_Measure_Caps[[#Totals],[Estimated Raw Incentive Total]], Table_Measure_Caps[[#Totals],[Gross Measure Cost Total]], Value_Project_CAP)/Table_Measure_Caps[[#Totals],[Estimated Raw Incentive Total]], "")</f>
        <v/>
      </c>
      <c r="J258" s="46">
        <f>'Input Custom Lighting Measures'!W60*'Input Custom Lighting Measures'!P60</f>
        <v>0</v>
      </c>
      <c r="K258" s="32">
        <f>'Input Custom Lighting Measures'!X60</f>
        <v>0</v>
      </c>
      <c r="L258" s="95">
        <f>'Input Custom Lighting Measures'!AF60</f>
        <v>0</v>
      </c>
      <c r="M258" s="96" t="e">
        <f>'Input Custom Lighting Measures'!#REF!</f>
        <v>#REF!</v>
      </c>
      <c r="N258" s="34" t="e">
        <f>'Input Custom Lighting Measures'!#REF!</f>
        <v>#REF!</v>
      </c>
      <c r="O258" s="31" t="str">
        <f t="shared" ref="O258:O321" si="7">Value_Application_Version</f>
        <v>Version 4.1 - 2026</v>
      </c>
      <c r="P258" s="97" t="e">
        <f>INDEX(Table_Custom_Measure_No[Description], MATCH(Table18[[#This Row],[Measure Number]], Table_Custom_Measure_No[Custom Measure No], 0))</f>
        <v>#N/A</v>
      </c>
      <c r="Q258" s="102" t="str">
        <f>'Input Custom Lighting Measures'!Y60</f>
        <v/>
      </c>
    </row>
    <row r="259" spans="1:17" x14ac:dyDescent="0.2">
      <c r="A259" s="34" t="s">
        <v>2927</v>
      </c>
      <c r="B259" s="32">
        <f t="shared" si="6"/>
        <v>0</v>
      </c>
      <c r="C259" s="32">
        <f>'Input Custom Lighting Measures'!B61</f>
        <v>57</v>
      </c>
      <c r="D259" s="32" t="str">
        <f>'Input Custom Lighting Measures'!C61</f>
        <v/>
      </c>
      <c r="E259" s="32">
        <f>'Input Custom Lighting Measures'!J61</f>
        <v>0</v>
      </c>
      <c r="F259" s="33">
        <f>'Input Custom Lighting Measures'!P61</f>
        <v>0</v>
      </c>
      <c r="G259" s="33" t="str">
        <f>'Input Custom Lighting Measures'!Z61</f>
        <v/>
      </c>
      <c r="H259" s="105" t="str">
        <f>'Input Custom Lighting Measures'!AA61</f>
        <v/>
      </c>
      <c r="I259" s="46" t="str">
        <f>IFERROR(Q259*MIN(Table_Measure_Caps[[#Totals],[Estimated Raw Incentive Total]], Table_Measure_Caps[[#Totals],[Gross Measure Cost Total]], Value_Project_CAP)/Table_Measure_Caps[[#Totals],[Estimated Raw Incentive Total]], "")</f>
        <v/>
      </c>
      <c r="J259" s="46">
        <f>'Input Custom Lighting Measures'!W61*'Input Custom Lighting Measures'!P61</f>
        <v>0</v>
      </c>
      <c r="K259" s="32">
        <f>'Input Custom Lighting Measures'!X61</f>
        <v>0</v>
      </c>
      <c r="L259" s="95">
        <f>'Input Custom Lighting Measures'!AF61</f>
        <v>0</v>
      </c>
      <c r="M259" s="96" t="e">
        <f>'Input Custom Lighting Measures'!#REF!</f>
        <v>#REF!</v>
      </c>
      <c r="N259" s="34" t="e">
        <f>'Input Custom Lighting Measures'!#REF!</f>
        <v>#REF!</v>
      </c>
      <c r="O259" s="31" t="str">
        <f t="shared" si="7"/>
        <v>Version 4.1 - 2026</v>
      </c>
      <c r="P259" s="97" t="e">
        <f>INDEX(Table_Custom_Measure_No[Description], MATCH(Table18[[#This Row],[Measure Number]], Table_Custom_Measure_No[Custom Measure No], 0))</f>
        <v>#N/A</v>
      </c>
      <c r="Q259" s="102" t="str">
        <f>'Input Custom Lighting Measures'!Y61</f>
        <v/>
      </c>
    </row>
    <row r="260" spans="1:17" x14ac:dyDescent="0.2">
      <c r="A260" s="34" t="s">
        <v>2927</v>
      </c>
      <c r="B260" s="32">
        <f t="shared" si="6"/>
        <v>0</v>
      </c>
      <c r="C260" s="32">
        <f>'Input Custom Lighting Measures'!B62</f>
        <v>58</v>
      </c>
      <c r="D260" s="32" t="str">
        <f>'Input Custom Lighting Measures'!C62</f>
        <v/>
      </c>
      <c r="E260" s="32">
        <f>'Input Custom Lighting Measures'!J62</f>
        <v>0</v>
      </c>
      <c r="F260" s="33">
        <f>'Input Custom Lighting Measures'!P62</f>
        <v>0</v>
      </c>
      <c r="G260" s="33" t="str">
        <f>'Input Custom Lighting Measures'!Z62</f>
        <v/>
      </c>
      <c r="H260" s="105" t="str">
        <f>'Input Custom Lighting Measures'!AA62</f>
        <v/>
      </c>
      <c r="I260" s="46" t="str">
        <f>IFERROR(Q260*MIN(Table_Measure_Caps[[#Totals],[Estimated Raw Incentive Total]], Table_Measure_Caps[[#Totals],[Gross Measure Cost Total]], Value_Project_CAP)/Table_Measure_Caps[[#Totals],[Estimated Raw Incentive Total]], "")</f>
        <v/>
      </c>
      <c r="J260" s="46">
        <f>'Input Custom Lighting Measures'!W62*'Input Custom Lighting Measures'!P62</f>
        <v>0</v>
      </c>
      <c r="K260" s="32">
        <f>'Input Custom Lighting Measures'!X62</f>
        <v>0</v>
      </c>
      <c r="L260" s="95">
        <f>'Input Custom Lighting Measures'!AF62</f>
        <v>0</v>
      </c>
      <c r="M260" s="96" t="e">
        <f>'Input Custom Lighting Measures'!#REF!</f>
        <v>#REF!</v>
      </c>
      <c r="N260" s="34" t="e">
        <f>'Input Custom Lighting Measures'!#REF!</f>
        <v>#REF!</v>
      </c>
      <c r="O260" s="31" t="str">
        <f t="shared" si="7"/>
        <v>Version 4.1 - 2026</v>
      </c>
      <c r="P260" s="97" t="e">
        <f>INDEX(Table_Custom_Measure_No[Description], MATCH(Table18[[#This Row],[Measure Number]], Table_Custom_Measure_No[Custom Measure No], 0))</f>
        <v>#N/A</v>
      </c>
      <c r="Q260" s="102" t="str">
        <f>'Input Custom Lighting Measures'!Y62</f>
        <v/>
      </c>
    </row>
    <row r="261" spans="1:17" x14ac:dyDescent="0.2">
      <c r="A261" s="34" t="s">
        <v>2927</v>
      </c>
      <c r="B261" s="32">
        <f t="shared" si="6"/>
        <v>0</v>
      </c>
      <c r="C261" s="32">
        <f>'Input Custom Lighting Measures'!B63</f>
        <v>59</v>
      </c>
      <c r="D261" s="32" t="str">
        <f>'Input Custom Lighting Measures'!C63</f>
        <v/>
      </c>
      <c r="E261" s="32">
        <f>'Input Custom Lighting Measures'!J63</f>
        <v>0</v>
      </c>
      <c r="F261" s="33">
        <f>'Input Custom Lighting Measures'!P63</f>
        <v>0</v>
      </c>
      <c r="G261" s="33" t="str">
        <f>'Input Custom Lighting Measures'!Z63</f>
        <v/>
      </c>
      <c r="H261" s="105" t="str">
        <f>'Input Custom Lighting Measures'!AA63</f>
        <v/>
      </c>
      <c r="I261" s="46" t="str">
        <f>IFERROR(Q261*MIN(Table_Measure_Caps[[#Totals],[Estimated Raw Incentive Total]], Table_Measure_Caps[[#Totals],[Gross Measure Cost Total]], Value_Project_CAP)/Table_Measure_Caps[[#Totals],[Estimated Raw Incentive Total]], "")</f>
        <v/>
      </c>
      <c r="J261" s="46">
        <f>'Input Custom Lighting Measures'!W63*'Input Custom Lighting Measures'!P63</f>
        <v>0</v>
      </c>
      <c r="K261" s="32">
        <f>'Input Custom Lighting Measures'!X63</f>
        <v>0</v>
      </c>
      <c r="L261" s="95">
        <f>'Input Custom Lighting Measures'!AF63</f>
        <v>0</v>
      </c>
      <c r="M261" s="96" t="e">
        <f>'Input Custom Lighting Measures'!#REF!</f>
        <v>#REF!</v>
      </c>
      <c r="N261" s="34" t="e">
        <f>'Input Custom Lighting Measures'!#REF!</f>
        <v>#REF!</v>
      </c>
      <c r="O261" s="31" t="str">
        <f t="shared" si="7"/>
        <v>Version 4.1 - 2026</v>
      </c>
      <c r="P261" s="97" t="e">
        <f>INDEX(Table_Custom_Measure_No[Description], MATCH(Table18[[#This Row],[Measure Number]], Table_Custom_Measure_No[Custom Measure No], 0))</f>
        <v>#N/A</v>
      </c>
      <c r="Q261" s="102" t="str">
        <f>'Input Custom Lighting Measures'!Y63</f>
        <v/>
      </c>
    </row>
    <row r="262" spans="1:17" x14ac:dyDescent="0.2">
      <c r="A262" s="34" t="s">
        <v>2927</v>
      </c>
      <c r="B262" s="32">
        <f t="shared" si="6"/>
        <v>0</v>
      </c>
      <c r="C262" s="32">
        <f>'Input Custom Lighting Measures'!B64</f>
        <v>60</v>
      </c>
      <c r="D262" s="32" t="str">
        <f>'Input Custom Lighting Measures'!C64</f>
        <v/>
      </c>
      <c r="E262" s="32">
        <f>'Input Custom Lighting Measures'!J64</f>
        <v>0</v>
      </c>
      <c r="F262" s="33">
        <f>'Input Custom Lighting Measures'!P64</f>
        <v>0</v>
      </c>
      <c r="G262" s="33" t="str">
        <f>'Input Custom Lighting Measures'!Z64</f>
        <v/>
      </c>
      <c r="H262" s="105" t="str">
        <f>'Input Custom Lighting Measures'!AA64</f>
        <v/>
      </c>
      <c r="I262" s="46" t="str">
        <f>IFERROR(Q262*MIN(Table_Measure_Caps[[#Totals],[Estimated Raw Incentive Total]], Table_Measure_Caps[[#Totals],[Gross Measure Cost Total]], Value_Project_CAP)/Table_Measure_Caps[[#Totals],[Estimated Raw Incentive Total]], "")</f>
        <v/>
      </c>
      <c r="J262" s="46">
        <f>'Input Custom Lighting Measures'!W64*'Input Custom Lighting Measures'!P64</f>
        <v>0</v>
      </c>
      <c r="K262" s="32">
        <f>'Input Custom Lighting Measures'!X64</f>
        <v>0</v>
      </c>
      <c r="L262" s="95">
        <f>'Input Custom Lighting Measures'!AF64</f>
        <v>0</v>
      </c>
      <c r="M262" s="96" t="e">
        <f>'Input Custom Lighting Measures'!#REF!</f>
        <v>#REF!</v>
      </c>
      <c r="N262" s="34" t="e">
        <f>'Input Custom Lighting Measures'!#REF!</f>
        <v>#REF!</v>
      </c>
      <c r="O262" s="31" t="str">
        <f t="shared" si="7"/>
        <v>Version 4.1 - 2026</v>
      </c>
      <c r="P262" s="97" t="e">
        <f>INDEX(Table_Custom_Measure_No[Description], MATCH(Table18[[#This Row],[Measure Number]], Table_Custom_Measure_No[Custom Measure No], 0))</f>
        <v>#N/A</v>
      </c>
      <c r="Q262" s="102" t="str">
        <f>'Input Custom Lighting Measures'!Y64</f>
        <v/>
      </c>
    </row>
    <row r="263" spans="1:17" x14ac:dyDescent="0.2">
      <c r="A263" s="34" t="s">
        <v>2927</v>
      </c>
      <c r="B263" s="32">
        <f t="shared" si="6"/>
        <v>0</v>
      </c>
      <c r="C263" s="32">
        <f>'Input Custom Lighting Measures'!B65</f>
        <v>61</v>
      </c>
      <c r="D263" s="32" t="str">
        <f>'Input Custom Lighting Measures'!C65</f>
        <v/>
      </c>
      <c r="E263" s="32">
        <f>'Input Custom Lighting Measures'!J65</f>
        <v>0</v>
      </c>
      <c r="F263" s="33">
        <f>'Input Custom Lighting Measures'!P65</f>
        <v>0</v>
      </c>
      <c r="G263" s="33" t="str">
        <f>'Input Custom Lighting Measures'!Z65</f>
        <v/>
      </c>
      <c r="H263" s="105" t="str">
        <f>'Input Custom Lighting Measures'!AA65</f>
        <v/>
      </c>
      <c r="I263" s="46" t="str">
        <f>IFERROR(Q263*MIN(Table_Measure_Caps[[#Totals],[Estimated Raw Incentive Total]], Table_Measure_Caps[[#Totals],[Gross Measure Cost Total]], Value_Project_CAP)/Table_Measure_Caps[[#Totals],[Estimated Raw Incentive Total]], "")</f>
        <v/>
      </c>
      <c r="J263" s="46">
        <f>'Input Custom Lighting Measures'!W65*'Input Custom Lighting Measures'!P65</f>
        <v>0</v>
      </c>
      <c r="K263" s="32">
        <f>'Input Custom Lighting Measures'!X65</f>
        <v>0</v>
      </c>
      <c r="L263" s="95">
        <f>'Input Custom Lighting Measures'!AF65</f>
        <v>0</v>
      </c>
      <c r="M263" s="96" t="e">
        <f>'Input Custom Lighting Measures'!#REF!</f>
        <v>#REF!</v>
      </c>
      <c r="N263" s="34" t="e">
        <f>'Input Custom Lighting Measures'!#REF!</f>
        <v>#REF!</v>
      </c>
      <c r="O263" s="31" t="str">
        <f t="shared" si="7"/>
        <v>Version 4.1 - 2026</v>
      </c>
      <c r="P263" s="97" t="e">
        <f>INDEX(Table_Custom_Measure_No[Description], MATCH(Table18[[#This Row],[Measure Number]], Table_Custom_Measure_No[Custom Measure No], 0))</f>
        <v>#N/A</v>
      </c>
      <c r="Q263" s="102" t="str">
        <f>'Input Custom Lighting Measures'!Y65</f>
        <v/>
      </c>
    </row>
    <row r="264" spans="1:17" x14ac:dyDescent="0.2">
      <c r="A264" s="34" t="s">
        <v>2927</v>
      </c>
      <c r="B264" s="32">
        <f t="shared" si="6"/>
        <v>0</v>
      </c>
      <c r="C264" s="32">
        <f>'Input Custom Lighting Measures'!B66</f>
        <v>62</v>
      </c>
      <c r="D264" s="32" t="str">
        <f>'Input Custom Lighting Measures'!C66</f>
        <v/>
      </c>
      <c r="E264" s="32">
        <f>'Input Custom Lighting Measures'!J66</f>
        <v>0</v>
      </c>
      <c r="F264" s="33">
        <f>'Input Custom Lighting Measures'!P66</f>
        <v>0</v>
      </c>
      <c r="G264" s="33" t="str">
        <f>'Input Custom Lighting Measures'!Z66</f>
        <v/>
      </c>
      <c r="H264" s="105" t="str">
        <f>'Input Custom Lighting Measures'!AA66</f>
        <v/>
      </c>
      <c r="I264" s="46" t="str">
        <f>IFERROR(Q264*MIN(Table_Measure_Caps[[#Totals],[Estimated Raw Incentive Total]], Table_Measure_Caps[[#Totals],[Gross Measure Cost Total]], Value_Project_CAP)/Table_Measure_Caps[[#Totals],[Estimated Raw Incentive Total]], "")</f>
        <v/>
      </c>
      <c r="J264" s="46">
        <f>'Input Custom Lighting Measures'!W66*'Input Custom Lighting Measures'!P66</f>
        <v>0</v>
      </c>
      <c r="K264" s="32">
        <f>'Input Custom Lighting Measures'!X66</f>
        <v>0</v>
      </c>
      <c r="L264" s="95">
        <f>'Input Custom Lighting Measures'!AF66</f>
        <v>0</v>
      </c>
      <c r="M264" s="96" t="e">
        <f>'Input Custom Lighting Measures'!#REF!</f>
        <v>#REF!</v>
      </c>
      <c r="N264" s="34" t="e">
        <f>'Input Custom Lighting Measures'!#REF!</f>
        <v>#REF!</v>
      </c>
      <c r="O264" s="31" t="str">
        <f t="shared" si="7"/>
        <v>Version 4.1 - 2026</v>
      </c>
      <c r="P264" s="97" t="e">
        <f>INDEX(Table_Custom_Measure_No[Description], MATCH(Table18[[#This Row],[Measure Number]], Table_Custom_Measure_No[Custom Measure No], 0))</f>
        <v>#N/A</v>
      </c>
      <c r="Q264" s="102" t="str">
        <f>'Input Custom Lighting Measures'!Y66</f>
        <v/>
      </c>
    </row>
    <row r="265" spans="1:17" x14ac:dyDescent="0.2">
      <c r="A265" s="34" t="s">
        <v>2927</v>
      </c>
      <c r="B265" s="32">
        <f t="shared" si="6"/>
        <v>0</v>
      </c>
      <c r="C265" s="32">
        <f>'Input Custom Lighting Measures'!B67</f>
        <v>63</v>
      </c>
      <c r="D265" s="32" t="str">
        <f>'Input Custom Lighting Measures'!C67</f>
        <v/>
      </c>
      <c r="E265" s="32">
        <f>'Input Custom Lighting Measures'!J67</f>
        <v>0</v>
      </c>
      <c r="F265" s="33">
        <f>'Input Custom Lighting Measures'!P67</f>
        <v>0</v>
      </c>
      <c r="G265" s="33" t="str">
        <f>'Input Custom Lighting Measures'!Z67</f>
        <v/>
      </c>
      <c r="H265" s="105" t="str">
        <f>'Input Custom Lighting Measures'!AA67</f>
        <v/>
      </c>
      <c r="I265" s="46" t="str">
        <f>IFERROR(Q265*MIN(Table_Measure_Caps[[#Totals],[Estimated Raw Incentive Total]], Table_Measure_Caps[[#Totals],[Gross Measure Cost Total]], Value_Project_CAP)/Table_Measure_Caps[[#Totals],[Estimated Raw Incentive Total]], "")</f>
        <v/>
      </c>
      <c r="J265" s="46">
        <f>'Input Custom Lighting Measures'!W67*'Input Custom Lighting Measures'!P67</f>
        <v>0</v>
      </c>
      <c r="K265" s="32">
        <f>'Input Custom Lighting Measures'!X67</f>
        <v>0</v>
      </c>
      <c r="L265" s="95">
        <f>'Input Custom Lighting Measures'!AF67</f>
        <v>0</v>
      </c>
      <c r="M265" s="96" t="e">
        <f>'Input Custom Lighting Measures'!#REF!</f>
        <v>#REF!</v>
      </c>
      <c r="N265" s="34" t="e">
        <f>'Input Custom Lighting Measures'!#REF!</f>
        <v>#REF!</v>
      </c>
      <c r="O265" s="31" t="str">
        <f t="shared" si="7"/>
        <v>Version 4.1 - 2026</v>
      </c>
      <c r="P265" s="97" t="e">
        <f>INDEX(Table_Custom_Measure_No[Description], MATCH(Table18[[#This Row],[Measure Number]], Table_Custom_Measure_No[Custom Measure No], 0))</f>
        <v>#N/A</v>
      </c>
      <c r="Q265" s="102" t="str">
        <f>'Input Custom Lighting Measures'!Y67</f>
        <v/>
      </c>
    </row>
    <row r="266" spans="1:17" x14ac:dyDescent="0.2">
      <c r="A266" s="34" t="s">
        <v>2927</v>
      </c>
      <c r="B266" s="32">
        <f t="shared" si="6"/>
        <v>0</v>
      </c>
      <c r="C266" s="32">
        <f>'Input Custom Lighting Measures'!B68</f>
        <v>64</v>
      </c>
      <c r="D266" s="32" t="str">
        <f>'Input Custom Lighting Measures'!C68</f>
        <v/>
      </c>
      <c r="E266" s="32">
        <f>'Input Custom Lighting Measures'!J68</f>
        <v>0</v>
      </c>
      <c r="F266" s="33">
        <f>'Input Custom Lighting Measures'!P68</f>
        <v>0</v>
      </c>
      <c r="G266" s="33" t="str">
        <f>'Input Custom Lighting Measures'!Z68</f>
        <v/>
      </c>
      <c r="H266" s="105" t="str">
        <f>'Input Custom Lighting Measures'!AA68</f>
        <v/>
      </c>
      <c r="I266" s="46" t="str">
        <f>IFERROR(Q266*MIN(Table_Measure_Caps[[#Totals],[Estimated Raw Incentive Total]], Table_Measure_Caps[[#Totals],[Gross Measure Cost Total]], Value_Project_CAP)/Table_Measure_Caps[[#Totals],[Estimated Raw Incentive Total]], "")</f>
        <v/>
      </c>
      <c r="J266" s="46">
        <f>'Input Custom Lighting Measures'!W68*'Input Custom Lighting Measures'!P68</f>
        <v>0</v>
      </c>
      <c r="K266" s="32">
        <f>'Input Custom Lighting Measures'!X68</f>
        <v>0</v>
      </c>
      <c r="L266" s="95">
        <f>'Input Custom Lighting Measures'!AF68</f>
        <v>0</v>
      </c>
      <c r="M266" s="96" t="e">
        <f>'Input Custom Lighting Measures'!#REF!</f>
        <v>#REF!</v>
      </c>
      <c r="N266" s="34" t="e">
        <f>'Input Custom Lighting Measures'!#REF!</f>
        <v>#REF!</v>
      </c>
      <c r="O266" s="31" t="str">
        <f t="shared" si="7"/>
        <v>Version 4.1 - 2026</v>
      </c>
      <c r="P266" s="97" t="e">
        <f>INDEX(Table_Custom_Measure_No[Description], MATCH(Table18[[#This Row],[Measure Number]], Table_Custom_Measure_No[Custom Measure No], 0))</f>
        <v>#N/A</v>
      </c>
      <c r="Q266" s="102" t="str">
        <f>'Input Custom Lighting Measures'!Y68</f>
        <v/>
      </c>
    </row>
    <row r="267" spans="1:17" x14ac:dyDescent="0.2">
      <c r="A267" s="34" t="s">
        <v>2927</v>
      </c>
      <c r="B267" s="32">
        <f t="shared" si="6"/>
        <v>0</v>
      </c>
      <c r="C267" s="32">
        <f>'Input Custom Lighting Measures'!B69</f>
        <v>65</v>
      </c>
      <c r="D267" s="32" t="str">
        <f>'Input Custom Lighting Measures'!C69</f>
        <v/>
      </c>
      <c r="E267" s="32">
        <f>'Input Custom Lighting Measures'!J69</f>
        <v>0</v>
      </c>
      <c r="F267" s="33">
        <f>'Input Custom Lighting Measures'!P69</f>
        <v>0</v>
      </c>
      <c r="G267" s="33" t="str">
        <f>'Input Custom Lighting Measures'!Z69</f>
        <v/>
      </c>
      <c r="H267" s="105" t="str">
        <f>'Input Custom Lighting Measures'!AA69</f>
        <v/>
      </c>
      <c r="I267" s="46" t="str">
        <f>IFERROR(Q267*MIN(Table_Measure_Caps[[#Totals],[Estimated Raw Incentive Total]], Table_Measure_Caps[[#Totals],[Gross Measure Cost Total]], Value_Project_CAP)/Table_Measure_Caps[[#Totals],[Estimated Raw Incentive Total]], "")</f>
        <v/>
      </c>
      <c r="J267" s="46">
        <f>'Input Custom Lighting Measures'!W69*'Input Custom Lighting Measures'!P69</f>
        <v>0</v>
      </c>
      <c r="K267" s="32">
        <f>'Input Custom Lighting Measures'!X69</f>
        <v>0</v>
      </c>
      <c r="L267" s="95">
        <f>'Input Custom Lighting Measures'!AF69</f>
        <v>0</v>
      </c>
      <c r="M267" s="96" t="e">
        <f>'Input Custom Lighting Measures'!#REF!</f>
        <v>#REF!</v>
      </c>
      <c r="N267" s="34" t="e">
        <f>'Input Custom Lighting Measures'!#REF!</f>
        <v>#REF!</v>
      </c>
      <c r="O267" s="31" t="str">
        <f t="shared" si="7"/>
        <v>Version 4.1 - 2026</v>
      </c>
      <c r="P267" s="97" t="e">
        <f>INDEX(Table_Custom_Measure_No[Description], MATCH(Table18[[#This Row],[Measure Number]], Table_Custom_Measure_No[Custom Measure No], 0))</f>
        <v>#N/A</v>
      </c>
      <c r="Q267" s="102" t="str">
        <f>'Input Custom Lighting Measures'!Y69</f>
        <v/>
      </c>
    </row>
    <row r="268" spans="1:17" x14ac:dyDescent="0.2">
      <c r="A268" s="34" t="s">
        <v>2927</v>
      </c>
      <c r="B268" s="32">
        <f t="shared" ref="B268:B302" si="8">Input_ProjectNumber</f>
        <v>0</v>
      </c>
      <c r="C268" s="32">
        <f>'Input Custom Lighting Measures'!B70</f>
        <v>66</v>
      </c>
      <c r="D268" s="32" t="str">
        <f>'Input Custom Lighting Measures'!C70</f>
        <v/>
      </c>
      <c r="E268" s="32">
        <f>'Input Custom Lighting Measures'!J70</f>
        <v>0</v>
      </c>
      <c r="F268" s="33">
        <f>'Input Custom Lighting Measures'!P70</f>
        <v>0</v>
      </c>
      <c r="G268" s="33" t="str">
        <f>'Input Custom Lighting Measures'!Z70</f>
        <v/>
      </c>
      <c r="H268" s="105" t="str">
        <f>'Input Custom Lighting Measures'!AA70</f>
        <v/>
      </c>
      <c r="I268" s="46" t="str">
        <f>IFERROR(Q268*MIN(Table_Measure_Caps[[#Totals],[Estimated Raw Incentive Total]], Table_Measure_Caps[[#Totals],[Gross Measure Cost Total]], Value_Project_CAP)/Table_Measure_Caps[[#Totals],[Estimated Raw Incentive Total]], "")</f>
        <v/>
      </c>
      <c r="J268" s="46">
        <f>'Input Custom Lighting Measures'!W70*'Input Custom Lighting Measures'!P70</f>
        <v>0</v>
      </c>
      <c r="K268" s="32">
        <f>'Input Custom Lighting Measures'!X70</f>
        <v>0</v>
      </c>
      <c r="L268" s="95">
        <f>'Input Custom Lighting Measures'!AF70</f>
        <v>0</v>
      </c>
      <c r="M268" s="96" t="e">
        <f>'Input Custom Lighting Measures'!#REF!</f>
        <v>#REF!</v>
      </c>
      <c r="N268" s="34" t="e">
        <f>'Input Custom Lighting Measures'!#REF!</f>
        <v>#REF!</v>
      </c>
      <c r="O268" s="31" t="str">
        <f t="shared" si="7"/>
        <v>Version 4.1 - 2026</v>
      </c>
      <c r="P268" s="97" t="e">
        <f>INDEX(Table_Custom_Measure_No[Description], MATCH(Table18[[#This Row],[Measure Number]], Table_Custom_Measure_No[Custom Measure No], 0))</f>
        <v>#N/A</v>
      </c>
      <c r="Q268" s="102" t="str">
        <f>'Input Custom Lighting Measures'!Y70</f>
        <v/>
      </c>
    </row>
    <row r="269" spans="1:17" x14ac:dyDescent="0.2">
      <c r="A269" s="34" t="s">
        <v>2927</v>
      </c>
      <c r="B269" s="32">
        <f t="shared" si="8"/>
        <v>0</v>
      </c>
      <c r="C269" s="32">
        <f>'Input Custom Lighting Measures'!B71</f>
        <v>67</v>
      </c>
      <c r="D269" s="32" t="str">
        <f>'Input Custom Lighting Measures'!C71</f>
        <v/>
      </c>
      <c r="E269" s="32">
        <f>'Input Custom Lighting Measures'!J71</f>
        <v>0</v>
      </c>
      <c r="F269" s="33">
        <f>'Input Custom Lighting Measures'!P71</f>
        <v>0</v>
      </c>
      <c r="G269" s="33" t="str">
        <f>'Input Custom Lighting Measures'!Z71</f>
        <v/>
      </c>
      <c r="H269" s="105" t="str">
        <f>'Input Custom Lighting Measures'!AA71</f>
        <v/>
      </c>
      <c r="I269" s="46" t="str">
        <f>IFERROR(Q269*MIN(Table_Measure_Caps[[#Totals],[Estimated Raw Incentive Total]], Table_Measure_Caps[[#Totals],[Gross Measure Cost Total]], Value_Project_CAP)/Table_Measure_Caps[[#Totals],[Estimated Raw Incentive Total]], "")</f>
        <v/>
      </c>
      <c r="J269" s="46">
        <f>'Input Custom Lighting Measures'!W71*'Input Custom Lighting Measures'!P71</f>
        <v>0</v>
      </c>
      <c r="K269" s="32">
        <f>'Input Custom Lighting Measures'!X71</f>
        <v>0</v>
      </c>
      <c r="L269" s="95">
        <f>'Input Custom Lighting Measures'!AF71</f>
        <v>0</v>
      </c>
      <c r="M269" s="96" t="e">
        <f>'Input Custom Lighting Measures'!#REF!</f>
        <v>#REF!</v>
      </c>
      <c r="N269" s="34" t="e">
        <f>'Input Custom Lighting Measures'!#REF!</f>
        <v>#REF!</v>
      </c>
      <c r="O269" s="31" t="str">
        <f t="shared" si="7"/>
        <v>Version 4.1 - 2026</v>
      </c>
      <c r="P269" s="97" t="e">
        <f>INDEX(Table_Custom_Measure_No[Description], MATCH(Table18[[#This Row],[Measure Number]], Table_Custom_Measure_No[Custom Measure No], 0))</f>
        <v>#N/A</v>
      </c>
      <c r="Q269" s="102" t="str">
        <f>'Input Custom Lighting Measures'!Y71</f>
        <v/>
      </c>
    </row>
    <row r="270" spans="1:17" x14ac:dyDescent="0.2">
      <c r="A270" s="34" t="s">
        <v>2927</v>
      </c>
      <c r="B270" s="32">
        <f t="shared" si="8"/>
        <v>0</v>
      </c>
      <c r="C270" s="32">
        <f>'Input Custom Lighting Measures'!B72</f>
        <v>68</v>
      </c>
      <c r="D270" s="32" t="str">
        <f>'Input Custom Lighting Measures'!C72</f>
        <v/>
      </c>
      <c r="E270" s="32">
        <f>'Input Custom Lighting Measures'!J72</f>
        <v>0</v>
      </c>
      <c r="F270" s="33">
        <f>'Input Custom Lighting Measures'!P72</f>
        <v>0</v>
      </c>
      <c r="G270" s="33" t="str">
        <f>'Input Custom Lighting Measures'!Z72</f>
        <v/>
      </c>
      <c r="H270" s="105" t="str">
        <f>'Input Custom Lighting Measures'!AA72</f>
        <v/>
      </c>
      <c r="I270" s="46" t="str">
        <f>IFERROR(Q270*MIN(Table_Measure_Caps[[#Totals],[Estimated Raw Incentive Total]], Table_Measure_Caps[[#Totals],[Gross Measure Cost Total]], Value_Project_CAP)/Table_Measure_Caps[[#Totals],[Estimated Raw Incentive Total]], "")</f>
        <v/>
      </c>
      <c r="J270" s="46">
        <f>'Input Custom Lighting Measures'!W72*'Input Custom Lighting Measures'!P72</f>
        <v>0</v>
      </c>
      <c r="K270" s="32">
        <f>'Input Custom Lighting Measures'!X72</f>
        <v>0</v>
      </c>
      <c r="L270" s="95">
        <f>'Input Custom Lighting Measures'!AF72</f>
        <v>0</v>
      </c>
      <c r="M270" s="96" t="e">
        <f>'Input Custom Lighting Measures'!#REF!</f>
        <v>#REF!</v>
      </c>
      <c r="N270" s="34" t="e">
        <f>'Input Custom Lighting Measures'!#REF!</f>
        <v>#REF!</v>
      </c>
      <c r="O270" s="31" t="str">
        <f t="shared" si="7"/>
        <v>Version 4.1 - 2026</v>
      </c>
      <c r="P270" s="97" t="e">
        <f>INDEX(Table_Custom_Measure_No[Description], MATCH(Table18[[#This Row],[Measure Number]], Table_Custom_Measure_No[Custom Measure No], 0))</f>
        <v>#N/A</v>
      </c>
      <c r="Q270" s="102" t="str">
        <f>'Input Custom Lighting Measures'!Y72</f>
        <v/>
      </c>
    </row>
    <row r="271" spans="1:17" x14ac:dyDescent="0.2">
      <c r="A271" s="34" t="s">
        <v>2927</v>
      </c>
      <c r="B271" s="32">
        <f t="shared" si="8"/>
        <v>0</v>
      </c>
      <c r="C271" s="32">
        <f>'Input Custom Lighting Measures'!B73</f>
        <v>69</v>
      </c>
      <c r="D271" s="32" t="str">
        <f>'Input Custom Lighting Measures'!C73</f>
        <v/>
      </c>
      <c r="E271" s="32">
        <f>'Input Custom Lighting Measures'!J73</f>
        <v>0</v>
      </c>
      <c r="F271" s="33">
        <f>'Input Custom Lighting Measures'!P73</f>
        <v>0</v>
      </c>
      <c r="G271" s="33" t="str">
        <f>'Input Custom Lighting Measures'!Z73</f>
        <v/>
      </c>
      <c r="H271" s="105" t="str">
        <f>'Input Custom Lighting Measures'!AA73</f>
        <v/>
      </c>
      <c r="I271" s="46" t="str">
        <f>IFERROR(Q271*MIN(Table_Measure_Caps[[#Totals],[Estimated Raw Incentive Total]], Table_Measure_Caps[[#Totals],[Gross Measure Cost Total]], Value_Project_CAP)/Table_Measure_Caps[[#Totals],[Estimated Raw Incentive Total]], "")</f>
        <v/>
      </c>
      <c r="J271" s="46">
        <f>'Input Custom Lighting Measures'!W73*'Input Custom Lighting Measures'!P73</f>
        <v>0</v>
      </c>
      <c r="K271" s="32">
        <f>'Input Custom Lighting Measures'!X73</f>
        <v>0</v>
      </c>
      <c r="L271" s="95">
        <f>'Input Custom Lighting Measures'!AF73</f>
        <v>0</v>
      </c>
      <c r="M271" s="96" t="e">
        <f>'Input Custom Lighting Measures'!#REF!</f>
        <v>#REF!</v>
      </c>
      <c r="N271" s="34" t="e">
        <f>'Input Custom Lighting Measures'!#REF!</f>
        <v>#REF!</v>
      </c>
      <c r="O271" s="31" t="str">
        <f t="shared" si="7"/>
        <v>Version 4.1 - 2026</v>
      </c>
      <c r="P271" s="97" t="e">
        <f>INDEX(Table_Custom_Measure_No[Description], MATCH(Table18[[#This Row],[Measure Number]], Table_Custom_Measure_No[Custom Measure No], 0))</f>
        <v>#N/A</v>
      </c>
      <c r="Q271" s="102" t="str">
        <f>'Input Custom Lighting Measures'!Y73</f>
        <v/>
      </c>
    </row>
    <row r="272" spans="1:17" x14ac:dyDescent="0.2">
      <c r="A272" s="34" t="s">
        <v>2927</v>
      </c>
      <c r="B272" s="32">
        <f t="shared" si="8"/>
        <v>0</v>
      </c>
      <c r="C272" s="32">
        <f>'Input Custom Lighting Measures'!B74</f>
        <v>70</v>
      </c>
      <c r="D272" s="32" t="str">
        <f>'Input Custom Lighting Measures'!C74</f>
        <v/>
      </c>
      <c r="E272" s="32">
        <f>'Input Custom Lighting Measures'!J74</f>
        <v>0</v>
      </c>
      <c r="F272" s="33">
        <f>'Input Custom Lighting Measures'!P74</f>
        <v>0</v>
      </c>
      <c r="G272" s="33" t="str">
        <f>'Input Custom Lighting Measures'!Z74</f>
        <v/>
      </c>
      <c r="H272" s="105" t="str">
        <f>'Input Custom Lighting Measures'!AA74</f>
        <v/>
      </c>
      <c r="I272" s="46" t="str">
        <f>IFERROR(Q272*MIN(Table_Measure_Caps[[#Totals],[Estimated Raw Incentive Total]], Table_Measure_Caps[[#Totals],[Gross Measure Cost Total]], Value_Project_CAP)/Table_Measure_Caps[[#Totals],[Estimated Raw Incentive Total]], "")</f>
        <v/>
      </c>
      <c r="J272" s="46">
        <f>'Input Custom Lighting Measures'!W74*'Input Custom Lighting Measures'!P74</f>
        <v>0</v>
      </c>
      <c r="K272" s="32">
        <f>'Input Custom Lighting Measures'!X74</f>
        <v>0</v>
      </c>
      <c r="L272" s="95">
        <f>'Input Custom Lighting Measures'!AF74</f>
        <v>0</v>
      </c>
      <c r="M272" s="96" t="e">
        <f>'Input Custom Lighting Measures'!#REF!</f>
        <v>#REF!</v>
      </c>
      <c r="N272" s="34" t="e">
        <f>'Input Custom Lighting Measures'!#REF!</f>
        <v>#REF!</v>
      </c>
      <c r="O272" s="31" t="str">
        <f t="shared" si="7"/>
        <v>Version 4.1 - 2026</v>
      </c>
      <c r="P272" s="97" t="e">
        <f>INDEX(Table_Custom_Measure_No[Description], MATCH(Table18[[#This Row],[Measure Number]], Table_Custom_Measure_No[Custom Measure No], 0))</f>
        <v>#N/A</v>
      </c>
      <c r="Q272" s="102" t="str">
        <f>'Input Custom Lighting Measures'!Y74</f>
        <v/>
      </c>
    </row>
    <row r="273" spans="1:17" x14ac:dyDescent="0.2">
      <c r="A273" s="34" t="s">
        <v>2927</v>
      </c>
      <c r="B273" s="32">
        <f t="shared" si="8"/>
        <v>0</v>
      </c>
      <c r="C273" s="32">
        <f>'Input Custom Lighting Measures'!B75</f>
        <v>71</v>
      </c>
      <c r="D273" s="32" t="str">
        <f>'Input Custom Lighting Measures'!C75</f>
        <v/>
      </c>
      <c r="E273" s="32">
        <f>'Input Custom Lighting Measures'!J75</f>
        <v>0</v>
      </c>
      <c r="F273" s="33">
        <f>'Input Custom Lighting Measures'!P75</f>
        <v>0</v>
      </c>
      <c r="G273" s="33" t="str">
        <f>'Input Custom Lighting Measures'!Z75</f>
        <v/>
      </c>
      <c r="H273" s="105" t="str">
        <f>'Input Custom Lighting Measures'!AA75</f>
        <v/>
      </c>
      <c r="I273" s="46" t="str">
        <f>IFERROR(Q273*MIN(Table_Measure_Caps[[#Totals],[Estimated Raw Incentive Total]], Table_Measure_Caps[[#Totals],[Gross Measure Cost Total]], Value_Project_CAP)/Table_Measure_Caps[[#Totals],[Estimated Raw Incentive Total]], "")</f>
        <v/>
      </c>
      <c r="J273" s="46">
        <f>'Input Custom Lighting Measures'!W75*'Input Custom Lighting Measures'!P75</f>
        <v>0</v>
      </c>
      <c r="K273" s="32">
        <f>'Input Custom Lighting Measures'!X75</f>
        <v>0</v>
      </c>
      <c r="L273" s="95">
        <f>'Input Custom Lighting Measures'!AF75</f>
        <v>0</v>
      </c>
      <c r="M273" s="96" t="e">
        <f>'Input Custom Lighting Measures'!#REF!</f>
        <v>#REF!</v>
      </c>
      <c r="N273" s="34" t="e">
        <f>'Input Custom Lighting Measures'!#REF!</f>
        <v>#REF!</v>
      </c>
      <c r="O273" s="31" t="str">
        <f t="shared" si="7"/>
        <v>Version 4.1 - 2026</v>
      </c>
      <c r="P273" s="97" t="e">
        <f>INDEX(Table_Custom_Measure_No[Description], MATCH(Table18[[#This Row],[Measure Number]], Table_Custom_Measure_No[Custom Measure No], 0))</f>
        <v>#N/A</v>
      </c>
      <c r="Q273" s="102" t="str">
        <f>'Input Custom Lighting Measures'!Y75</f>
        <v/>
      </c>
    </row>
    <row r="274" spans="1:17" x14ac:dyDescent="0.2">
      <c r="A274" s="34" t="s">
        <v>2927</v>
      </c>
      <c r="B274" s="32">
        <f t="shared" si="8"/>
        <v>0</v>
      </c>
      <c r="C274" s="32">
        <f>'Input Custom Lighting Measures'!B76</f>
        <v>72</v>
      </c>
      <c r="D274" s="32" t="str">
        <f>'Input Custom Lighting Measures'!C76</f>
        <v/>
      </c>
      <c r="E274" s="32">
        <f>'Input Custom Lighting Measures'!J76</f>
        <v>0</v>
      </c>
      <c r="F274" s="33">
        <f>'Input Custom Lighting Measures'!P76</f>
        <v>0</v>
      </c>
      <c r="G274" s="33" t="str">
        <f>'Input Custom Lighting Measures'!Z76</f>
        <v/>
      </c>
      <c r="H274" s="105" t="str">
        <f>'Input Custom Lighting Measures'!AA76</f>
        <v/>
      </c>
      <c r="I274" s="46" t="str">
        <f>IFERROR(Q274*MIN(Table_Measure_Caps[[#Totals],[Estimated Raw Incentive Total]], Table_Measure_Caps[[#Totals],[Gross Measure Cost Total]], Value_Project_CAP)/Table_Measure_Caps[[#Totals],[Estimated Raw Incentive Total]], "")</f>
        <v/>
      </c>
      <c r="J274" s="46">
        <f>'Input Custom Lighting Measures'!W76*'Input Custom Lighting Measures'!P76</f>
        <v>0</v>
      </c>
      <c r="K274" s="32">
        <f>'Input Custom Lighting Measures'!X76</f>
        <v>0</v>
      </c>
      <c r="L274" s="95">
        <f>'Input Custom Lighting Measures'!AF76</f>
        <v>0</v>
      </c>
      <c r="M274" s="96" t="e">
        <f>'Input Custom Lighting Measures'!#REF!</f>
        <v>#REF!</v>
      </c>
      <c r="N274" s="34" t="e">
        <f>'Input Custom Lighting Measures'!#REF!</f>
        <v>#REF!</v>
      </c>
      <c r="O274" s="31" t="str">
        <f t="shared" si="7"/>
        <v>Version 4.1 - 2026</v>
      </c>
      <c r="P274" s="97" t="e">
        <f>INDEX(Table_Custom_Measure_No[Description], MATCH(Table18[[#This Row],[Measure Number]], Table_Custom_Measure_No[Custom Measure No], 0))</f>
        <v>#N/A</v>
      </c>
      <c r="Q274" s="102" t="str">
        <f>'Input Custom Lighting Measures'!Y76</f>
        <v/>
      </c>
    </row>
    <row r="275" spans="1:17" x14ac:dyDescent="0.2">
      <c r="A275" s="34" t="s">
        <v>2927</v>
      </c>
      <c r="B275" s="32">
        <f t="shared" si="8"/>
        <v>0</v>
      </c>
      <c r="C275" s="32">
        <f>'Input Custom Lighting Measures'!B77</f>
        <v>73</v>
      </c>
      <c r="D275" s="32" t="str">
        <f>'Input Custom Lighting Measures'!C77</f>
        <v/>
      </c>
      <c r="E275" s="32">
        <f>'Input Custom Lighting Measures'!J77</f>
        <v>0</v>
      </c>
      <c r="F275" s="33">
        <f>'Input Custom Lighting Measures'!P77</f>
        <v>0</v>
      </c>
      <c r="G275" s="33" t="str">
        <f>'Input Custom Lighting Measures'!Z77</f>
        <v/>
      </c>
      <c r="H275" s="105" t="str">
        <f>'Input Custom Lighting Measures'!AA77</f>
        <v/>
      </c>
      <c r="I275" s="46" t="str">
        <f>IFERROR(Q275*MIN(Table_Measure_Caps[[#Totals],[Estimated Raw Incentive Total]], Table_Measure_Caps[[#Totals],[Gross Measure Cost Total]], Value_Project_CAP)/Table_Measure_Caps[[#Totals],[Estimated Raw Incentive Total]], "")</f>
        <v/>
      </c>
      <c r="J275" s="46">
        <f>'Input Custom Lighting Measures'!W77*'Input Custom Lighting Measures'!P77</f>
        <v>0</v>
      </c>
      <c r="K275" s="32">
        <f>'Input Custom Lighting Measures'!X77</f>
        <v>0</v>
      </c>
      <c r="L275" s="95">
        <f>'Input Custom Lighting Measures'!AF77</f>
        <v>0</v>
      </c>
      <c r="M275" s="96" t="e">
        <f>'Input Custom Lighting Measures'!#REF!</f>
        <v>#REF!</v>
      </c>
      <c r="N275" s="34" t="e">
        <f>'Input Custom Lighting Measures'!#REF!</f>
        <v>#REF!</v>
      </c>
      <c r="O275" s="31" t="str">
        <f t="shared" si="7"/>
        <v>Version 4.1 - 2026</v>
      </c>
      <c r="P275" s="97" t="e">
        <f>INDEX(Table_Custom_Measure_No[Description], MATCH(Table18[[#This Row],[Measure Number]], Table_Custom_Measure_No[Custom Measure No], 0))</f>
        <v>#N/A</v>
      </c>
      <c r="Q275" s="102" t="str">
        <f>'Input Custom Lighting Measures'!Y77</f>
        <v/>
      </c>
    </row>
    <row r="276" spans="1:17" x14ac:dyDescent="0.2">
      <c r="A276" s="34" t="s">
        <v>2927</v>
      </c>
      <c r="B276" s="32">
        <f t="shared" si="8"/>
        <v>0</v>
      </c>
      <c r="C276" s="32">
        <f>'Input Custom Lighting Measures'!B78</f>
        <v>74</v>
      </c>
      <c r="D276" s="32" t="str">
        <f>'Input Custom Lighting Measures'!C78</f>
        <v/>
      </c>
      <c r="E276" s="32">
        <f>'Input Custom Lighting Measures'!J78</f>
        <v>0</v>
      </c>
      <c r="F276" s="33">
        <f>'Input Custom Lighting Measures'!P78</f>
        <v>0</v>
      </c>
      <c r="G276" s="33" t="str">
        <f>'Input Custom Lighting Measures'!Z78</f>
        <v/>
      </c>
      <c r="H276" s="105" t="str">
        <f>'Input Custom Lighting Measures'!AA78</f>
        <v/>
      </c>
      <c r="I276" s="46" t="str">
        <f>IFERROR(Q276*MIN(Table_Measure_Caps[[#Totals],[Estimated Raw Incentive Total]], Table_Measure_Caps[[#Totals],[Gross Measure Cost Total]], Value_Project_CAP)/Table_Measure_Caps[[#Totals],[Estimated Raw Incentive Total]], "")</f>
        <v/>
      </c>
      <c r="J276" s="46">
        <f>'Input Custom Lighting Measures'!W78*'Input Custom Lighting Measures'!P78</f>
        <v>0</v>
      </c>
      <c r="K276" s="32">
        <f>'Input Custom Lighting Measures'!X78</f>
        <v>0</v>
      </c>
      <c r="L276" s="95">
        <f>'Input Custom Lighting Measures'!AF78</f>
        <v>0</v>
      </c>
      <c r="M276" s="96" t="e">
        <f>'Input Custom Lighting Measures'!#REF!</f>
        <v>#REF!</v>
      </c>
      <c r="N276" s="34" t="e">
        <f>'Input Custom Lighting Measures'!#REF!</f>
        <v>#REF!</v>
      </c>
      <c r="O276" s="31" t="str">
        <f t="shared" si="7"/>
        <v>Version 4.1 - 2026</v>
      </c>
      <c r="P276" s="97" t="e">
        <f>INDEX(Table_Custom_Measure_No[Description], MATCH(Table18[[#This Row],[Measure Number]], Table_Custom_Measure_No[Custom Measure No], 0))</f>
        <v>#N/A</v>
      </c>
      <c r="Q276" s="102" t="str">
        <f>'Input Custom Lighting Measures'!Y78</f>
        <v/>
      </c>
    </row>
    <row r="277" spans="1:17" x14ac:dyDescent="0.2">
      <c r="A277" s="34" t="s">
        <v>2927</v>
      </c>
      <c r="B277" s="32">
        <f t="shared" si="8"/>
        <v>0</v>
      </c>
      <c r="C277" s="32">
        <f>'Input Custom Lighting Measures'!B79</f>
        <v>75</v>
      </c>
      <c r="D277" s="32" t="str">
        <f>'Input Custom Lighting Measures'!C79</f>
        <v/>
      </c>
      <c r="E277" s="32">
        <f>'Input Custom Lighting Measures'!J79</f>
        <v>0</v>
      </c>
      <c r="F277" s="33">
        <f>'Input Custom Lighting Measures'!P79</f>
        <v>0</v>
      </c>
      <c r="G277" s="33" t="str">
        <f>'Input Custom Lighting Measures'!Z79</f>
        <v/>
      </c>
      <c r="H277" s="105" t="str">
        <f>'Input Custom Lighting Measures'!AA79</f>
        <v/>
      </c>
      <c r="I277" s="46" t="str">
        <f>IFERROR(Q277*MIN(Table_Measure_Caps[[#Totals],[Estimated Raw Incentive Total]], Table_Measure_Caps[[#Totals],[Gross Measure Cost Total]], Value_Project_CAP)/Table_Measure_Caps[[#Totals],[Estimated Raw Incentive Total]], "")</f>
        <v/>
      </c>
      <c r="J277" s="46">
        <f>'Input Custom Lighting Measures'!W79*'Input Custom Lighting Measures'!P79</f>
        <v>0</v>
      </c>
      <c r="K277" s="32">
        <f>'Input Custom Lighting Measures'!X79</f>
        <v>0</v>
      </c>
      <c r="L277" s="95">
        <f>'Input Custom Lighting Measures'!AF79</f>
        <v>0</v>
      </c>
      <c r="M277" s="96" t="e">
        <f>'Input Custom Lighting Measures'!#REF!</f>
        <v>#REF!</v>
      </c>
      <c r="N277" s="34" t="e">
        <f>'Input Custom Lighting Measures'!#REF!</f>
        <v>#REF!</v>
      </c>
      <c r="O277" s="31" t="str">
        <f t="shared" si="7"/>
        <v>Version 4.1 - 2026</v>
      </c>
      <c r="P277" s="97" t="e">
        <f>INDEX(Table_Custom_Measure_No[Description], MATCH(Table18[[#This Row],[Measure Number]], Table_Custom_Measure_No[Custom Measure No], 0))</f>
        <v>#N/A</v>
      </c>
      <c r="Q277" s="102" t="str">
        <f>'Input Custom Lighting Measures'!Y79</f>
        <v/>
      </c>
    </row>
    <row r="278" spans="1:17" x14ac:dyDescent="0.2">
      <c r="A278" s="34" t="s">
        <v>2927</v>
      </c>
      <c r="B278" s="32">
        <f t="shared" si="8"/>
        <v>0</v>
      </c>
      <c r="C278" s="32">
        <f>'Input Custom Lighting Measures'!B80</f>
        <v>76</v>
      </c>
      <c r="D278" s="32" t="str">
        <f>'Input Custom Lighting Measures'!C80</f>
        <v/>
      </c>
      <c r="E278" s="32">
        <f>'Input Custom Lighting Measures'!J80</f>
        <v>0</v>
      </c>
      <c r="F278" s="33">
        <f>'Input Custom Lighting Measures'!P80</f>
        <v>0</v>
      </c>
      <c r="G278" s="33" t="str">
        <f>'Input Custom Lighting Measures'!Z80</f>
        <v/>
      </c>
      <c r="H278" s="105" t="str">
        <f>'Input Custom Lighting Measures'!AA80</f>
        <v/>
      </c>
      <c r="I278" s="46" t="str">
        <f>IFERROR(Q278*MIN(Table_Measure_Caps[[#Totals],[Estimated Raw Incentive Total]], Table_Measure_Caps[[#Totals],[Gross Measure Cost Total]], Value_Project_CAP)/Table_Measure_Caps[[#Totals],[Estimated Raw Incentive Total]], "")</f>
        <v/>
      </c>
      <c r="J278" s="46">
        <f>'Input Custom Lighting Measures'!W80*'Input Custom Lighting Measures'!P80</f>
        <v>0</v>
      </c>
      <c r="K278" s="32">
        <f>'Input Custom Lighting Measures'!X80</f>
        <v>0</v>
      </c>
      <c r="L278" s="95">
        <f>'Input Custom Lighting Measures'!AF80</f>
        <v>0</v>
      </c>
      <c r="M278" s="96" t="e">
        <f>'Input Custom Lighting Measures'!#REF!</f>
        <v>#REF!</v>
      </c>
      <c r="N278" s="34" t="e">
        <f>'Input Custom Lighting Measures'!#REF!</f>
        <v>#REF!</v>
      </c>
      <c r="O278" s="31" t="str">
        <f t="shared" si="7"/>
        <v>Version 4.1 - 2026</v>
      </c>
      <c r="P278" s="97" t="e">
        <f>INDEX(Table_Custom_Measure_No[Description], MATCH(Table18[[#This Row],[Measure Number]], Table_Custom_Measure_No[Custom Measure No], 0))</f>
        <v>#N/A</v>
      </c>
      <c r="Q278" s="102" t="str">
        <f>'Input Custom Lighting Measures'!Y80</f>
        <v/>
      </c>
    </row>
    <row r="279" spans="1:17" x14ac:dyDescent="0.2">
      <c r="A279" s="34" t="s">
        <v>2927</v>
      </c>
      <c r="B279" s="32">
        <f t="shared" si="8"/>
        <v>0</v>
      </c>
      <c r="C279" s="32">
        <f>'Input Custom Lighting Measures'!B81</f>
        <v>77</v>
      </c>
      <c r="D279" s="32" t="str">
        <f>'Input Custom Lighting Measures'!C81</f>
        <v/>
      </c>
      <c r="E279" s="32">
        <f>'Input Custom Lighting Measures'!J81</f>
        <v>0</v>
      </c>
      <c r="F279" s="33">
        <f>'Input Custom Lighting Measures'!P81</f>
        <v>0</v>
      </c>
      <c r="G279" s="33" t="str">
        <f>'Input Custom Lighting Measures'!Z81</f>
        <v/>
      </c>
      <c r="H279" s="105" t="str">
        <f>'Input Custom Lighting Measures'!AA81</f>
        <v/>
      </c>
      <c r="I279" s="46" t="str">
        <f>IFERROR(Q279*MIN(Table_Measure_Caps[[#Totals],[Estimated Raw Incentive Total]], Table_Measure_Caps[[#Totals],[Gross Measure Cost Total]], Value_Project_CAP)/Table_Measure_Caps[[#Totals],[Estimated Raw Incentive Total]], "")</f>
        <v/>
      </c>
      <c r="J279" s="46">
        <f>'Input Custom Lighting Measures'!W81*'Input Custom Lighting Measures'!P81</f>
        <v>0</v>
      </c>
      <c r="K279" s="32">
        <f>'Input Custom Lighting Measures'!X81</f>
        <v>0</v>
      </c>
      <c r="L279" s="95">
        <f>'Input Custom Lighting Measures'!AF81</f>
        <v>0</v>
      </c>
      <c r="M279" s="96" t="e">
        <f>'Input Custom Lighting Measures'!#REF!</f>
        <v>#REF!</v>
      </c>
      <c r="N279" s="34" t="e">
        <f>'Input Custom Lighting Measures'!#REF!</f>
        <v>#REF!</v>
      </c>
      <c r="O279" s="31" t="str">
        <f t="shared" si="7"/>
        <v>Version 4.1 - 2026</v>
      </c>
      <c r="P279" s="97" t="e">
        <f>INDEX(Table_Custom_Measure_No[Description], MATCH(Table18[[#This Row],[Measure Number]], Table_Custom_Measure_No[Custom Measure No], 0))</f>
        <v>#N/A</v>
      </c>
      <c r="Q279" s="102" t="str">
        <f>'Input Custom Lighting Measures'!Y81</f>
        <v/>
      </c>
    </row>
    <row r="280" spans="1:17" x14ac:dyDescent="0.2">
      <c r="A280" s="34" t="s">
        <v>2927</v>
      </c>
      <c r="B280" s="32">
        <f t="shared" si="8"/>
        <v>0</v>
      </c>
      <c r="C280" s="32">
        <f>'Input Custom Lighting Measures'!B82</f>
        <v>78</v>
      </c>
      <c r="D280" s="32" t="str">
        <f>'Input Custom Lighting Measures'!C82</f>
        <v/>
      </c>
      <c r="E280" s="32">
        <f>'Input Custom Lighting Measures'!J82</f>
        <v>0</v>
      </c>
      <c r="F280" s="33">
        <f>'Input Custom Lighting Measures'!P82</f>
        <v>0</v>
      </c>
      <c r="G280" s="33" t="str">
        <f>'Input Custom Lighting Measures'!Z82</f>
        <v/>
      </c>
      <c r="H280" s="105" t="str">
        <f>'Input Custom Lighting Measures'!AA82</f>
        <v/>
      </c>
      <c r="I280" s="46" t="str">
        <f>IFERROR(Q280*MIN(Table_Measure_Caps[[#Totals],[Estimated Raw Incentive Total]], Table_Measure_Caps[[#Totals],[Gross Measure Cost Total]], Value_Project_CAP)/Table_Measure_Caps[[#Totals],[Estimated Raw Incentive Total]], "")</f>
        <v/>
      </c>
      <c r="J280" s="46">
        <f>'Input Custom Lighting Measures'!W82*'Input Custom Lighting Measures'!P82</f>
        <v>0</v>
      </c>
      <c r="K280" s="32">
        <f>'Input Custom Lighting Measures'!X82</f>
        <v>0</v>
      </c>
      <c r="L280" s="95">
        <f>'Input Custom Lighting Measures'!AF82</f>
        <v>0</v>
      </c>
      <c r="M280" s="96" t="e">
        <f>'Input Custom Lighting Measures'!#REF!</f>
        <v>#REF!</v>
      </c>
      <c r="N280" s="34" t="e">
        <f>'Input Custom Lighting Measures'!#REF!</f>
        <v>#REF!</v>
      </c>
      <c r="O280" s="31" t="str">
        <f t="shared" si="7"/>
        <v>Version 4.1 - 2026</v>
      </c>
      <c r="P280" s="97" t="e">
        <f>INDEX(Table_Custom_Measure_No[Description], MATCH(Table18[[#This Row],[Measure Number]], Table_Custom_Measure_No[Custom Measure No], 0))</f>
        <v>#N/A</v>
      </c>
      <c r="Q280" s="102" t="str">
        <f>'Input Custom Lighting Measures'!Y82</f>
        <v/>
      </c>
    </row>
    <row r="281" spans="1:17" x14ac:dyDescent="0.2">
      <c r="A281" s="34" t="s">
        <v>2927</v>
      </c>
      <c r="B281" s="32">
        <f t="shared" si="8"/>
        <v>0</v>
      </c>
      <c r="C281" s="32">
        <f>'Input Custom Lighting Measures'!B83</f>
        <v>79</v>
      </c>
      <c r="D281" s="32" t="str">
        <f>'Input Custom Lighting Measures'!C83</f>
        <v/>
      </c>
      <c r="E281" s="32">
        <f>'Input Custom Lighting Measures'!J83</f>
        <v>0</v>
      </c>
      <c r="F281" s="33">
        <f>'Input Custom Lighting Measures'!P83</f>
        <v>0</v>
      </c>
      <c r="G281" s="33" t="str">
        <f>'Input Custom Lighting Measures'!Z83</f>
        <v/>
      </c>
      <c r="H281" s="105" t="str">
        <f>'Input Custom Lighting Measures'!AA83</f>
        <v/>
      </c>
      <c r="I281" s="46" t="str">
        <f>IFERROR(Q281*MIN(Table_Measure_Caps[[#Totals],[Estimated Raw Incentive Total]], Table_Measure_Caps[[#Totals],[Gross Measure Cost Total]], Value_Project_CAP)/Table_Measure_Caps[[#Totals],[Estimated Raw Incentive Total]], "")</f>
        <v/>
      </c>
      <c r="J281" s="46">
        <f>'Input Custom Lighting Measures'!W83*'Input Custom Lighting Measures'!P83</f>
        <v>0</v>
      </c>
      <c r="K281" s="32">
        <f>'Input Custom Lighting Measures'!X83</f>
        <v>0</v>
      </c>
      <c r="L281" s="95">
        <f>'Input Custom Lighting Measures'!AF83</f>
        <v>0</v>
      </c>
      <c r="M281" s="96" t="e">
        <f>'Input Custom Lighting Measures'!#REF!</f>
        <v>#REF!</v>
      </c>
      <c r="N281" s="34" t="e">
        <f>'Input Custom Lighting Measures'!#REF!</f>
        <v>#REF!</v>
      </c>
      <c r="O281" s="31" t="str">
        <f t="shared" si="7"/>
        <v>Version 4.1 - 2026</v>
      </c>
      <c r="P281" s="97" t="e">
        <f>INDEX(Table_Custom_Measure_No[Description], MATCH(Table18[[#This Row],[Measure Number]], Table_Custom_Measure_No[Custom Measure No], 0))</f>
        <v>#N/A</v>
      </c>
      <c r="Q281" s="102" t="str">
        <f>'Input Custom Lighting Measures'!Y83</f>
        <v/>
      </c>
    </row>
    <row r="282" spans="1:17" x14ac:dyDescent="0.2">
      <c r="A282" s="34" t="s">
        <v>2927</v>
      </c>
      <c r="B282" s="32">
        <f t="shared" si="8"/>
        <v>0</v>
      </c>
      <c r="C282" s="32">
        <f>'Input Custom Lighting Measures'!B84</f>
        <v>80</v>
      </c>
      <c r="D282" s="32" t="str">
        <f>'Input Custom Lighting Measures'!C84</f>
        <v/>
      </c>
      <c r="E282" s="32">
        <f>'Input Custom Lighting Measures'!J84</f>
        <v>0</v>
      </c>
      <c r="F282" s="33">
        <f>'Input Custom Lighting Measures'!P84</f>
        <v>0</v>
      </c>
      <c r="G282" s="33" t="str">
        <f>'Input Custom Lighting Measures'!Z84</f>
        <v/>
      </c>
      <c r="H282" s="105" t="str">
        <f>'Input Custom Lighting Measures'!AA84</f>
        <v/>
      </c>
      <c r="I282" s="46" t="str">
        <f>IFERROR(Q282*MIN(Table_Measure_Caps[[#Totals],[Estimated Raw Incentive Total]], Table_Measure_Caps[[#Totals],[Gross Measure Cost Total]], Value_Project_CAP)/Table_Measure_Caps[[#Totals],[Estimated Raw Incentive Total]], "")</f>
        <v/>
      </c>
      <c r="J282" s="46">
        <f>'Input Custom Lighting Measures'!W84*'Input Custom Lighting Measures'!P84</f>
        <v>0</v>
      </c>
      <c r="K282" s="32">
        <f>'Input Custom Lighting Measures'!X84</f>
        <v>0</v>
      </c>
      <c r="L282" s="95">
        <f>'Input Custom Lighting Measures'!AF84</f>
        <v>0</v>
      </c>
      <c r="M282" s="96" t="e">
        <f>'Input Custom Lighting Measures'!#REF!</f>
        <v>#REF!</v>
      </c>
      <c r="N282" s="34" t="e">
        <f>'Input Custom Lighting Measures'!#REF!</f>
        <v>#REF!</v>
      </c>
      <c r="O282" s="31" t="str">
        <f t="shared" si="7"/>
        <v>Version 4.1 - 2026</v>
      </c>
      <c r="P282" s="97" t="e">
        <f>INDEX(Table_Custom_Measure_No[Description], MATCH(Table18[[#This Row],[Measure Number]], Table_Custom_Measure_No[Custom Measure No], 0))</f>
        <v>#N/A</v>
      </c>
      <c r="Q282" s="102" t="str">
        <f>'Input Custom Lighting Measures'!Y84</f>
        <v/>
      </c>
    </row>
    <row r="283" spans="1:17" x14ac:dyDescent="0.2">
      <c r="A283" s="34" t="s">
        <v>2927</v>
      </c>
      <c r="B283" s="32">
        <f t="shared" si="8"/>
        <v>0</v>
      </c>
      <c r="C283" s="32">
        <f>'Input Custom Lighting Measures'!B85</f>
        <v>81</v>
      </c>
      <c r="D283" s="32" t="str">
        <f>'Input Custom Lighting Measures'!C85</f>
        <v/>
      </c>
      <c r="E283" s="32">
        <f>'Input Custom Lighting Measures'!J85</f>
        <v>0</v>
      </c>
      <c r="F283" s="33">
        <f>'Input Custom Lighting Measures'!P85</f>
        <v>0</v>
      </c>
      <c r="G283" s="33" t="str">
        <f>'Input Custom Lighting Measures'!Z85</f>
        <v/>
      </c>
      <c r="H283" s="105" t="str">
        <f>'Input Custom Lighting Measures'!AA85</f>
        <v/>
      </c>
      <c r="I283" s="46" t="str">
        <f>IFERROR(Q283*MIN(Table_Measure_Caps[[#Totals],[Estimated Raw Incentive Total]], Table_Measure_Caps[[#Totals],[Gross Measure Cost Total]], Value_Project_CAP)/Table_Measure_Caps[[#Totals],[Estimated Raw Incentive Total]], "")</f>
        <v/>
      </c>
      <c r="J283" s="46">
        <f>'Input Custom Lighting Measures'!W85*'Input Custom Lighting Measures'!P85</f>
        <v>0</v>
      </c>
      <c r="K283" s="32">
        <f>'Input Custom Lighting Measures'!X85</f>
        <v>0</v>
      </c>
      <c r="L283" s="95">
        <f>'Input Custom Lighting Measures'!AF85</f>
        <v>0</v>
      </c>
      <c r="M283" s="96" t="e">
        <f>'Input Custom Lighting Measures'!#REF!</f>
        <v>#REF!</v>
      </c>
      <c r="N283" s="34" t="e">
        <f>'Input Custom Lighting Measures'!#REF!</f>
        <v>#REF!</v>
      </c>
      <c r="O283" s="31" t="str">
        <f t="shared" si="7"/>
        <v>Version 4.1 - 2026</v>
      </c>
      <c r="P283" s="97" t="e">
        <f>INDEX(Table_Custom_Measure_No[Description], MATCH(Table18[[#This Row],[Measure Number]], Table_Custom_Measure_No[Custom Measure No], 0))</f>
        <v>#N/A</v>
      </c>
      <c r="Q283" s="102" t="str">
        <f>'Input Custom Lighting Measures'!Y85</f>
        <v/>
      </c>
    </row>
    <row r="284" spans="1:17" x14ac:dyDescent="0.2">
      <c r="A284" s="34" t="s">
        <v>2927</v>
      </c>
      <c r="B284" s="32">
        <f t="shared" si="8"/>
        <v>0</v>
      </c>
      <c r="C284" s="32">
        <f>'Input Custom Lighting Measures'!B86</f>
        <v>82</v>
      </c>
      <c r="D284" s="32" t="str">
        <f>'Input Custom Lighting Measures'!C86</f>
        <v/>
      </c>
      <c r="E284" s="32">
        <f>'Input Custom Lighting Measures'!J86</f>
        <v>0</v>
      </c>
      <c r="F284" s="33">
        <f>'Input Custom Lighting Measures'!P86</f>
        <v>0</v>
      </c>
      <c r="G284" s="33" t="str">
        <f>'Input Custom Lighting Measures'!Z86</f>
        <v/>
      </c>
      <c r="H284" s="105" t="str">
        <f>'Input Custom Lighting Measures'!AA86</f>
        <v/>
      </c>
      <c r="I284" s="46" t="str">
        <f>IFERROR(Q284*MIN(Table_Measure_Caps[[#Totals],[Estimated Raw Incentive Total]], Table_Measure_Caps[[#Totals],[Gross Measure Cost Total]], Value_Project_CAP)/Table_Measure_Caps[[#Totals],[Estimated Raw Incentive Total]], "")</f>
        <v/>
      </c>
      <c r="J284" s="46">
        <f>'Input Custom Lighting Measures'!W86*'Input Custom Lighting Measures'!P86</f>
        <v>0</v>
      </c>
      <c r="K284" s="32">
        <f>'Input Custom Lighting Measures'!X86</f>
        <v>0</v>
      </c>
      <c r="L284" s="95">
        <f>'Input Custom Lighting Measures'!AF86</f>
        <v>0</v>
      </c>
      <c r="M284" s="96" t="e">
        <f>'Input Custom Lighting Measures'!#REF!</f>
        <v>#REF!</v>
      </c>
      <c r="N284" s="34" t="e">
        <f>'Input Custom Lighting Measures'!#REF!</f>
        <v>#REF!</v>
      </c>
      <c r="O284" s="31" t="str">
        <f t="shared" si="7"/>
        <v>Version 4.1 - 2026</v>
      </c>
      <c r="P284" s="97" t="e">
        <f>INDEX(Table_Custom_Measure_No[Description], MATCH(Table18[[#This Row],[Measure Number]], Table_Custom_Measure_No[Custom Measure No], 0))</f>
        <v>#N/A</v>
      </c>
      <c r="Q284" s="102" t="str">
        <f>'Input Custom Lighting Measures'!Y86</f>
        <v/>
      </c>
    </row>
    <row r="285" spans="1:17" x14ac:dyDescent="0.2">
      <c r="A285" s="34" t="s">
        <v>2927</v>
      </c>
      <c r="B285" s="32">
        <f t="shared" si="8"/>
        <v>0</v>
      </c>
      <c r="C285" s="32">
        <f>'Input Custom Lighting Measures'!B87</f>
        <v>83</v>
      </c>
      <c r="D285" s="32" t="str">
        <f>'Input Custom Lighting Measures'!C87</f>
        <v/>
      </c>
      <c r="E285" s="32">
        <f>'Input Custom Lighting Measures'!J87</f>
        <v>0</v>
      </c>
      <c r="F285" s="33">
        <f>'Input Custom Lighting Measures'!P87</f>
        <v>0</v>
      </c>
      <c r="G285" s="33" t="str">
        <f>'Input Custom Lighting Measures'!Z87</f>
        <v/>
      </c>
      <c r="H285" s="105" t="str">
        <f>'Input Custom Lighting Measures'!AA87</f>
        <v/>
      </c>
      <c r="I285" s="46" t="str">
        <f>IFERROR(Q285*MIN(Table_Measure_Caps[[#Totals],[Estimated Raw Incentive Total]], Table_Measure_Caps[[#Totals],[Gross Measure Cost Total]], Value_Project_CAP)/Table_Measure_Caps[[#Totals],[Estimated Raw Incentive Total]], "")</f>
        <v/>
      </c>
      <c r="J285" s="46">
        <f>'Input Custom Lighting Measures'!W87*'Input Custom Lighting Measures'!P87</f>
        <v>0</v>
      </c>
      <c r="K285" s="32">
        <f>'Input Custom Lighting Measures'!X87</f>
        <v>0</v>
      </c>
      <c r="L285" s="95">
        <f>'Input Custom Lighting Measures'!AF87</f>
        <v>0</v>
      </c>
      <c r="M285" s="96" t="e">
        <f>'Input Custom Lighting Measures'!#REF!</f>
        <v>#REF!</v>
      </c>
      <c r="N285" s="34" t="e">
        <f>'Input Custom Lighting Measures'!#REF!</f>
        <v>#REF!</v>
      </c>
      <c r="O285" s="31" t="str">
        <f t="shared" si="7"/>
        <v>Version 4.1 - 2026</v>
      </c>
      <c r="P285" s="97" t="e">
        <f>INDEX(Table_Custom_Measure_No[Description], MATCH(Table18[[#This Row],[Measure Number]], Table_Custom_Measure_No[Custom Measure No], 0))</f>
        <v>#N/A</v>
      </c>
      <c r="Q285" s="102" t="str">
        <f>'Input Custom Lighting Measures'!Y87</f>
        <v/>
      </c>
    </row>
    <row r="286" spans="1:17" x14ac:dyDescent="0.2">
      <c r="A286" s="34" t="s">
        <v>2927</v>
      </c>
      <c r="B286" s="32">
        <f t="shared" si="8"/>
        <v>0</v>
      </c>
      <c r="C286" s="32">
        <f>'Input Custom Lighting Measures'!B88</f>
        <v>84</v>
      </c>
      <c r="D286" s="32" t="str">
        <f>'Input Custom Lighting Measures'!C88</f>
        <v/>
      </c>
      <c r="E286" s="32">
        <f>'Input Custom Lighting Measures'!J88</f>
        <v>0</v>
      </c>
      <c r="F286" s="33">
        <f>'Input Custom Lighting Measures'!P88</f>
        <v>0</v>
      </c>
      <c r="G286" s="33" t="str">
        <f>'Input Custom Lighting Measures'!Z88</f>
        <v/>
      </c>
      <c r="H286" s="105" t="str">
        <f>'Input Custom Lighting Measures'!AA88</f>
        <v/>
      </c>
      <c r="I286" s="46" t="str">
        <f>IFERROR(Q286*MIN(Table_Measure_Caps[[#Totals],[Estimated Raw Incentive Total]], Table_Measure_Caps[[#Totals],[Gross Measure Cost Total]], Value_Project_CAP)/Table_Measure_Caps[[#Totals],[Estimated Raw Incentive Total]], "")</f>
        <v/>
      </c>
      <c r="J286" s="46">
        <f>'Input Custom Lighting Measures'!W88*'Input Custom Lighting Measures'!P88</f>
        <v>0</v>
      </c>
      <c r="K286" s="32">
        <f>'Input Custom Lighting Measures'!X88</f>
        <v>0</v>
      </c>
      <c r="L286" s="95">
        <f>'Input Custom Lighting Measures'!AF88</f>
        <v>0</v>
      </c>
      <c r="M286" s="96" t="e">
        <f>'Input Custom Lighting Measures'!#REF!</f>
        <v>#REF!</v>
      </c>
      <c r="N286" s="34" t="e">
        <f>'Input Custom Lighting Measures'!#REF!</f>
        <v>#REF!</v>
      </c>
      <c r="O286" s="31" t="str">
        <f t="shared" si="7"/>
        <v>Version 4.1 - 2026</v>
      </c>
      <c r="P286" s="97" t="e">
        <f>INDEX(Table_Custom_Measure_No[Description], MATCH(Table18[[#This Row],[Measure Number]], Table_Custom_Measure_No[Custom Measure No], 0))</f>
        <v>#N/A</v>
      </c>
      <c r="Q286" s="102" t="str">
        <f>'Input Custom Lighting Measures'!Y88</f>
        <v/>
      </c>
    </row>
    <row r="287" spans="1:17" x14ac:dyDescent="0.2">
      <c r="A287" s="34" t="s">
        <v>2927</v>
      </c>
      <c r="B287" s="32">
        <f t="shared" si="8"/>
        <v>0</v>
      </c>
      <c r="C287" s="32">
        <f>'Input Custom Lighting Measures'!B89</f>
        <v>85</v>
      </c>
      <c r="D287" s="32" t="str">
        <f>'Input Custom Lighting Measures'!C89</f>
        <v/>
      </c>
      <c r="E287" s="32">
        <f>'Input Custom Lighting Measures'!J89</f>
        <v>0</v>
      </c>
      <c r="F287" s="33">
        <f>'Input Custom Lighting Measures'!P89</f>
        <v>0</v>
      </c>
      <c r="G287" s="33" t="str">
        <f>'Input Custom Lighting Measures'!Z89</f>
        <v/>
      </c>
      <c r="H287" s="105" t="str">
        <f>'Input Custom Lighting Measures'!AA89</f>
        <v/>
      </c>
      <c r="I287" s="46" t="str">
        <f>IFERROR(Q287*MIN(Table_Measure_Caps[[#Totals],[Estimated Raw Incentive Total]], Table_Measure_Caps[[#Totals],[Gross Measure Cost Total]], Value_Project_CAP)/Table_Measure_Caps[[#Totals],[Estimated Raw Incentive Total]], "")</f>
        <v/>
      </c>
      <c r="J287" s="46">
        <f>'Input Custom Lighting Measures'!W89*'Input Custom Lighting Measures'!P89</f>
        <v>0</v>
      </c>
      <c r="K287" s="32">
        <f>'Input Custom Lighting Measures'!X89</f>
        <v>0</v>
      </c>
      <c r="L287" s="95">
        <f>'Input Custom Lighting Measures'!AF89</f>
        <v>0</v>
      </c>
      <c r="M287" s="96" t="e">
        <f>'Input Custom Lighting Measures'!#REF!</f>
        <v>#REF!</v>
      </c>
      <c r="N287" s="34" t="e">
        <f>'Input Custom Lighting Measures'!#REF!</f>
        <v>#REF!</v>
      </c>
      <c r="O287" s="31" t="str">
        <f t="shared" si="7"/>
        <v>Version 4.1 - 2026</v>
      </c>
      <c r="P287" s="97" t="e">
        <f>INDEX(Table_Custom_Measure_No[Description], MATCH(Table18[[#This Row],[Measure Number]], Table_Custom_Measure_No[Custom Measure No], 0))</f>
        <v>#N/A</v>
      </c>
      <c r="Q287" s="102" t="str">
        <f>'Input Custom Lighting Measures'!Y89</f>
        <v/>
      </c>
    </row>
    <row r="288" spans="1:17" x14ac:dyDescent="0.2">
      <c r="A288" s="34" t="s">
        <v>2927</v>
      </c>
      <c r="B288" s="32">
        <f t="shared" si="8"/>
        <v>0</v>
      </c>
      <c r="C288" s="32">
        <f>'Input Custom Lighting Measures'!B90</f>
        <v>86</v>
      </c>
      <c r="D288" s="32" t="str">
        <f>'Input Custom Lighting Measures'!C90</f>
        <v/>
      </c>
      <c r="E288" s="32">
        <f>'Input Custom Lighting Measures'!J90</f>
        <v>0</v>
      </c>
      <c r="F288" s="33">
        <f>'Input Custom Lighting Measures'!P90</f>
        <v>0</v>
      </c>
      <c r="G288" s="33" t="str">
        <f>'Input Custom Lighting Measures'!Z90</f>
        <v/>
      </c>
      <c r="H288" s="105" t="str">
        <f>'Input Custom Lighting Measures'!AA90</f>
        <v/>
      </c>
      <c r="I288" s="46" t="str">
        <f>IFERROR(Q288*MIN(Table_Measure_Caps[[#Totals],[Estimated Raw Incentive Total]], Table_Measure_Caps[[#Totals],[Gross Measure Cost Total]], Value_Project_CAP)/Table_Measure_Caps[[#Totals],[Estimated Raw Incentive Total]], "")</f>
        <v/>
      </c>
      <c r="J288" s="46">
        <f>'Input Custom Lighting Measures'!W90*'Input Custom Lighting Measures'!P90</f>
        <v>0</v>
      </c>
      <c r="K288" s="32">
        <f>'Input Custom Lighting Measures'!X90</f>
        <v>0</v>
      </c>
      <c r="L288" s="95">
        <f>'Input Custom Lighting Measures'!AF90</f>
        <v>0</v>
      </c>
      <c r="M288" s="96" t="e">
        <f>'Input Custom Lighting Measures'!#REF!</f>
        <v>#REF!</v>
      </c>
      <c r="N288" s="34" t="e">
        <f>'Input Custom Lighting Measures'!#REF!</f>
        <v>#REF!</v>
      </c>
      <c r="O288" s="31" t="str">
        <f t="shared" si="7"/>
        <v>Version 4.1 - 2026</v>
      </c>
      <c r="P288" s="97" t="e">
        <f>INDEX(Table_Custom_Measure_No[Description], MATCH(Table18[[#This Row],[Measure Number]], Table_Custom_Measure_No[Custom Measure No], 0))</f>
        <v>#N/A</v>
      </c>
      <c r="Q288" s="102" t="str">
        <f>'Input Custom Lighting Measures'!Y90</f>
        <v/>
      </c>
    </row>
    <row r="289" spans="1:17" x14ac:dyDescent="0.2">
      <c r="A289" s="34" t="s">
        <v>2927</v>
      </c>
      <c r="B289" s="32">
        <f t="shared" si="8"/>
        <v>0</v>
      </c>
      <c r="C289" s="32">
        <f>'Input Custom Lighting Measures'!B91</f>
        <v>87</v>
      </c>
      <c r="D289" s="32" t="str">
        <f>'Input Custom Lighting Measures'!C91</f>
        <v/>
      </c>
      <c r="E289" s="32">
        <f>'Input Custom Lighting Measures'!J91</f>
        <v>0</v>
      </c>
      <c r="F289" s="33">
        <f>'Input Custom Lighting Measures'!P91</f>
        <v>0</v>
      </c>
      <c r="G289" s="33" t="str">
        <f>'Input Custom Lighting Measures'!Z91</f>
        <v/>
      </c>
      <c r="H289" s="105" t="str">
        <f>'Input Custom Lighting Measures'!AA91</f>
        <v/>
      </c>
      <c r="I289" s="46" t="str">
        <f>IFERROR(Q289*MIN(Table_Measure_Caps[[#Totals],[Estimated Raw Incentive Total]], Table_Measure_Caps[[#Totals],[Gross Measure Cost Total]], Value_Project_CAP)/Table_Measure_Caps[[#Totals],[Estimated Raw Incentive Total]], "")</f>
        <v/>
      </c>
      <c r="J289" s="46">
        <f>'Input Custom Lighting Measures'!W91*'Input Custom Lighting Measures'!P91</f>
        <v>0</v>
      </c>
      <c r="K289" s="32">
        <f>'Input Custom Lighting Measures'!X91</f>
        <v>0</v>
      </c>
      <c r="L289" s="95">
        <f>'Input Custom Lighting Measures'!AF91</f>
        <v>0</v>
      </c>
      <c r="M289" s="96" t="e">
        <f>'Input Custom Lighting Measures'!#REF!</f>
        <v>#REF!</v>
      </c>
      <c r="N289" s="34" t="e">
        <f>'Input Custom Lighting Measures'!#REF!</f>
        <v>#REF!</v>
      </c>
      <c r="O289" s="31" t="str">
        <f t="shared" si="7"/>
        <v>Version 4.1 - 2026</v>
      </c>
      <c r="P289" s="97" t="e">
        <f>INDEX(Table_Custom_Measure_No[Description], MATCH(Table18[[#This Row],[Measure Number]], Table_Custom_Measure_No[Custom Measure No], 0))</f>
        <v>#N/A</v>
      </c>
      <c r="Q289" s="102" t="str">
        <f>'Input Custom Lighting Measures'!Y91</f>
        <v/>
      </c>
    </row>
    <row r="290" spans="1:17" x14ac:dyDescent="0.2">
      <c r="A290" s="34" t="s">
        <v>2927</v>
      </c>
      <c r="B290" s="32">
        <f t="shared" si="8"/>
        <v>0</v>
      </c>
      <c r="C290" s="32">
        <f>'Input Custom Lighting Measures'!B92</f>
        <v>88</v>
      </c>
      <c r="D290" s="32" t="str">
        <f>'Input Custom Lighting Measures'!C92</f>
        <v/>
      </c>
      <c r="E290" s="32">
        <f>'Input Custom Lighting Measures'!J92</f>
        <v>0</v>
      </c>
      <c r="F290" s="33">
        <f>'Input Custom Lighting Measures'!P92</f>
        <v>0</v>
      </c>
      <c r="G290" s="33" t="str">
        <f>'Input Custom Lighting Measures'!Z92</f>
        <v/>
      </c>
      <c r="H290" s="105" t="str">
        <f>'Input Custom Lighting Measures'!AA92</f>
        <v/>
      </c>
      <c r="I290" s="46" t="str">
        <f>IFERROR(Q290*MIN(Table_Measure_Caps[[#Totals],[Estimated Raw Incentive Total]], Table_Measure_Caps[[#Totals],[Gross Measure Cost Total]], Value_Project_CAP)/Table_Measure_Caps[[#Totals],[Estimated Raw Incentive Total]], "")</f>
        <v/>
      </c>
      <c r="J290" s="46">
        <f>'Input Custom Lighting Measures'!W92*'Input Custom Lighting Measures'!P92</f>
        <v>0</v>
      </c>
      <c r="K290" s="32">
        <f>'Input Custom Lighting Measures'!X92</f>
        <v>0</v>
      </c>
      <c r="L290" s="95">
        <f>'Input Custom Lighting Measures'!AF92</f>
        <v>0</v>
      </c>
      <c r="M290" s="96" t="e">
        <f>'Input Custom Lighting Measures'!#REF!</f>
        <v>#REF!</v>
      </c>
      <c r="N290" s="34" t="e">
        <f>'Input Custom Lighting Measures'!#REF!</f>
        <v>#REF!</v>
      </c>
      <c r="O290" s="31" t="str">
        <f t="shared" si="7"/>
        <v>Version 4.1 - 2026</v>
      </c>
      <c r="P290" s="97" t="e">
        <f>INDEX(Table_Custom_Measure_No[Description], MATCH(Table18[[#This Row],[Measure Number]], Table_Custom_Measure_No[Custom Measure No], 0))</f>
        <v>#N/A</v>
      </c>
      <c r="Q290" s="102" t="str">
        <f>'Input Custom Lighting Measures'!Y92</f>
        <v/>
      </c>
    </row>
    <row r="291" spans="1:17" x14ac:dyDescent="0.2">
      <c r="A291" s="34" t="s">
        <v>2927</v>
      </c>
      <c r="B291" s="32">
        <f t="shared" si="8"/>
        <v>0</v>
      </c>
      <c r="C291" s="32">
        <f>'Input Custom Lighting Measures'!B93</f>
        <v>89</v>
      </c>
      <c r="D291" s="32" t="str">
        <f>'Input Custom Lighting Measures'!C93</f>
        <v/>
      </c>
      <c r="E291" s="32">
        <f>'Input Custom Lighting Measures'!J93</f>
        <v>0</v>
      </c>
      <c r="F291" s="33">
        <f>'Input Custom Lighting Measures'!P93</f>
        <v>0</v>
      </c>
      <c r="G291" s="33" t="str">
        <f>'Input Custom Lighting Measures'!Z93</f>
        <v/>
      </c>
      <c r="H291" s="105" t="str">
        <f>'Input Custom Lighting Measures'!AA93</f>
        <v/>
      </c>
      <c r="I291" s="46" t="str">
        <f>IFERROR(Q291*MIN(Table_Measure_Caps[[#Totals],[Estimated Raw Incentive Total]], Table_Measure_Caps[[#Totals],[Gross Measure Cost Total]], Value_Project_CAP)/Table_Measure_Caps[[#Totals],[Estimated Raw Incentive Total]], "")</f>
        <v/>
      </c>
      <c r="J291" s="46">
        <f>'Input Custom Lighting Measures'!W93*'Input Custom Lighting Measures'!P93</f>
        <v>0</v>
      </c>
      <c r="K291" s="32">
        <f>'Input Custom Lighting Measures'!X93</f>
        <v>0</v>
      </c>
      <c r="L291" s="95">
        <f>'Input Custom Lighting Measures'!AF93</f>
        <v>0</v>
      </c>
      <c r="M291" s="96" t="e">
        <f>'Input Custom Lighting Measures'!#REF!</f>
        <v>#REF!</v>
      </c>
      <c r="N291" s="34" t="e">
        <f>'Input Custom Lighting Measures'!#REF!</f>
        <v>#REF!</v>
      </c>
      <c r="O291" s="31" t="str">
        <f t="shared" si="7"/>
        <v>Version 4.1 - 2026</v>
      </c>
      <c r="P291" s="97" t="e">
        <f>INDEX(Table_Custom_Measure_No[Description], MATCH(Table18[[#This Row],[Measure Number]], Table_Custom_Measure_No[Custom Measure No], 0))</f>
        <v>#N/A</v>
      </c>
      <c r="Q291" s="102" t="str">
        <f>'Input Custom Lighting Measures'!Y93</f>
        <v/>
      </c>
    </row>
    <row r="292" spans="1:17" x14ac:dyDescent="0.2">
      <c r="A292" s="34" t="s">
        <v>2927</v>
      </c>
      <c r="B292" s="32">
        <f t="shared" si="8"/>
        <v>0</v>
      </c>
      <c r="C292" s="32">
        <f>'Input Custom Lighting Measures'!B94</f>
        <v>90</v>
      </c>
      <c r="D292" s="32" t="str">
        <f>'Input Custom Lighting Measures'!C94</f>
        <v/>
      </c>
      <c r="E292" s="32">
        <f>'Input Custom Lighting Measures'!J94</f>
        <v>0</v>
      </c>
      <c r="F292" s="33">
        <f>'Input Custom Lighting Measures'!P94</f>
        <v>0</v>
      </c>
      <c r="G292" s="33" t="str">
        <f>'Input Custom Lighting Measures'!Z94</f>
        <v/>
      </c>
      <c r="H292" s="105" t="str">
        <f>'Input Custom Lighting Measures'!AA94</f>
        <v/>
      </c>
      <c r="I292" s="46" t="str">
        <f>IFERROR(Q292*MIN(Table_Measure_Caps[[#Totals],[Estimated Raw Incentive Total]], Table_Measure_Caps[[#Totals],[Gross Measure Cost Total]], Value_Project_CAP)/Table_Measure_Caps[[#Totals],[Estimated Raw Incentive Total]], "")</f>
        <v/>
      </c>
      <c r="J292" s="46">
        <f>'Input Custom Lighting Measures'!W94*'Input Custom Lighting Measures'!P94</f>
        <v>0</v>
      </c>
      <c r="K292" s="32">
        <f>'Input Custom Lighting Measures'!X94</f>
        <v>0</v>
      </c>
      <c r="L292" s="95">
        <f>'Input Custom Lighting Measures'!AF94</f>
        <v>0</v>
      </c>
      <c r="M292" s="96" t="e">
        <f>'Input Custom Lighting Measures'!#REF!</f>
        <v>#REF!</v>
      </c>
      <c r="N292" s="34" t="e">
        <f>'Input Custom Lighting Measures'!#REF!</f>
        <v>#REF!</v>
      </c>
      <c r="O292" s="31" t="str">
        <f t="shared" si="7"/>
        <v>Version 4.1 - 2026</v>
      </c>
      <c r="P292" s="97" t="e">
        <f>INDEX(Table_Custom_Measure_No[Description], MATCH(Table18[[#This Row],[Measure Number]], Table_Custom_Measure_No[Custom Measure No], 0))</f>
        <v>#N/A</v>
      </c>
      <c r="Q292" s="102" t="str">
        <f>'Input Custom Lighting Measures'!Y94</f>
        <v/>
      </c>
    </row>
    <row r="293" spans="1:17" x14ac:dyDescent="0.2">
      <c r="A293" s="34" t="s">
        <v>2927</v>
      </c>
      <c r="B293" s="32">
        <f t="shared" si="8"/>
        <v>0</v>
      </c>
      <c r="C293" s="32">
        <f>'Input Custom Lighting Measures'!B95</f>
        <v>91</v>
      </c>
      <c r="D293" s="32" t="str">
        <f>'Input Custom Lighting Measures'!C95</f>
        <v/>
      </c>
      <c r="E293" s="32">
        <f>'Input Custom Lighting Measures'!J95</f>
        <v>0</v>
      </c>
      <c r="F293" s="33">
        <f>'Input Custom Lighting Measures'!P95</f>
        <v>0</v>
      </c>
      <c r="G293" s="33" t="str">
        <f>'Input Custom Lighting Measures'!Z95</f>
        <v/>
      </c>
      <c r="H293" s="105" t="str">
        <f>'Input Custom Lighting Measures'!AA95</f>
        <v/>
      </c>
      <c r="I293" s="46" t="str">
        <f>IFERROR(Q293*MIN(Table_Measure_Caps[[#Totals],[Estimated Raw Incentive Total]], Table_Measure_Caps[[#Totals],[Gross Measure Cost Total]], Value_Project_CAP)/Table_Measure_Caps[[#Totals],[Estimated Raw Incentive Total]], "")</f>
        <v/>
      </c>
      <c r="J293" s="46">
        <f>'Input Custom Lighting Measures'!W95*'Input Custom Lighting Measures'!P95</f>
        <v>0</v>
      </c>
      <c r="K293" s="32">
        <f>'Input Custom Lighting Measures'!X95</f>
        <v>0</v>
      </c>
      <c r="L293" s="95">
        <f>'Input Custom Lighting Measures'!AF95</f>
        <v>0</v>
      </c>
      <c r="M293" s="96" t="e">
        <f>'Input Custom Lighting Measures'!#REF!</f>
        <v>#REF!</v>
      </c>
      <c r="N293" s="34" t="e">
        <f>'Input Custom Lighting Measures'!#REF!</f>
        <v>#REF!</v>
      </c>
      <c r="O293" s="31" t="str">
        <f t="shared" si="7"/>
        <v>Version 4.1 - 2026</v>
      </c>
      <c r="P293" s="97" t="e">
        <f>INDEX(Table_Custom_Measure_No[Description], MATCH(Table18[[#This Row],[Measure Number]], Table_Custom_Measure_No[Custom Measure No], 0))</f>
        <v>#N/A</v>
      </c>
      <c r="Q293" s="102" t="str">
        <f>'Input Custom Lighting Measures'!Y95</f>
        <v/>
      </c>
    </row>
    <row r="294" spans="1:17" x14ac:dyDescent="0.2">
      <c r="A294" s="34" t="s">
        <v>2927</v>
      </c>
      <c r="B294" s="32">
        <f t="shared" si="8"/>
        <v>0</v>
      </c>
      <c r="C294" s="32">
        <f>'Input Custom Lighting Measures'!B96</f>
        <v>92</v>
      </c>
      <c r="D294" s="32" t="str">
        <f>'Input Custom Lighting Measures'!C96</f>
        <v/>
      </c>
      <c r="E294" s="32">
        <f>'Input Custom Lighting Measures'!J96</f>
        <v>0</v>
      </c>
      <c r="F294" s="33">
        <f>'Input Custom Lighting Measures'!P96</f>
        <v>0</v>
      </c>
      <c r="G294" s="33" t="str">
        <f>'Input Custom Lighting Measures'!Z96</f>
        <v/>
      </c>
      <c r="H294" s="105" t="str">
        <f>'Input Custom Lighting Measures'!AA96</f>
        <v/>
      </c>
      <c r="I294" s="46" t="str">
        <f>IFERROR(Q294*MIN(Table_Measure_Caps[[#Totals],[Estimated Raw Incentive Total]], Table_Measure_Caps[[#Totals],[Gross Measure Cost Total]], Value_Project_CAP)/Table_Measure_Caps[[#Totals],[Estimated Raw Incentive Total]], "")</f>
        <v/>
      </c>
      <c r="J294" s="46">
        <f>'Input Custom Lighting Measures'!W96*'Input Custom Lighting Measures'!P96</f>
        <v>0</v>
      </c>
      <c r="K294" s="32">
        <f>'Input Custom Lighting Measures'!X96</f>
        <v>0</v>
      </c>
      <c r="L294" s="95">
        <f>'Input Custom Lighting Measures'!AF96</f>
        <v>0</v>
      </c>
      <c r="M294" s="96" t="e">
        <f>'Input Custom Lighting Measures'!#REF!</f>
        <v>#REF!</v>
      </c>
      <c r="N294" s="34" t="e">
        <f>'Input Custom Lighting Measures'!#REF!</f>
        <v>#REF!</v>
      </c>
      <c r="O294" s="31" t="str">
        <f t="shared" si="7"/>
        <v>Version 4.1 - 2026</v>
      </c>
      <c r="P294" s="97" t="e">
        <f>INDEX(Table_Custom_Measure_No[Description], MATCH(Table18[[#This Row],[Measure Number]], Table_Custom_Measure_No[Custom Measure No], 0))</f>
        <v>#N/A</v>
      </c>
      <c r="Q294" s="102" t="str">
        <f>'Input Custom Lighting Measures'!Y96</f>
        <v/>
      </c>
    </row>
    <row r="295" spans="1:17" x14ac:dyDescent="0.2">
      <c r="A295" s="34" t="s">
        <v>2927</v>
      </c>
      <c r="B295" s="32">
        <f t="shared" si="8"/>
        <v>0</v>
      </c>
      <c r="C295" s="32">
        <f>'Input Custom Lighting Measures'!B97</f>
        <v>93</v>
      </c>
      <c r="D295" s="32" t="str">
        <f>'Input Custom Lighting Measures'!C97</f>
        <v/>
      </c>
      <c r="E295" s="32">
        <f>'Input Custom Lighting Measures'!J97</f>
        <v>0</v>
      </c>
      <c r="F295" s="33">
        <f>'Input Custom Lighting Measures'!P97</f>
        <v>0</v>
      </c>
      <c r="G295" s="33" t="str">
        <f>'Input Custom Lighting Measures'!Z97</f>
        <v/>
      </c>
      <c r="H295" s="105" t="str">
        <f>'Input Custom Lighting Measures'!AA97</f>
        <v/>
      </c>
      <c r="I295" s="46" t="str">
        <f>IFERROR(Q295*MIN(Table_Measure_Caps[[#Totals],[Estimated Raw Incentive Total]], Table_Measure_Caps[[#Totals],[Gross Measure Cost Total]], Value_Project_CAP)/Table_Measure_Caps[[#Totals],[Estimated Raw Incentive Total]], "")</f>
        <v/>
      </c>
      <c r="J295" s="46">
        <f>'Input Custom Lighting Measures'!W97*'Input Custom Lighting Measures'!P97</f>
        <v>0</v>
      </c>
      <c r="K295" s="32">
        <f>'Input Custom Lighting Measures'!X97</f>
        <v>0</v>
      </c>
      <c r="L295" s="95">
        <f>'Input Custom Lighting Measures'!AF97</f>
        <v>0</v>
      </c>
      <c r="M295" s="96" t="e">
        <f>'Input Custom Lighting Measures'!#REF!</f>
        <v>#REF!</v>
      </c>
      <c r="N295" s="34" t="e">
        <f>'Input Custom Lighting Measures'!#REF!</f>
        <v>#REF!</v>
      </c>
      <c r="O295" s="31" t="str">
        <f t="shared" si="7"/>
        <v>Version 4.1 - 2026</v>
      </c>
      <c r="P295" s="97" t="e">
        <f>INDEX(Table_Custom_Measure_No[Description], MATCH(Table18[[#This Row],[Measure Number]], Table_Custom_Measure_No[Custom Measure No], 0))</f>
        <v>#N/A</v>
      </c>
      <c r="Q295" s="102" t="str">
        <f>'Input Custom Lighting Measures'!Y97</f>
        <v/>
      </c>
    </row>
    <row r="296" spans="1:17" x14ac:dyDescent="0.2">
      <c r="A296" s="34" t="s">
        <v>2927</v>
      </c>
      <c r="B296" s="32">
        <f t="shared" si="8"/>
        <v>0</v>
      </c>
      <c r="C296" s="32">
        <f>'Input Custom Lighting Measures'!B98</f>
        <v>94</v>
      </c>
      <c r="D296" s="32" t="str">
        <f>'Input Custom Lighting Measures'!C98</f>
        <v/>
      </c>
      <c r="E296" s="32">
        <f>'Input Custom Lighting Measures'!J98</f>
        <v>0</v>
      </c>
      <c r="F296" s="33">
        <f>'Input Custom Lighting Measures'!P98</f>
        <v>0</v>
      </c>
      <c r="G296" s="33" t="str">
        <f>'Input Custom Lighting Measures'!Z98</f>
        <v/>
      </c>
      <c r="H296" s="105" t="str">
        <f>'Input Custom Lighting Measures'!AA98</f>
        <v/>
      </c>
      <c r="I296" s="46" t="str">
        <f>IFERROR(Q296*MIN(Table_Measure_Caps[[#Totals],[Estimated Raw Incentive Total]], Table_Measure_Caps[[#Totals],[Gross Measure Cost Total]], Value_Project_CAP)/Table_Measure_Caps[[#Totals],[Estimated Raw Incentive Total]], "")</f>
        <v/>
      </c>
      <c r="J296" s="46">
        <f>'Input Custom Lighting Measures'!W98*'Input Custom Lighting Measures'!P98</f>
        <v>0</v>
      </c>
      <c r="K296" s="32">
        <f>'Input Custom Lighting Measures'!X98</f>
        <v>0</v>
      </c>
      <c r="L296" s="95">
        <f>'Input Custom Lighting Measures'!AF98</f>
        <v>0</v>
      </c>
      <c r="M296" s="96" t="e">
        <f>'Input Custom Lighting Measures'!#REF!</f>
        <v>#REF!</v>
      </c>
      <c r="N296" s="34" t="e">
        <f>'Input Custom Lighting Measures'!#REF!</f>
        <v>#REF!</v>
      </c>
      <c r="O296" s="31" t="str">
        <f t="shared" si="7"/>
        <v>Version 4.1 - 2026</v>
      </c>
      <c r="P296" s="97" t="e">
        <f>INDEX(Table_Custom_Measure_No[Description], MATCH(Table18[[#This Row],[Measure Number]], Table_Custom_Measure_No[Custom Measure No], 0))</f>
        <v>#N/A</v>
      </c>
      <c r="Q296" s="102" t="str">
        <f>'Input Custom Lighting Measures'!Y98</f>
        <v/>
      </c>
    </row>
    <row r="297" spans="1:17" x14ac:dyDescent="0.2">
      <c r="A297" s="34" t="s">
        <v>2927</v>
      </c>
      <c r="B297" s="32">
        <f t="shared" si="8"/>
        <v>0</v>
      </c>
      <c r="C297" s="32">
        <f>'Input Custom Lighting Measures'!B99</f>
        <v>95</v>
      </c>
      <c r="D297" s="32" t="str">
        <f>'Input Custom Lighting Measures'!C99</f>
        <v/>
      </c>
      <c r="E297" s="32">
        <f>'Input Custom Lighting Measures'!J99</f>
        <v>0</v>
      </c>
      <c r="F297" s="33">
        <f>'Input Custom Lighting Measures'!P99</f>
        <v>0</v>
      </c>
      <c r="G297" s="33" t="str">
        <f>'Input Custom Lighting Measures'!Z99</f>
        <v/>
      </c>
      <c r="H297" s="105" t="str">
        <f>'Input Custom Lighting Measures'!AA99</f>
        <v/>
      </c>
      <c r="I297" s="46" t="str">
        <f>IFERROR(Q297*MIN(Table_Measure_Caps[[#Totals],[Estimated Raw Incentive Total]], Table_Measure_Caps[[#Totals],[Gross Measure Cost Total]], Value_Project_CAP)/Table_Measure_Caps[[#Totals],[Estimated Raw Incentive Total]], "")</f>
        <v/>
      </c>
      <c r="J297" s="46">
        <f>'Input Custom Lighting Measures'!W99*'Input Custom Lighting Measures'!P99</f>
        <v>0</v>
      </c>
      <c r="K297" s="32">
        <f>'Input Custom Lighting Measures'!X99</f>
        <v>0</v>
      </c>
      <c r="L297" s="95">
        <f>'Input Custom Lighting Measures'!AF99</f>
        <v>0</v>
      </c>
      <c r="M297" s="96" t="e">
        <f>'Input Custom Lighting Measures'!#REF!</f>
        <v>#REF!</v>
      </c>
      <c r="N297" s="34" t="e">
        <f>'Input Custom Lighting Measures'!#REF!</f>
        <v>#REF!</v>
      </c>
      <c r="O297" s="31" t="str">
        <f t="shared" si="7"/>
        <v>Version 4.1 - 2026</v>
      </c>
      <c r="P297" s="97" t="e">
        <f>INDEX(Table_Custom_Measure_No[Description], MATCH(Table18[[#This Row],[Measure Number]], Table_Custom_Measure_No[Custom Measure No], 0))</f>
        <v>#N/A</v>
      </c>
      <c r="Q297" s="102" t="str">
        <f>'Input Custom Lighting Measures'!Y99</f>
        <v/>
      </c>
    </row>
    <row r="298" spans="1:17" x14ac:dyDescent="0.2">
      <c r="A298" s="34" t="s">
        <v>2927</v>
      </c>
      <c r="B298" s="32">
        <f t="shared" si="8"/>
        <v>0</v>
      </c>
      <c r="C298" s="32">
        <f>'Input Custom Lighting Measures'!B100</f>
        <v>96</v>
      </c>
      <c r="D298" s="32" t="str">
        <f>'Input Custom Lighting Measures'!C100</f>
        <v/>
      </c>
      <c r="E298" s="32">
        <f>'Input Custom Lighting Measures'!J100</f>
        <v>0</v>
      </c>
      <c r="F298" s="33">
        <f>'Input Custom Lighting Measures'!P100</f>
        <v>0</v>
      </c>
      <c r="G298" s="33" t="str">
        <f>'Input Custom Lighting Measures'!Z100</f>
        <v/>
      </c>
      <c r="H298" s="105" t="str">
        <f>'Input Custom Lighting Measures'!AA100</f>
        <v/>
      </c>
      <c r="I298" s="46" t="str">
        <f>IFERROR(Q298*MIN(Table_Measure_Caps[[#Totals],[Estimated Raw Incentive Total]], Table_Measure_Caps[[#Totals],[Gross Measure Cost Total]], Value_Project_CAP)/Table_Measure_Caps[[#Totals],[Estimated Raw Incentive Total]], "")</f>
        <v/>
      </c>
      <c r="J298" s="46">
        <f>'Input Custom Lighting Measures'!W100*'Input Custom Lighting Measures'!P100</f>
        <v>0</v>
      </c>
      <c r="K298" s="32">
        <f>'Input Custom Lighting Measures'!X100</f>
        <v>0</v>
      </c>
      <c r="L298" s="95">
        <f>'Input Custom Lighting Measures'!AF100</f>
        <v>0</v>
      </c>
      <c r="M298" s="96" t="e">
        <f>'Input Custom Lighting Measures'!#REF!</f>
        <v>#REF!</v>
      </c>
      <c r="N298" s="34" t="e">
        <f>'Input Custom Lighting Measures'!#REF!</f>
        <v>#REF!</v>
      </c>
      <c r="O298" s="31" t="str">
        <f t="shared" si="7"/>
        <v>Version 4.1 - 2026</v>
      </c>
      <c r="P298" s="97" t="e">
        <f>INDEX(Table_Custom_Measure_No[Description], MATCH(Table18[[#This Row],[Measure Number]], Table_Custom_Measure_No[Custom Measure No], 0))</f>
        <v>#N/A</v>
      </c>
      <c r="Q298" s="102" t="str">
        <f>'Input Custom Lighting Measures'!Y100</f>
        <v/>
      </c>
    </row>
    <row r="299" spans="1:17" x14ac:dyDescent="0.2">
      <c r="A299" s="34" t="s">
        <v>2927</v>
      </c>
      <c r="B299" s="32">
        <f t="shared" si="8"/>
        <v>0</v>
      </c>
      <c r="C299" s="32">
        <f>'Input Custom Lighting Measures'!B101</f>
        <v>97</v>
      </c>
      <c r="D299" s="32" t="str">
        <f>'Input Custom Lighting Measures'!C101</f>
        <v/>
      </c>
      <c r="E299" s="32">
        <f>'Input Custom Lighting Measures'!J101</f>
        <v>0</v>
      </c>
      <c r="F299" s="33">
        <f>'Input Custom Lighting Measures'!P101</f>
        <v>0</v>
      </c>
      <c r="G299" s="33" t="str">
        <f>'Input Custom Lighting Measures'!Z101</f>
        <v/>
      </c>
      <c r="H299" s="105" t="str">
        <f>'Input Custom Lighting Measures'!AA101</f>
        <v/>
      </c>
      <c r="I299" s="46" t="str">
        <f>IFERROR(Q299*MIN(Table_Measure_Caps[[#Totals],[Estimated Raw Incentive Total]], Table_Measure_Caps[[#Totals],[Gross Measure Cost Total]], Value_Project_CAP)/Table_Measure_Caps[[#Totals],[Estimated Raw Incentive Total]], "")</f>
        <v/>
      </c>
      <c r="J299" s="46">
        <f>'Input Custom Lighting Measures'!W101*'Input Custom Lighting Measures'!P101</f>
        <v>0</v>
      </c>
      <c r="K299" s="32">
        <f>'Input Custom Lighting Measures'!X101</f>
        <v>0</v>
      </c>
      <c r="L299" s="95">
        <f>'Input Custom Lighting Measures'!AF101</f>
        <v>0</v>
      </c>
      <c r="M299" s="96" t="e">
        <f>'Input Custom Lighting Measures'!#REF!</f>
        <v>#REF!</v>
      </c>
      <c r="N299" s="34" t="e">
        <f>'Input Custom Lighting Measures'!#REF!</f>
        <v>#REF!</v>
      </c>
      <c r="O299" s="31" t="str">
        <f t="shared" si="7"/>
        <v>Version 4.1 - 2026</v>
      </c>
      <c r="P299" s="97" t="e">
        <f>INDEX(Table_Custom_Measure_No[Description], MATCH(Table18[[#This Row],[Measure Number]], Table_Custom_Measure_No[Custom Measure No], 0))</f>
        <v>#N/A</v>
      </c>
      <c r="Q299" s="102" t="str">
        <f>'Input Custom Lighting Measures'!Y101</f>
        <v/>
      </c>
    </row>
    <row r="300" spans="1:17" x14ac:dyDescent="0.2">
      <c r="A300" s="34" t="s">
        <v>2927</v>
      </c>
      <c r="B300" s="32">
        <f t="shared" si="8"/>
        <v>0</v>
      </c>
      <c r="C300" s="32">
        <f>'Input Custom Lighting Measures'!B102</f>
        <v>98</v>
      </c>
      <c r="D300" s="32" t="str">
        <f>'Input Custom Lighting Measures'!C102</f>
        <v/>
      </c>
      <c r="E300" s="32">
        <f>'Input Custom Lighting Measures'!J102</f>
        <v>0</v>
      </c>
      <c r="F300" s="33">
        <f>'Input Custom Lighting Measures'!P102</f>
        <v>0</v>
      </c>
      <c r="G300" s="33" t="str">
        <f>'Input Custom Lighting Measures'!Z102</f>
        <v/>
      </c>
      <c r="H300" s="105" t="str">
        <f>'Input Custom Lighting Measures'!AA102</f>
        <v/>
      </c>
      <c r="I300" s="46" t="str">
        <f>IFERROR(Q300*MIN(Table_Measure_Caps[[#Totals],[Estimated Raw Incentive Total]], Table_Measure_Caps[[#Totals],[Gross Measure Cost Total]], Value_Project_CAP)/Table_Measure_Caps[[#Totals],[Estimated Raw Incentive Total]], "")</f>
        <v/>
      </c>
      <c r="J300" s="46">
        <f>'Input Custom Lighting Measures'!W102*'Input Custom Lighting Measures'!P102</f>
        <v>0</v>
      </c>
      <c r="K300" s="32">
        <f>'Input Custom Lighting Measures'!X102</f>
        <v>0</v>
      </c>
      <c r="L300" s="95">
        <f>'Input Custom Lighting Measures'!AF102</f>
        <v>0</v>
      </c>
      <c r="M300" s="96" t="e">
        <f>'Input Custom Lighting Measures'!#REF!</f>
        <v>#REF!</v>
      </c>
      <c r="N300" s="34" t="e">
        <f>'Input Custom Lighting Measures'!#REF!</f>
        <v>#REF!</v>
      </c>
      <c r="O300" s="31" t="str">
        <f t="shared" si="7"/>
        <v>Version 4.1 - 2026</v>
      </c>
      <c r="P300" s="97" t="e">
        <f>INDEX(Table_Custom_Measure_No[Description], MATCH(Table18[[#This Row],[Measure Number]], Table_Custom_Measure_No[Custom Measure No], 0))</f>
        <v>#N/A</v>
      </c>
      <c r="Q300" s="102" t="str">
        <f>'Input Custom Lighting Measures'!Y102</f>
        <v/>
      </c>
    </row>
    <row r="301" spans="1:17" x14ac:dyDescent="0.2">
      <c r="A301" s="34" t="s">
        <v>2927</v>
      </c>
      <c r="B301" s="32">
        <f t="shared" si="8"/>
        <v>0</v>
      </c>
      <c r="C301" s="32">
        <f>'Input Custom Lighting Measures'!B103</f>
        <v>99</v>
      </c>
      <c r="D301" s="32" t="str">
        <f>'Input Custom Lighting Measures'!C103</f>
        <v/>
      </c>
      <c r="E301" s="32">
        <f>'Input Custom Lighting Measures'!J103</f>
        <v>0</v>
      </c>
      <c r="F301" s="33">
        <f>'Input Custom Lighting Measures'!P103</f>
        <v>0</v>
      </c>
      <c r="G301" s="33" t="str">
        <f>'Input Custom Lighting Measures'!Z103</f>
        <v/>
      </c>
      <c r="H301" s="105" t="str">
        <f>'Input Custom Lighting Measures'!AA103</f>
        <v/>
      </c>
      <c r="I301" s="46" t="str">
        <f>IFERROR(Q301*MIN(Table_Measure_Caps[[#Totals],[Estimated Raw Incentive Total]], Table_Measure_Caps[[#Totals],[Gross Measure Cost Total]], Value_Project_CAP)/Table_Measure_Caps[[#Totals],[Estimated Raw Incentive Total]], "")</f>
        <v/>
      </c>
      <c r="J301" s="46">
        <f>'Input Custom Lighting Measures'!W103*'Input Custom Lighting Measures'!P103</f>
        <v>0</v>
      </c>
      <c r="K301" s="32">
        <f>'Input Custom Lighting Measures'!X103</f>
        <v>0</v>
      </c>
      <c r="L301" s="95">
        <f>'Input Custom Lighting Measures'!AF103</f>
        <v>0</v>
      </c>
      <c r="M301" s="96" t="e">
        <f>'Input Custom Lighting Measures'!#REF!</f>
        <v>#REF!</v>
      </c>
      <c r="N301" s="34" t="e">
        <f>'Input Custom Lighting Measures'!#REF!</f>
        <v>#REF!</v>
      </c>
      <c r="O301" s="31" t="str">
        <f t="shared" si="7"/>
        <v>Version 4.1 - 2026</v>
      </c>
      <c r="P301" s="97" t="e">
        <f>INDEX(Table_Custom_Measure_No[Description], MATCH(Table18[[#This Row],[Measure Number]], Table_Custom_Measure_No[Custom Measure No], 0))</f>
        <v>#N/A</v>
      </c>
      <c r="Q301" s="102" t="str">
        <f>'Input Custom Lighting Measures'!Y103</f>
        <v/>
      </c>
    </row>
    <row r="302" spans="1:17" x14ac:dyDescent="0.2">
      <c r="A302" s="34" t="s">
        <v>2927</v>
      </c>
      <c r="B302" s="32">
        <f t="shared" si="8"/>
        <v>0</v>
      </c>
      <c r="C302" s="32">
        <f>'Input Custom Lighting Measures'!B104</f>
        <v>100</v>
      </c>
      <c r="D302" s="32" t="str">
        <f>'Input Custom Lighting Measures'!C104</f>
        <v/>
      </c>
      <c r="E302" s="32">
        <f>'Input Custom Lighting Measures'!J104</f>
        <v>0</v>
      </c>
      <c r="F302" s="33">
        <f>'Input Custom Lighting Measures'!P104</f>
        <v>0</v>
      </c>
      <c r="G302" s="33" t="str">
        <f>'Input Custom Lighting Measures'!Z104</f>
        <v/>
      </c>
      <c r="H302" s="105" t="str">
        <f>'Input Custom Lighting Measures'!AA104</f>
        <v/>
      </c>
      <c r="I302" s="46" t="str">
        <f>IFERROR(Q302*MIN(Table_Measure_Caps[[#Totals],[Estimated Raw Incentive Total]], Table_Measure_Caps[[#Totals],[Gross Measure Cost Total]], Value_Project_CAP)/Table_Measure_Caps[[#Totals],[Estimated Raw Incentive Total]], "")</f>
        <v/>
      </c>
      <c r="J302" s="46">
        <f>'Input Custom Lighting Measures'!W104*'Input Custom Lighting Measures'!P104</f>
        <v>0</v>
      </c>
      <c r="K302" s="32">
        <f>'Input Custom Lighting Measures'!X104</f>
        <v>0</v>
      </c>
      <c r="L302" s="95">
        <f>'Input Custom Lighting Measures'!AF104</f>
        <v>0</v>
      </c>
      <c r="M302" s="96" t="e">
        <f>'Input Custom Lighting Measures'!#REF!</f>
        <v>#REF!</v>
      </c>
      <c r="N302" s="34" t="e">
        <f>'Input Custom Lighting Measures'!#REF!</f>
        <v>#REF!</v>
      </c>
      <c r="O302" s="31" t="str">
        <f t="shared" si="7"/>
        <v>Version 4.1 - 2026</v>
      </c>
      <c r="P302" s="97" t="e">
        <f>INDEX(Table_Custom_Measure_No[Description], MATCH(Table18[[#This Row],[Measure Number]], Table_Custom_Measure_No[Custom Measure No], 0))</f>
        <v>#N/A</v>
      </c>
      <c r="Q302" s="102" t="str">
        <f>'Input Custom Lighting Measures'!Y104</f>
        <v/>
      </c>
    </row>
    <row r="303" spans="1:17" x14ac:dyDescent="0.2">
      <c r="A303" s="15" t="s">
        <v>6294</v>
      </c>
      <c r="B303" s="14">
        <f t="shared" si="0"/>
        <v>0</v>
      </c>
      <c r="C303" s="14">
        <f>'Input Lighting Control Measures'!B5</f>
        <v>1</v>
      </c>
      <c r="D303" s="14" t="str">
        <f>'Input Lighting Control Measures'!C5</f>
        <v/>
      </c>
      <c r="E303" s="14" t="s">
        <v>6295</v>
      </c>
      <c r="F303" s="16">
        <f>1</f>
        <v>1</v>
      </c>
      <c r="G303" s="16" t="str">
        <f>'Input Lighting Control Measures'!M5</f>
        <v/>
      </c>
      <c r="H303" s="104" t="str">
        <f>'Input Lighting Control Measures'!N5</f>
        <v/>
      </c>
      <c r="I303" s="45" t="str">
        <f>IFERROR(Q303*MIN(Table_Measure_Caps[[#Totals],[Estimated Raw Incentive Total]], Table_Measure_Caps[[#Totals],[Gross Measure Cost Total]], Value_Project_CAP)/Table_Measure_Caps[[#Totals],[Estimated Raw Incentive Total]], "")</f>
        <v/>
      </c>
      <c r="J303" s="45">
        <f>'Input Lighting Control Measures'!I5</f>
        <v>0</v>
      </c>
      <c r="K303" s="14">
        <f>'Input Lighting Control Measures'!J5</f>
        <v>0</v>
      </c>
      <c r="L303" s="15" t="e">
        <f>'Input Lighting Control Measures'!W5</f>
        <v>#N/A</v>
      </c>
      <c r="M303" s="17">
        <f>'Input Lighting Control Measures'!H5</f>
        <v>0</v>
      </c>
      <c r="N303" s="15">
        <f>'Input Lighting Control Measures'!H5</f>
        <v>0</v>
      </c>
      <c r="O303" s="31" t="str">
        <f t="shared" si="7"/>
        <v>Version 4.1 - 2026</v>
      </c>
      <c r="P303" s="89">
        <f>'Input Lighting Control Measures'!E5</f>
        <v>0</v>
      </c>
      <c r="Q303" s="42" t="str">
        <f>'Input Lighting Control Measures'!L5</f>
        <v/>
      </c>
    </row>
    <row r="304" spans="1:17" x14ac:dyDescent="0.2">
      <c r="A304" s="15" t="s">
        <v>6294</v>
      </c>
      <c r="B304" s="14">
        <f t="shared" si="0"/>
        <v>0</v>
      </c>
      <c r="C304" s="14">
        <f>'Input Lighting Control Measures'!B6</f>
        <v>2</v>
      </c>
      <c r="D304" s="14" t="str">
        <f>'Input Lighting Control Measures'!C6</f>
        <v/>
      </c>
      <c r="E304" s="14" t="s">
        <v>6295</v>
      </c>
      <c r="F304" s="16">
        <f>1</f>
        <v>1</v>
      </c>
      <c r="G304" s="16" t="str">
        <f>'Input Lighting Control Measures'!M6</f>
        <v/>
      </c>
      <c r="H304" s="104" t="str">
        <f>'Input Lighting Control Measures'!N6</f>
        <v/>
      </c>
      <c r="I304" s="45" t="str">
        <f>IFERROR(Q304*MIN(Table_Measure_Caps[[#Totals],[Estimated Raw Incentive Total]], Table_Measure_Caps[[#Totals],[Gross Measure Cost Total]], Value_Project_CAP)/Table_Measure_Caps[[#Totals],[Estimated Raw Incentive Total]], "")</f>
        <v/>
      </c>
      <c r="J304" s="45">
        <f>'Input Lighting Control Measures'!I6</f>
        <v>0</v>
      </c>
      <c r="K304" s="14">
        <f>'Input Lighting Control Measures'!J6</f>
        <v>0</v>
      </c>
      <c r="L304" s="15" t="e">
        <f>'Input Lighting Control Measures'!W6</f>
        <v>#N/A</v>
      </c>
      <c r="M304" s="17">
        <f>'Input Lighting Control Measures'!H6</f>
        <v>0</v>
      </c>
      <c r="N304" s="15">
        <f>'Input Lighting Control Measures'!H6</f>
        <v>0</v>
      </c>
      <c r="O304" s="31" t="str">
        <f t="shared" si="7"/>
        <v>Version 4.1 - 2026</v>
      </c>
      <c r="P304" s="89">
        <f>'Input Lighting Control Measures'!E6</f>
        <v>0</v>
      </c>
      <c r="Q304" s="42" t="str">
        <f>'Input Lighting Control Measures'!L6</f>
        <v/>
      </c>
    </row>
    <row r="305" spans="1:17" x14ac:dyDescent="0.2">
      <c r="A305" s="15" t="s">
        <v>6294</v>
      </c>
      <c r="B305" s="14">
        <f t="shared" ref="B305:B368" si="9">Input_ProjectNumber</f>
        <v>0</v>
      </c>
      <c r="C305" s="14">
        <f>'Input Lighting Control Measures'!B7</f>
        <v>3</v>
      </c>
      <c r="D305" s="14" t="str">
        <f>'Input Lighting Control Measures'!C7</f>
        <v/>
      </c>
      <c r="E305" s="14" t="s">
        <v>6295</v>
      </c>
      <c r="F305" s="16">
        <f>1</f>
        <v>1</v>
      </c>
      <c r="G305" s="16" t="str">
        <f>'Input Lighting Control Measures'!M7</f>
        <v/>
      </c>
      <c r="H305" s="104" t="str">
        <f>'Input Lighting Control Measures'!N7</f>
        <v/>
      </c>
      <c r="I305" s="45" t="str">
        <f>IFERROR(Q305*MIN(Table_Measure_Caps[[#Totals],[Estimated Raw Incentive Total]], Table_Measure_Caps[[#Totals],[Gross Measure Cost Total]], Value_Project_CAP)/Table_Measure_Caps[[#Totals],[Estimated Raw Incentive Total]], "")</f>
        <v/>
      </c>
      <c r="J305" s="45">
        <f>'Input Lighting Control Measures'!I7</f>
        <v>0</v>
      </c>
      <c r="K305" s="14">
        <f>'Input Lighting Control Measures'!J7</f>
        <v>0</v>
      </c>
      <c r="L305" s="15" t="e">
        <f>'Input Lighting Control Measures'!W7</f>
        <v>#N/A</v>
      </c>
      <c r="M305" s="17">
        <f>'Input Lighting Control Measures'!H7</f>
        <v>0</v>
      </c>
      <c r="N305" s="15">
        <f>'Input Lighting Control Measures'!H7</f>
        <v>0</v>
      </c>
      <c r="O305" s="31" t="str">
        <f t="shared" si="7"/>
        <v>Version 4.1 - 2026</v>
      </c>
      <c r="P305" s="89">
        <f>'Input Lighting Control Measures'!E7</f>
        <v>0</v>
      </c>
      <c r="Q305" s="42" t="str">
        <f>'Input Lighting Control Measures'!L7</f>
        <v/>
      </c>
    </row>
    <row r="306" spans="1:17" x14ac:dyDescent="0.2">
      <c r="A306" s="15" t="s">
        <v>6294</v>
      </c>
      <c r="B306" s="14">
        <f t="shared" si="9"/>
        <v>0</v>
      </c>
      <c r="C306" s="14">
        <f>'Input Lighting Control Measures'!B8</f>
        <v>4</v>
      </c>
      <c r="D306" s="14" t="str">
        <f>'Input Lighting Control Measures'!C8</f>
        <v/>
      </c>
      <c r="E306" s="14" t="s">
        <v>6295</v>
      </c>
      <c r="F306" s="16">
        <f>1</f>
        <v>1</v>
      </c>
      <c r="G306" s="16" t="str">
        <f>'Input Lighting Control Measures'!M8</f>
        <v/>
      </c>
      <c r="H306" s="104" t="str">
        <f>'Input Lighting Control Measures'!N8</f>
        <v/>
      </c>
      <c r="I306" s="45" t="str">
        <f>IFERROR(Q306*MIN(Table_Measure_Caps[[#Totals],[Estimated Raw Incentive Total]], Table_Measure_Caps[[#Totals],[Gross Measure Cost Total]], Value_Project_CAP)/Table_Measure_Caps[[#Totals],[Estimated Raw Incentive Total]], "")</f>
        <v/>
      </c>
      <c r="J306" s="45">
        <f>'Input Lighting Control Measures'!I8</f>
        <v>0</v>
      </c>
      <c r="K306" s="14">
        <f>'Input Lighting Control Measures'!J8</f>
        <v>0</v>
      </c>
      <c r="L306" s="15" t="e">
        <f>'Input Lighting Control Measures'!W8</f>
        <v>#N/A</v>
      </c>
      <c r="M306" s="17">
        <f>'Input Lighting Control Measures'!H8</f>
        <v>0</v>
      </c>
      <c r="N306" s="15">
        <f>'Input Lighting Control Measures'!H8</f>
        <v>0</v>
      </c>
      <c r="O306" s="31" t="str">
        <f t="shared" si="7"/>
        <v>Version 4.1 - 2026</v>
      </c>
      <c r="P306" s="89">
        <f>'Input Lighting Control Measures'!E8</f>
        <v>0</v>
      </c>
      <c r="Q306" s="42" t="str">
        <f>'Input Lighting Control Measures'!L8</f>
        <v/>
      </c>
    </row>
    <row r="307" spans="1:17" x14ac:dyDescent="0.2">
      <c r="A307" s="15" t="s">
        <v>6294</v>
      </c>
      <c r="B307" s="14">
        <f t="shared" si="9"/>
        <v>0</v>
      </c>
      <c r="C307" s="14">
        <f>'Input Lighting Control Measures'!B9</f>
        <v>5</v>
      </c>
      <c r="D307" s="14" t="str">
        <f>'Input Lighting Control Measures'!C9</f>
        <v/>
      </c>
      <c r="E307" s="14" t="s">
        <v>6295</v>
      </c>
      <c r="F307" s="16">
        <f>1</f>
        <v>1</v>
      </c>
      <c r="G307" s="16" t="str">
        <f>'Input Lighting Control Measures'!M9</f>
        <v/>
      </c>
      <c r="H307" s="104" t="str">
        <f>'Input Lighting Control Measures'!N9</f>
        <v/>
      </c>
      <c r="I307" s="45" t="str">
        <f>IFERROR(Q307*MIN(Table_Measure_Caps[[#Totals],[Estimated Raw Incentive Total]], Table_Measure_Caps[[#Totals],[Gross Measure Cost Total]], Value_Project_CAP)/Table_Measure_Caps[[#Totals],[Estimated Raw Incentive Total]], "")</f>
        <v/>
      </c>
      <c r="J307" s="45">
        <f>'Input Lighting Control Measures'!I9</f>
        <v>0</v>
      </c>
      <c r="K307" s="14">
        <f>'Input Lighting Control Measures'!J9</f>
        <v>0</v>
      </c>
      <c r="L307" s="15" t="e">
        <f>'Input Lighting Control Measures'!W9</f>
        <v>#N/A</v>
      </c>
      <c r="M307" s="17">
        <f>'Input Lighting Control Measures'!H9</f>
        <v>0</v>
      </c>
      <c r="N307" s="15">
        <f>'Input Lighting Control Measures'!H9</f>
        <v>0</v>
      </c>
      <c r="O307" s="31" t="str">
        <f t="shared" si="7"/>
        <v>Version 4.1 - 2026</v>
      </c>
      <c r="P307" s="89">
        <f>'Input Lighting Control Measures'!E9</f>
        <v>0</v>
      </c>
      <c r="Q307" s="42" t="str">
        <f>'Input Lighting Control Measures'!L9</f>
        <v/>
      </c>
    </row>
    <row r="308" spans="1:17" x14ac:dyDescent="0.2">
      <c r="A308" s="15" t="s">
        <v>6294</v>
      </c>
      <c r="B308" s="14">
        <f t="shared" si="9"/>
        <v>0</v>
      </c>
      <c r="C308" s="14">
        <f>'Input Lighting Control Measures'!B10</f>
        <v>6</v>
      </c>
      <c r="D308" s="14" t="str">
        <f>'Input Lighting Control Measures'!C10</f>
        <v/>
      </c>
      <c r="E308" s="14" t="s">
        <v>6295</v>
      </c>
      <c r="F308" s="16">
        <f>1</f>
        <v>1</v>
      </c>
      <c r="G308" s="16" t="str">
        <f>'Input Lighting Control Measures'!M10</f>
        <v/>
      </c>
      <c r="H308" s="104" t="str">
        <f>'Input Lighting Control Measures'!N10</f>
        <v/>
      </c>
      <c r="I308" s="45" t="str">
        <f>IFERROR(Q308*MIN(Table_Measure_Caps[[#Totals],[Estimated Raw Incentive Total]], Table_Measure_Caps[[#Totals],[Gross Measure Cost Total]], Value_Project_CAP)/Table_Measure_Caps[[#Totals],[Estimated Raw Incentive Total]], "")</f>
        <v/>
      </c>
      <c r="J308" s="45">
        <f>'Input Lighting Control Measures'!I10</f>
        <v>0</v>
      </c>
      <c r="K308" s="14">
        <f>'Input Lighting Control Measures'!J10</f>
        <v>0</v>
      </c>
      <c r="L308" s="15" t="e">
        <f>'Input Lighting Control Measures'!W10</f>
        <v>#N/A</v>
      </c>
      <c r="M308" s="17">
        <f>'Input Lighting Control Measures'!H10</f>
        <v>0</v>
      </c>
      <c r="N308" s="15">
        <f>'Input Lighting Control Measures'!H10</f>
        <v>0</v>
      </c>
      <c r="O308" s="31" t="str">
        <f t="shared" si="7"/>
        <v>Version 4.1 - 2026</v>
      </c>
      <c r="P308" s="89">
        <f>'Input Lighting Control Measures'!E10</f>
        <v>0</v>
      </c>
      <c r="Q308" s="42" t="str">
        <f>'Input Lighting Control Measures'!L10</f>
        <v/>
      </c>
    </row>
    <row r="309" spans="1:17" x14ac:dyDescent="0.2">
      <c r="A309" s="15" t="s">
        <v>6294</v>
      </c>
      <c r="B309" s="14">
        <f t="shared" si="9"/>
        <v>0</v>
      </c>
      <c r="C309" s="14">
        <f>'Input Lighting Control Measures'!B11</f>
        <v>7</v>
      </c>
      <c r="D309" s="14" t="str">
        <f>'Input Lighting Control Measures'!C11</f>
        <v/>
      </c>
      <c r="E309" s="14" t="s">
        <v>6295</v>
      </c>
      <c r="F309" s="16">
        <f>1</f>
        <v>1</v>
      </c>
      <c r="G309" s="16" t="str">
        <f>'Input Lighting Control Measures'!M11</f>
        <v/>
      </c>
      <c r="H309" s="104" t="str">
        <f>'Input Lighting Control Measures'!N11</f>
        <v/>
      </c>
      <c r="I309" s="45" t="str">
        <f>IFERROR(Q309*MIN(Table_Measure_Caps[[#Totals],[Estimated Raw Incentive Total]], Table_Measure_Caps[[#Totals],[Gross Measure Cost Total]], Value_Project_CAP)/Table_Measure_Caps[[#Totals],[Estimated Raw Incentive Total]], "")</f>
        <v/>
      </c>
      <c r="J309" s="45">
        <f>'Input Lighting Control Measures'!I11</f>
        <v>0</v>
      </c>
      <c r="K309" s="14">
        <f>'Input Lighting Control Measures'!J11</f>
        <v>0</v>
      </c>
      <c r="L309" s="15" t="e">
        <f>'Input Lighting Control Measures'!W11</f>
        <v>#N/A</v>
      </c>
      <c r="M309" s="17">
        <f>'Input Lighting Control Measures'!H11</f>
        <v>0</v>
      </c>
      <c r="N309" s="15">
        <f>'Input Lighting Control Measures'!H11</f>
        <v>0</v>
      </c>
      <c r="O309" s="31" t="str">
        <f t="shared" si="7"/>
        <v>Version 4.1 - 2026</v>
      </c>
      <c r="P309" s="89">
        <f>'Input Lighting Control Measures'!E11</f>
        <v>0</v>
      </c>
      <c r="Q309" s="42" t="str">
        <f>'Input Lighting Control Measures'!L11</f>
        <v/>
      </c>
    </row>
    <row r="310" spans="1:17" x14ac:dyDescent="0.2">
      <c r="A310" s="15" t="s">
        <v>6294</v>
      </c>
      <c r="B310" s="14">
        <f t="shared" si="9"/>
        <v>0</v>
      </c>
      <c r="C310" s="14">
        <f>'Input Lighting Control Measures'!B12</f>
        <v>8</v>
      </c>
      <c r="D310" s="14" t="str">
        <f>'Input Lighting Control Measures'!C12</f>
        <v/>
      </c>
      <c r="E310" s="14" t="s">
        <v>6295</v>
      </c>
      <c r="F310" s="16">
        <f>1</f>
        <v>1</v>
      </c>
      <c r="G310" s="16" t="str">
        <f>'Input Lighting Control Measures'!M12</f>
        <v/>
      </c>
      <c r="H310" s="104" t="str">
        <f>'Input Lighting Control Measures'!N12</f>
        <v/>
      </c>
      <c r="I310" s="45" t="str">
        <f>IFERROR(Q310*MIN(Table_Measure_Caps[[#Totals],[Estimated Raw Incentive Total]], Table_Measure_Caps[[#Totals],[Gross Measure Cost Total]], Value_Project_CAP)/Table_Measure_Caps[[#Totals],[Estimated Raw Incentive Total]], "")</f>
        <v/>
      </c>
      <c r="J310" s="45">
        <f>'Input Lighting Control Measures'!I12</f>
        <v>0</v>
      </c>
      <c r="K310" s="14">
        <f>'Input Lighting Control Measures'!J12</f>
        <v>0</v>
      </c>
      <c r="L310" s="15" t="e">
        <f>'Input Lighting Control Measures'!W12</f>
        <v>#N/A</v>
      </c>
      <c r="M310" s="17">
        <f>'Input Lighting Control Measures'!H12</f>
        <v>0</v>
      </c>
      <c r="N310" s="15">
        <f>'Input Lighting Control Measures'!H12</f>
        <v>0</v>
      </c>
      <c r="O310" s="31" t="str">
        <f t="shared" si="7"/>
        <v>Version 4.1 - 2026</v>
      </c>
      <c r="P310" s="89">
        <f>'Input Lighting Control Measures'!E12</f>
        <v>0</v>
      </c>
      <c r="Q310" s="42" t="str">
        <f>'Input Lighting Control Measures'!L12</f>
        <v/>
      </c>
    </row>
    <row r="311" spans="1:17" x14ac:dyDescent="0.2">
      <c r="A311" s="15" t="s">
        <v>6294</v>
      </c>
      <c r="B311" s="14">
        <f t="shared" si="9"/>
        <v>0</v>
      </c>
      <c r="C311" s="14">
        <f>'Input Lighting Control Measures'!B13</f>
        <v>9</v>
      </c>
      <c r="D311" s="14" t="str">
        <f>'Input Lighting Control Measures'!C13</f>
        <v/>
      </c>
      <c r="E311" s="14" t="s">
        <v>6295</v>
      </c>
      <c r="F311" s="16">
        <f>1</f>
        <v>1</v>
      </c>
      <c r="G311" s="16" t="str">
        <f>'Input Lighting Control Measures'!M13</f>
        <v/>
      </c>
      <c r="H311" s="104" t="str">
        <f>'Input Lighting Control Measures'!N13</f>
        <v/>
      </c>
      <c r="I311" s="45" t="str">
        <f>IFERROR(Q311*MIN(Table_Measure_Caps[[#Totals],[Estimated Raw Incentive Total]], Table_Measure_Caps[[#Totals],[Gross Measure Cost Total]], Value_Project_CAP)/Table_Measure_Caps[[#Totals],[Estimated Raw Incentive Total]], "")</f>
        <v/>
      </c>
      <c r="J311" s="45">
        <f>'Input Lighting Control Measures'!I13</f>
        <v>0</v>
      </c>
      <c r="K311" s="14">
        <f>'Input Lighting Control Measures'!J13</f>
        <v>0</v>
      </c>
      <c r="L311" s="15" t="e">
        <f>'Input Lighting Control Measures'!W13</f>
        <v>#N/A</v>
      </c>
      <c r="M311" s="17">
        <f>'Input Lighting Control Measures'!H13</f>
        <v>0</v>
      </c>
      <c r="N311" s="15">
        <f>'Input Lighting Control Measures'!H13</f>
        <v>0</v>
      </c>
      <c r="O311" s="31" t="str">
        <f t="shared" si="7"/>
        <v>Version 4.1 - 2026</v>
      </c>
      <c r="P311" s="89">
        <f>'Input Lighting Control Measures'!E13</f>
        <v>0</v>
      </c>
      <c r="Q311" s="42" t="str">
        <f>'Input Lighting Control Measures'!L13</f>
        <v/>
      </c>
    </row>
    <row r="312" spans="1:17" x14ac:dyDescent="0.2">
      <c r="A312" s="15" t="s">
        <v>6294</v>
      </c>
      <c r="B312" s="14">
        <f t="shared" si="9"/>
        <v>0</v>
      </c>
      <c r="C312" s="14">
        <f>'Input Lighting Control Measures'!B14</f>
        <v>10</v>
      </c>
      <c r="D312" s="14" t="str">
        <f>'Input Lighting Control Measures'!C14</f>
        <v/>
      </c>
      <c r="E312" s="14" t="s">
        <v>6295</v>
      </c>
      <c r="F312" s="16">
        <f>1</f>
        <v>1</v>
      </c>
      <c r="G312" s="16" t="str">
        <f>'Input Lighting Control Measures'!M14</f>
        <v/>
      </c>
      <c r="H312" s="104" t="str">
        <f>'Input Lighting Control Measures'!N14</f>
        <v/>
      </c>
      <c r="I312" s="45" t="str">
        <f>IFERROR(Q312*MIN(Table_Measure_Caps[[#Totals],[Estimated Raw Incentive Total]], Table_Measure_Caps[[#Totals],[Gross Measure Cost Total]], Value_Project_CAP)/Table_Measure_Caps[[#Totals],[Estimated Raw Incentive Total]], "")</f>
        <v/>
      </c>
      <c r="J312" s="45">
        <f>'Input Lighting Control Measures'!I14</f>
        <v>0</v>
      </c>
      <c r="K312" s="14">
        <f>'Input Lighting Control Measures'!J14</f>
        <v>0</v>
      </c>
      <c r="L312" s="15" t="e">
        <f>'Input Lighting Control Measures'!W14</f>
        <v>#N/A</v>
      </c>
      <c r="M312" s="17">
        <f>'Input Lighting Control Measures'!H14</f>
        <v>0</v>
      </c>
      <c r="N312" s="15">
        <f>'Input Lighting Control Measures'!H14</f>
        <v>0</v>
      </c>
      <c r="O312" s="31" t="str">
        <f t="shared" si="7"/>
        <v>Version 4.1 - 2026</v>
      </c>
      <c r="P312" s="89">
        <f>'Input Lighting Control Measures'!E14</f>
        <v>0</v>
      </c>
      <c r="Q312" s="42" t="str">
        <f>'Input Lighting Control Measures'!L14</f>
        <v/>
      </c>
    </row>
    <row r="313" spans="1:17" x14ac:dyDescent="0.2">
      <c r="A313" s="15" t="s">
        <v>6294</v>
      </c>
      <c r="B313" s="14">
        <f t="shared" si="9"/>
        <v>0</v>
      </c>
      <c r="C313" s="14">
        <f>'Input Lighting Control Measures'!B15</f>
        <v>11</v>
      </c>
      <c r="D313" s="14" t="str">
        <f>'Input Lighting Control Measures'!C15</f>
        <v/>
      </c>
      <c r="E313" s="14" t="s">
        <v>6295</v>
      </c>
      <c r="F313" s="16">
        <f>1</f>
        <v>1</v>
      </c>
      <c r="G313" s="16" t="str">
        <f>'Input Lighting Control Measures'!M15</f>
        <v/>
      </c>
      <c r="H313" s="104" t="str">
        <f>'Input Lighting Control Measures'!N15</f>
        <v/>
      </c>
      <c r="I313" s="45" t="str">
        <f>IFERROR(Q313*MIN(Table_Measure_Caps[[#Totals],[Estimated Raw Incentive Total]], Table_Measure_Caps[[#Totals],[Gross Measure Cost Total]], Value_Project_CAP)/Table_Measure_Caps[[#Totals],[Estimated Raw Incentive Total]], "")</f>
        <v/>
      </c>
      <c r="J313" s="45">
        <f>'Input Lighting Control Measures'!I15</f>
        <v>0</v>
      </c>
      <c r="K313" s="14">
        <f>'Input Lighting Control Measures'!J15</f>
        <v>0</v>
      </c>
      <c r="L313" s="15" t="e">
        <f>'Input Lighting Control Measures'!W15</f>
        <v>#N/A</v>
      </c>
      <c r="M313" s="17">
        <f>'Input Lighting Control Measures'!H15</f>
        <v>0</v>
      </c>
      <c r="N313" s="15">
        <f>'Input Lighting Control Measures'!H15</f>
        <v>0</v>
      </c>
      <c r="O313" s="31" t="str">
        <f t="shared" si="7"/>
        <v>Version 4.1 - 2026</v>
      </c>
      <c r="P313" s="89">
        <f>'Input Lighting Control Measures'!E15</f>
        <v>0</v>
      </c>
      <c r="Q313" s="42" t="str">
        <f>'Input Lighting Control Measures'!L15</f>
        <v/>
      </c>
    </row>
    <row r="314" spans="1:17" x14ac:dyDescent="0.2">
      <c r="A314" s="15" t="s">
        <v>6294</v>
      </c>
      <c r="B314" s="14">
        <f t="shared" si="9"/>
        <v>0</v>
      </c>
      <c r="C314" s="14">
        <f>'Input Lighting Control Measures'!B16</f>
        <v>12</v>
      </c>
      <c r="D314" s="14" t="str">
        <f>'Input Lighting Control Measures'!C16</f>
        <v/>
      </c>
      <c r="E314" s="14" t="s">
        <v>6295</v>
      </c>
      <c r="F314" s="16">
        <f>1</f>
        <v>1</v>
      </c>
      <c r="G314" s="16" t="str">
        <f>'Input Lighting Control Measures'!M16</f>
        <v/>
      </c>
      <c r="H314" s="104" t="str">
        <f>'Input Lighting Control Measures'!N16</f>
        <v/>
      </c>
      <c r="I314" s="45" t="str">
        <f>IFERROR(Q314*MIN(Table_Measure_Caps[[#Totals],[Estimated Raw Incentive Total]], Table_Measure_Caps[[#Totals],[Gross Measure Cost Total]], Value_Project_CAP)/Table_Measure_Caps[[#Totals],[Estimated Raw Incentive Total]], "")</f>
        <v/>
      </c>
      <c r="J314" s="45">
        <f>'Input Lighting Control Measures'!I16</f>
        <v>0</v>
      </c>
      <c r="K314" s="14">
        <f>'Input Lighting Control Measures'!J16</f>
        <v>0</v>
      </c>
      <c r="L314" s="15" t="e">
        <f>'Input Lighting Control Measures'!W16</f>
        <v>#N/A</v>
      </c>
      <c r="M314" s="17">
        <f>'Input Lighting Control Measures'!H16</f>
        <v>0</v>
      </c>
      <c r="N314" s="15">
        <f>'Input Lighting Control Measures'!H16</f>
        <v>0</v>
      </c>
      <c r="O314" s="31" t="str">
        <f t="shared" si="7"/>
        <v>Version 4.1 - 2026</v>
      </c>
      <c r="P314" s="89">
        <f>'Input Lighting Control Measures'!E16</f>
        <v>0</v>
      </c>
      <c r="Q314" s="42" t="str">
        <f>'Input Lighting Control Measures'!L16</f>
        <v/>
      </c>
    </row>
    <row r="315" spans="1:17" x14ac:dyDescent="0.2">
      <c r="A315" s="15" t="s">
        <v>6294</v>
      </c>
      <c r="B315" s="14">
        <f t="shared" si="9"/>
        <v>0</v>
      </c>
      <c r="C315" s="14">
        <f>'Input Lighting Control Measures'!B17</f>
        <v>13</v>
      </c>
      <c r="D315" s="14" t="str">
        <f>'Input Lighting Control Measures'!C17</f>
        <v/>
      </c>
      <c r="E315" s="14" t="s">
        <v>6295</v>
      </c>
      <c r="F315" s="16">
        <f>1</f>
        <v>1</v>
      </c>
      <c r="G315" s="16" t="str">
        <f>'Input Lighting Control Measures'!M17</f>
        <v/>
      </c>
      <c r="H315" s="104" t="str">
        <f>'Input Lighting Control Measures'!N17</f>
        <v/>
      </c>
      <c r="I315" s="45" t="str">
        <f>IFERROR(Q315*MIN(Table_Measure_Caps[[#Totals],[Estimated Raw Incentive Total]], Table_Measure_Caps[[#Totals],[Gross Measure Cost Total]], Value_Project_CAP)/Table_Measure_Caps[[#Totals],[Estimated Raw Incentive Total]], "")</f>
        <v/>
      </c>
      <c r="J315" s="45">
        <f>'Input Lighting Control Measures'!I17</f>
        <v>0</v>
      </c>
      <c r="K315" s="14">
        <f>'Input Lighting Control Measures'!J17</f>
        <v>0</v>
      </c>
      <c r="L315" s="15" t="e">
        <f>'Input Lighting Control Measures'!W17</f>
        <v>#N/A</v>
      </c>
      <c r="M315" s="17">
        <f>'Input Lighting Control Measures'!H17</f>
        <v>0</v>
      </c>
      <c r="N315" s="15">
        <f>'Input Lighting Control Measures'!H17</f>
        <v>0</v>
      </c>
      <c r="O315" s="31" t="str">
        <f t="shared" si="7"/>
        <v>Version 4.1 - 2026</v>
      </c>
      <c r="P315" s="89">
        <f>'Input Lighting Control Measures'!E17</f>
        <v>0</v>
      </c>
      <c r="Q315" s="42" t="str">
        <f>'Input Lighting Control Measures'!L17</f>
        <v/>
      </c>
    </row>
    <row r="316" spans="1:17" x14ac:dyDescent="0.2">
      <c r="A316" s="15" t="s">
        <v>6294</v>
      </c>
      <c r="B316" s="14">
        <f t="shared" si="9"/>
        <v>0</v>
      </c>
      <c r="C316" s="14">
        <f>'Input Lighting Control Measures'!B18</f>
        <v>14</v>
      </c>
      <c r="D316" s="14" t="str">
        <f>'Input Lighting Control Measures'!C18</f>
        <v/>
      </c>
      <c r="E316" s="14" t="s">
        <v>6295</v>
      </c>
      <c r="F316" s="16">
        <f>1</f>
        <v>1</v>
      </c>
      <c r="G316" s="16" t="str">
        <f>'Input Lighting Control Measures'!M18</f>
        <v/>
      </c>
      <c r="H316" s="104" t="str">
        <f>'Input Lighting Control Measures'!N18</f>
        <v/>
      </c>
      <c r="I316" s="45" t="str">
        <f>IFERROR(Q316*MIN(Table_Measure_Caps[[#Totals],[Estimated Raw Incentive Total]], Table_Measure_Caps[[#Totals],[Gross Measure Cost Total]], Value_Project_CAP)/Table_Measure_Caps[[#Totals],[Estimated Raw Incentive Total]], "")</f>
        <v/>
      </c>
      <c r="J316" s="45">
        <f>'Input Lighting Control Measures'!I18</f>
        <v>0</v>
      </c>
      <c r="K316" s="14">
        <f>'Input Lighting Control Measures'!J18</f>
        <v>0</v>
      </c>
      <c r="L316" s="15" t="e">
        <f>'Input Lighting Control Measures'!W18</f>
        <v>#N/A</v>
      </c>
      <c r="M316" s="17">
        <f>'Input Lighting Control Measures'!H18</f>
        <v>0</v>
      </c>
      <c r="N316" s="15">
        <f>'Input Lighting Control Measures'!H18</f>
        <v>0</v>
      </c>
      <c r="O316" s="31" t="str">
        <f t="shared" si="7"/>
        <v>Version 4.1 - 2026</v>
      </c>
      <c r="P316" s="89">
        <f>'Input Lighting Control Measures'!E18</f>
        <v>0</v>
      </c>
      <c r="Q316" s="42" t="str">
        <f>'Input Lighting Control Measures'!L18</f>
        <v/>
      </c>
    </row>
    <row r="317" spans="1:17" x14ac:dyDescent="0.2">
      <c r="A317" s="15" t="s">
        <v>6294</v>
      </c>
      <c r="B317" s="14">
        <f t="shared" si="9"/>
        <v>0</v>
      </c>
      <c r="C317" s="14">
        <f>'Input Lighting Control Measures'!B19</f>
        <v>15</v>
      </c>
      <c r="D317" s="14" t="str">
        <f>'Input Lighting Control Measures'!C19</f>
        <v/>
      </c>
      <c r="E317" s="14" t="s">
        <v>6295</v>
      </c>
      <c r="F317" s="16">
        <f>1</f>
        <v>1</v>
      </c>
      <c r="G317" s="16" t="str">
        <f>'Input Lighting Control Measures'!M19</f>
        <v/>
      </c>
      <c r="H317" s="104" t="str">
        <f>'Input Lighting Control Measures'!N19</f>
        <v/>
      </c>
      <c r="I317" s="45" t="str">
        <f>IFERROR(Q317*MIN(Table_Measure_Caps[[#Totals],[Estimated Raw Incentive Total]], Table_Measure_Caps[[#Totals],[Gross Measure Cost Total]], Value_Project_CAP)/Table_Measure_Caps[[#Totals],[Estimated Raw Incentive Total]], "")</f>
        <v/>
      </c>
      <c r="J317" s="45">
        <f>'Input Lighting Control Measures'!I19</f>
        <v>0</v>
      </c>
      <c r="K317" s="14">
        <f>'Input Lighting Control Measures'!J19</f>
        <v>0</v>
      </c>
      <c r="L317" s="15" t="e">
        <f>'Input Lighting Control Measures'!W19</f>
        <v>#N/A</v>
      </c>
      <c r="M317" s="17">
        <f>'Input Lighting Control Measures'!H19</f>
        <v>0</v>
      </c>
      <c r="N317" s="15">
        <f>'Input Lighting Control Measures'!H19</f>
        <v>0</v>
      </c>
      <c r="O317" s="31" t="str">
        <f t="shared" si="7"/>
        <v>Version 4.1 - 2026</v>
      </c>
      <c r="P317" s="89">
        <f>'Input Lighting Control Measures'!E19</f>
        <v>0</v>
      </c>
      <c r="Q317" s="42" t="str">
        <f>'Input Lighting Control Measures'!L19</f>
        <v/>
      </c>
    </row>
    <row r="318" spans="1:17" x14ac:dyDescent="0.2">
      <c r="A318" s="15" t="s">
        <v>6294</v>
      </c>
      <c r="B318" s="14">
        <f t="shared" si="9"/>
        <v>0</v>
      </c>
      <c r="C318" s="14">
        <f>'Input Lighting Control Measures'!B20</f>
        <v>16</v>
      </c>
      <c r="D318" s="14" t="str">
        <f>'Input Lighting Control Measures'!C20</f>
        <v/>
      </c>
      <c r="E318" s="14" t="s">
        <v>6295</v>
      </c>
      <c r="F318" s="16">
        <f>1</f>
        <v>1</v>
      </c>
      <c r="G318" s="16" t="str">
        <f>'Input Lighting Control Measures'!M20</f>
        <v/>
      </c>
      <c r="H318" s="104" t="str">
        <f>'Input Lighting Control Measures'!N20</f>
        <v/>
      </c>
      <c r="I318" s="45" t="str">
        <f>IFERROR(Q318*MIN(Table_Measure_Caps[[#Totals],[Estimated Raw Incentive Total]], Table_Measure_Caps[[#Totals],[Gross Measure Cost Total]], Value_Project_CAP)/Table_Measure_Caps[[#Totals],[Estimated Raw Incentive Total]], "")</f>
        <v/>
      </c>
      <c r="J318" s="45">
        <f>'Input Lighting Control Measures'!I20</f>
        <v>0</v>
      </c>
      <c r="K318" s="14">
        <f>'Input Lighting Control Measures'!J20</f>
        <v>0</v>
      </c>
      <c r="L318" s="15" t="e">
        <f>'Input Lighting Control Measures'!W20</f>
        <v>#N/A</v>
      </c>
      <c r="M318" s="17">
        <f>'Input Lighting Control Measures'!H20</f>
        <v>0</v>
      </c>
      <c r="N318" s="15">
        <f>'Input Lighting Control Measures'!H20</f>
        <v>0</v>
      </c>
      <c r="O318" s="31" t="str">
        <f t="shared" si="7"/>
        <v>Version 4.1 - 2026</v>
      </c>
      <c r="P318" s="89">
        <f>'Input Lighting Control Measures'!E20</f>
        <v>0</v>
      </c>
      <c r="Q318" s="42" t="str">
        <f>'Input Lighting Control Measures'!L20</f>
        <v/>
      </c>
    </row>
    <row r="319" spans="1:17" x14ac:dyDescent="0.2">
      <c r="A319" s="15" t="s">
        <v>6294</v>
      </c>
      <c r="B319" s="14">
        <f t="shared" si="9"/>
        <v>0</v>
      </c>
      <c r="C319" s="14">
        <f>'Input Lighting Control Measures'!B21</f>
        <v>17</v>
      </c>
      <c r="D319" s="14" t="str">
        <f>'Input Lighting Control Measures'!C21</f>
        <v/>
      </c>
      <c r="E319" s="14" t="s">
        <v>6295</v>
      </c>
      <c r="F319" s="16">
        <f>1</f>
        <v>1</v>
      </c>
      <c r="G319" s="16" t="str">
        <f>'Input Lighting Control Measures'!M21</f>
        <v/>
      </c>
      <c r="H319" s="104" t="str">
        <f>'Input Lighting Control Measures'!N21</f>
        <v/>
      </c>
      <c r="I319" s="45" t="str">
        <f>IFERROR(Q319*MIN(Table_Measure_Caps[[#Totals],[Estimated Raw Incentive Total]], Table_Measure_Caps[[#Totals],[Gross Measure Cost Total]], Value_Project_CAP)/Table_Measure_Caps[[#Totals],[Estimated Raw Incentive Total]], "")</f>
        <v/>
      </c>
      <c r="J319" s="45">
        <f>'Input Lighting Control Measures'!I21</f>
        <v>0</v>
      </c>
      <c r="K319" s="14">
        <f>'Input Lighting Control Measures'!J21</f>
        <v>0</v>
      </c>
      <c r="L319" s="15" t="e">
        <f>'Input Lighting Control Measures'!W21</f>
        <v>#N/A</v>
      </c>
      <c r="M319" s="17">
        <f>'Input Lighting Control Measures'!H21</f>
        <v>0</v>
      </c>
      <c r="N319" s="15">
        <f>'Input Lighting Control Measures'!H21</f>
        <v>0</v>
      </c>
      <c r="O319" s="31" t="str">
        <f t="shared" si="7"/>
        <v>Version 4.1 - 2026</v>
      </c>
      <c r="P319" s="89">
        <f>'Input Lighting Control Measures'!E21</f>
        <v>0</v>
      </c>
      <c r="Q319" s="42" t="str">
        <f>'Input Lighting Control Measures'!L21</f>
        <v/>
      </c>
    </row>
    <row r="320" spans="1:17" x14ac:dyDescent="0.2">
      <c r="A320" s="15" t="s">
        <v>6294</v>
      </c>
      <c r="B320" s="14">
        <f t="shared" si="9"/>
        <v>0</v>
      </c>
      <c r="C320" s="14">
        <f>'Input Lighting Control Measures'!B22</f>
        <v>18</v>
      </c>
      <c r="D320" s="14" t="str">
        <f>'Input Lighting Control Measures'!C22</f>
        <v/>
      </c>
      <c r="E320" s="14" t="s">
        <v>6295</v>
      </c>
      <c r="F320" s="16">
        <f>1</f>
        <v>1</v>
      </c>
      <c r="G320" s="16" t="str">
        <f>'Input Lighting Control Measures'!M22</f>
        <v/>
      </c>
      <c r="H320" s="104" t="str">
        <f>'Input Lighting Control Measures'!N22</f>
        <v/>
      </c>
      <c r="I320" s="45" t="str">
        <f>IFERROR(Q320*MIN(Table_Measure_Caps[[#Totals],[Estimated Raw Incentive Total]], Table_Measure_Caps[[#Totals],[Gross Measure Cost Total]], Value_Project_CAP)/Table_Measure_Caps[[#Totals],[Estimated Raw Incentive Total]], "")</f>
        <v/>
      </c>
      <c r="J320" s="45">
        <f>'Input Lighting Control Measures'!I22</f>
        <v>0</v>
      </c>
      <c r="K320" s="14">
        <f>'Input Lighting Control Measures'!J22</f>
        <v>0</v>
      </c>
      <c r="L320" s="15" t="e">
        <f>'Input Lighting Control Measures'!W22</f>
        <v>#N/A</v>
      </c>
      <c r="M320" s="17">
        <f>'Input Lighting Control Measures'!H22</f>
        <v>0</v>
      </c>
      <c r="N320" s="15">
        <f>'Input Lighting Control Measures'!H22</f>
        <v>0</v>
      </c>
      <c r="O320" s="31" t="str">
        <f t="shared" si="7"/>
        <v>Version 4.1 - 2026</v>
      </c>
      <c r="P320" s="89">
        <f>'Input Lighting Control Measures'!E22</f>
        <v>0</v>
      </c>
      <c r="Q320" s="42" t="str">
        <f>'Input Lighting Control Measures'!L22</f>
        <v/>
      </c>
    </row>
    <row r="321" spans="1:17" x14ac:dyDescent="0.2">
      <c r="A321" s="15" t="s">
        <v>6294</v>
      </c>
      <c r="B321" s="14">
        <f t="shared" si="9"/>
        <v>0</v>
      </c>
      <c r="C321" s="14">
        <f>'Input Lighting Control Measures'!B23</f>
        <v>19</v>
      </c>
      <c r="D321" s="14" t="str">
        <f>'Input Lighting Control Measures'!C23</f>
        <v/>
      </c>
      <c r="E321" s="14" t="s">
        <v>6295</v>
      </c>
      <c r="F321" s="16">
        <f>1</f>
        <v>1</v>
      </c>
      <c r="G321" s="16" t="str">
        <f>'Input Lighting Control Measures'!M23</f>
        <v/>
      </c>
      <c r="H321" s="104" t="str">
        <f>'Input Lighting Control Measures'!N23</f>
        <v/>
      </c>
      <c r="I321" s="45" t="str">
        <f>IFERROR(Q321*MIN(Table_Measure_Caps[[#Totals],[Estimated Raw Incentive Total]], Table_Measure_Caps[[#Totals],[Gross Measure Cost Total]], Value_Project_CAP)/Table_Measure_Caps[[#Totals],[Estimated Raw Incentive Total]], "")</f>
        <v/>
      </c>
      <c r="J321" s="45">
        <f>'Input Lighting Control Measures'!I23</f>
        <v>0</v>
      </c>
      <c r="K321" s="14">
        <f>'Input Lighting Control Measures'!J23</f>
        <v>0</v>
      </c>
      <c r="L321" s="15" t="e">
        <f>'Input Lighting Control Measures'!W23</f>
        <v>#N/A</v>
      </c>
      <c r="M321" s="17">
        <f>'Input Lighting Control Measures'!H23</f>
        <v>0</v>
      </c>
      <c r="N321" s="15">
        <f>'Input Lighting Control Measures'!H23</f>
        <v>0</v>
      </c>
      <c r="O321" s="31" t="str">
        <f t="shared" si="7"/>
        <v>Version 4.1 - 2026</v>
      </c>
      <c r="P321" s="89">
        <f>'Input Lighting Control Measures'!E23</f>
        <v>0</v>
      </c>
      <c r="Q321" s="42" t="str">
        <f>'Input Lighting Control Measures'!L23</f>
        <v/>
      </c>
    </row>
    <row r="322" spans="1:17" x14ac:dyDescent="0.2">
      <c r="A322" s="15" t="s">
        <v>6294</v>
      </c>
      <c r="B322" s="14">
        <f t="shared" si="9"/>
        <v>0</v>
      </c>
      <c r="C322" s="14">
        <f>'Input Lighting Control Measures'!B24</f>
        <v>20</v>
      </c>
      <c r="D322" s="14" t="str">
        <f>'Input Lighting Control Measures'!C24</f>
        <v/>
      </c>
      <c r="E322" s="14" t="s">
        <v>6295</v>
      </c>
      <c r="F322" s="16">
        <f>1</f>
        <v>1</v>
      </c>
      <c r="G322" s="16" t="str">
        <f>'Input Lighting Control Measures'!M24</f>
        <v/>
      </c>
      <c r="H322" s="104" t="str">
        <f>'Input Lighting Control Measures'!N24</f>
        <v/>
      </c>
      <c r="I322" s="45" t="str">
        <f>IFERROR(Q322*MIN(Table_Measure_Caps[[#Totals],[Estimated Raw Incentive Total]], Table_Measure_Caps[[#Totals],[Gross Measure Cost Total]], Value_Project_CAP)/Table_Measure_Caps[[#Totals],[Estimated Raw Incentive Total]], "")</f>
        <v/>
      </c>
      <c r="J322" s="45">
        <f>'Input Lighting Control Measures'!I24</f>
        <v>0</v>
      </c>
      <c r="K322" s="14">
        <f>'Input Lighting Control Measures'!J24</f>
        <v>0</v>
      </c>
      <c r="L322" s="15" t="e">
        <f>'Input Lighting Control Measures'!W24</f>
        <v>#N/A</v>
      </c>
      <c r="M322" s="17">
        <f>'Input Lighting Control Measures'!H24</f>
        <v>0</v>
      </c>
      <c r="N322" s="15">
        <f>'Input Lighting Control Measures'!H24</f>
        <v>0</v>
      </c>
      <c r="O322" s="31" t="str">
        <f t="shared" ref="O322:O385" si="10">Value_Application_Version</f>
        <v>Version 4.1 - 2026</v>
      </c>
      <c r="P322" s="89">
        <f>'Input Lighting Control Measures'!E24</f>
        <v>0</v>
      </c>
      <c r="Q322" s="42" t="str">
        <f>'Input Lighting Control Measures'!L24</f>
        <v/>
      </c>
    </row>
    <row r="323" spans="1:17" x14ac:dyDescent="0.2">
      <c r="A323" s="15" t="s">
        <v>6294</v>
      </c>
      <c r="B323" s="14">
        <f t="shared" si="9"/>
        <v>0</v>
      </c>
      <c r="C323" s="14">
        <f>'Input Lighting Control Measures'!B25</f>
        <v>21</v>
      </c>
      <c r="D323" s="14" t="str">
        <f>'Input Lighting Control Measures'!C25</f>
        <v/>
      </c>
      <c r="E323" s="14" t="s">
        <v>6295</v>
      </c>
      <c r="F323" s="16">
        <f>1</f>
        <v>1</v>
      </c>
      <c r="G323" s="16" t="str">
        <f>'Input Lighting Control Measures'!M25</f>
        <v/>
      </c>
      <c r="H323" s="104" t="str">
        <f>'Input Lighting Control Measures'!N25</f>
        <v/>
      </c>
      <c r="I323" s="45" t="str">
        <f>IFERROR(Q323*MIN(Table_Measure_Caps[[#Totals],[Estimated Raw Incentive Total]], Table_Measure_Caps[[#Totals],[Gross Measure Cost Total]], Value_Project_CAP)/Table_Measure_Caps[[#Totals],[Estimated Raw Incentive Total]], "")</f>
        <v/>
      </c>
      <c r="J323" s="45">
        <f>'Input Lighting Control Measures'!I25</f>
        <v>0</v>
      </c>
      <c r="K323" s="14">
        <f>'Input Lighting Control Measures'!J25</f>
        <v>0</v>
      </c>
      <c r="L323" s="15" t="e">
        <f>'Input Lighting Control Measures'!W25</f>
        <v>#N/A</v>
      </c>
      <c r="M323" s="17">
        <f>'Input Lighting Control Measures'!H25</f>
        <v>0</v>
      </c>
      <c r="N323" s="15">
        <f>'Input Lighting Control Measures'!H25</f>
        <v>0</v>
      </c>
      <c r="O323" s="31" t="str">
        <f t="shared" si="10"/>
        <v>Version 4.1 - 2026</v>
      </c>
      <c r="P323" s="89">
        <f>'Input Lighting Control Measures'!E25</f>
        <v>0</v>
      </c>
      <c r="Q323" s="42" t="str">
        <f>'Input Lighting Control Measures'!L25</f>
        <v/>
      </c>
    </row>
    <row r="324" spans="1:17" x14ac:dyDescent="0.2">
      <c r="A324" s="15" t="s">
        <v>6294</v>
      </c>
      <c r="B324" s="14">
        <f t="shared" si="9"/>
        <v>0</v>
      </c>
      <c r="C324" s="14">
        <f>'Input Lighting Control Measures'!B26</f>
        <v>22</v>
      </c>
      <c r="D324" s="14" t="str">
        <f>'Input Lighting Control Measures'!C26</f>
        <v/>
      </c>
      <c r="E324" s="14" t="s">
        <v>6295</v>
      </c>
      <c r="F324" s="16">
        <f>1</f>
        <v>1</v>
      </c>
      <c r="G324" s="16" t="str">
        <f>'Input Lighting Control Measures'!M26</f>
        <v/>
      </c>
      <c r="H324" s="104" t="str">
        <f>'Input Lighting Control Measures'!N26</f>
        <v/>
      </c>
      <c r="I324" s="45" t="str">
        <f>IFERROR(Q324*MIN(Table_Measure_Caps[[#Totals],[Estimated Raw Incentive Total]], Table_Measure_Caps[[#Totals],[Gross Measure Cost Total]], Value_Project_CAP)/Table_Measure_Caps[[#Totals],[Estimated Raw Incentive Total]], "")</f>
        <v/>
      </c>
      <c r="J324" s="45">
        <f>'Input Lighting Control Measures'!I26</f>
        <v>0</v>
      </c>
      <c r="K324" s="14">
        <f>'Input Lighting Control Measures'!J26</f>
        <v>0</v>
      </c>
      <c r="L324" s="15" t="e">
        <f>'Input Lighting Control Measures'!W26</f>
        <v>#N/A</v>
      </c>
      <c r="M324" s="17">
        <f>'Input Lighting Control Measures'!H26</f>
        <v>0</v>
      </c>
      <c r="N324" s="15">
        <f>'Input Lighting Control Measures'!H26</f>
        <v>0</v>
      </c>
      <c r="O324" s="31" t="str">
        <f t="shared" si="10"/>
        <v>Version 4.1 - 2026</v>
      </c>
      <c r="P324" s="89">
        <f>'Input Lighting Control Measures'!E26</f>
        <v>0</v>
      </c>
      <c r="Q324" s="42" t="str">
        <f>'Input Lighting Control Measures'!L26</f>
        <v/>
      </c>
    </row>
    <row r="325" spans="1:17" x14ac:dyDescent="0.2">
      <c r="A325" s="15" t="s">
        <v>6294</v>
      </c>
      <c r="B325" s="14">
        <f t="shared" si="9"/>
        <v>0</v>
      </c>
      <c r="C325" s="14">
        <f>'Input Lighting Control Measures'!B27</f>
        <v>23</v>
      </c>
      <c r="D325" s="14" t="str">
        <f>'Input Lighting Control Measures'!C27</f>
        <v/>
      </c>
      <c r="E325" s="14" t="s">
        <v>6295</v>
      </c>
      <c r="F325" s="16">
        <f>1</f>
        <v>1</v>
      </c>
      <c r="G325" s="16" t="str">
        <f>'Input Lighting Control Measures'!M27</f>
        <v/>
      </c>
      <c r="H325" s="104" t="str">
        <f>'Input Lighting Control Measures'!N27</f>
        <v/>
      </c>
      <c r="I325" s="45" t="str">
        <f>IFERROR(Q325*MIN(Table_Measure_Caps[[#Totals],[Estimated Raw Incentive Total]], Table_Measure_Caps[[#Totals],[Gross Measure Cost Total]], Value_Project_CAP)/Table_Measure_Caps[[#Totals],[Estimated Raw Incentive Total]], "")</f>
        <v/>
      </c>
      <c r="J325" s="45">
        <f>'Input Lighting Control Measures'!I27</f>
        <v>0</v>
      </c>
      <c r="K325" s="14">
        <f>'Input Lighting Control Measures'!J27</f>
        <v>0</v>
      </c>
      <c r="L325" s="15" t="e">
        <f>'Input Lighting Control Measures'!W27</f>
        <v>#N/A</v>
      </c>
      <c r="M325" s="17">
        <f>'Input Lighting Control Measures'!H27</f>
        <v>0</v>
      </c>
      <c r="N325" s="15">
        <f>'Input Lighting Control Measures'!H27</f>
        <v>0</v>
      </c>
      <c r="O325" s="31" t="str">
        <f t="shared" si="10"/>
        <v>Version 4.1 - 2026</v>
      </c>
      <c r="P325" s="89">
        <f>'Input Lighting Control Measures'!E27</f>
        <v>0</v>
      </c>
      <c r="Q325" s="42" t="str">
        <f>'Input Lighting Control Measures'!L27</f>
        <v/>
      </c>
    </row>
    <row r="326" spans="1:17" x14ac:dyDescent="0.2">
      <c r="A326" s="15" t="s">
        <v>6294</v>
      </c>
      <c r="B326" s="14">
        <f t="shared" si="9"/>
        <v>0</v>
      </c>
      <c r="C326" s="14">
        <f>'Input Lighting Control Measures'!B28</f>
        <v>24</v>
      </c>
      <c r="D326" s="14" t="str">
        <f>'Input Lighting Control Measures'!C28</f>
        <v/>
      </c>
      <c r="E326" s="14" t="s">
        <v>6295</v>
      </c>
      <c r="F326" s="16">
        <f>1</f>
        <v>1</v>
      </c>
      <c r="G326" s="16" t="str">
        <f>'Input Lighting Control Measures'!M28</f>
        <v/>
      </c>
      <c r="H326" s="104" t="str">
        <f>'Input Lighting Control Measures'!N28</f>
        <v/>
      </c>
      <c r="I326" s="45" t="str">
        <f>IFERROR(Q326*MIN(Table_Measure_Caps[[#Totals],[Estimated Raw Incentive Total]], Table_Measure_Caps[[#Totals],[Gross Measure Cost Total]], Value_Project_CAP)/Table_Measure_Caps[[#Totals],[Estimated Raw Incentive Total]], "")</f>
        <v/>
      </c>
      <c r="J326" s="45">
        <f>'Input Lighting Control Measures'!I28</f>
        <v>0</v>
      </c>
      <c r="K326" s="14">
        <f>'Input Lighting Control Measures'!J28</f>
        <v>0</v>
      </c>
      <c r="L326" s="15" t="e">
        <f>'Input Lighting Control Measures'!W28</f>
        <v>#N/A</v>
      </c>
      <c r="M326" s="17">
        <f>'Input Lighting Control Measures'!H28</f>
        <v>0</v>
      </c>
      <c r="N326" s="15">
        <f>'Input Lighting Control Measures'!H28</f>
        <v>0</v>
      </c>
      <c r="O326" s="31" t="str">
        <f t="shared" si="10"/>
        <v>Version 4.1 - 2026</v>
      </c>
      <c r="P326" s="89">
        <f>'Input Lighting Control Measures'!E28</f>
        <v>0</v>
      </c>
      <c r="Q326" s="42" t="str">
        <f>'Input Lighting Control Measures'!L28</f>
        <v/>
      </c>
    </row>
    <row r="327" spans="1:17" x14ac:dyDescent="0.2">
      <c r="A327" s="15" t="s">
        <v>6294</v>
      </c>
      <c r="B327" s="14">
        <f t="shared" si="9"/>
        <v>0</v>
      </c>
      <c r="C327" s="14">
        <f>'Input Lighting Control Measures'!B29</f>
        <v>25</v>
      </c>
      <c r="D327" s="14" t="str">
        <f>'Input Lighting Control Measures'!C29</f>
        <v/>
      </c>
      <c r="E327" s="14" t="s">
        <v>6295</v>
      </c>
      <c r="F327" s="16">
        <f>1</f>
        <v>1</v>
      </c>
      <c r="G327" s="16" t="str">
        <f>'Input Lighting Control Measures'!M29</f>
        <v/>
      </c>
      <c r="H327" s="104" t="str">
        <f>'Input Lighting Control Measures'!N29</f>
        <v/>
      </c>
      <c r="I327" s="45" t="str">
        <f>IFERROR(Q327*MIN(Table_Measure_Caps[[#Totals],[Estimated Raw Incentive Total]], Table_Measure_Caps[[#Totals],[Gross Measure Cost Total]], Value_Project_CAP)/Table_Measure_Caps[[#Totals],[Estimated Raw Incentive Total]], "")</f>
        <v/>
      </c>
      <c r="J327" s="45">
        <f>'Input Lighting Control Measures'!I29</f>
        <v>0</v>
      </c>
      <c r="K327" s="14">
        <f>'Input Lighting Control Measures'!J29</f>
        <v>0</v>
      </c>
      <c r="L327" s="15" t="e">
        <f>'Input Lighting Control Measures'!W29</f>
        <v>#N/A</v>
      </c>
      <c r="M327" s="17">
        <f>'Input Lighting Control Measures'!H29</f>
        <v>0</v>
      </c>
      <c r="N327" s="15">
        <f>'Input Lighting Control Measures'!H29</f>
        <v>0</v>
      </c>
      <c r="O327" s="31" t="str">
        <f t="shared" si="10"/>
        <v>Version 4.1 - 2026</v>
      </c>
      <c r="P327" s="89">
        <f>'Input Lighting Control Measures'!E29</f>
        <v>0</v>
      </c>
      <c r="Q327" s="42" t="str">
        <f>'Input Lighting Control Measures'!L29</f>
        <v/>
      </c>
    </row>
    <row r="328" spans="1:17" x14ac:dyDescent="0.2">
      <c r="A328" s="15" t="s">
        <v>6294</v>
      </c>
      <c r="B328" s="14">
        <f t="shared" si="9"/>
        <v>0</v>
      </c>
      <c r="C328" s="14">
        <f>'Input Lighting Control Measures'!B30</f>
        <v>26</v>
      </c>
      <c r="D328" s="14" t="str">
        <f>'Input Lighting Control Measures'!C30</f>
        <v/>
      </c>
      <c r="E328" s="14" t="s">
        <v>6295</v>
      </c>
      <c r="F328" s="16">
        <f>1</f>
        <v>1</v>
      </c>
      <c r="G328" s="16" t="str">
        <f>'Input Lighting Control Measures'!M30</f>
        <v/>
      </c>
      <c r="H328" s="104" t="str">
        <f>'Input Lighting Control Measures'!N30</f>
        <v/>
      </c>
      <c r="I328" s="45" t="str">
        <f>IFERROR(Q328*MIN(Table_Measure_Caps[[#Totals],[Estimated Raw Incentive Total]], Table_Measure_Caps[[#Totals],[Gross Measure Cost Total]], Value_Project_CAP)/Table_Measure_Caps[[#Totals],[Estimated Raw Incentive Total]], "")</f>
        <v/>
      </c>
      <c r="J328" s="45">
        <f>'Input Lighting Control Measures'!I30</f>
        <v>0</v>
      </c>
      <c r="K328" s="14">
        <f>'Input Lighting Control Measures'!J30</f>
        <v>0</v>
      </c>
      <c r="L328" s="15" t="e">
        <f>'Input Lighting Control Measures'!W30</f>
        <v>#N/A</v>
      </c>
      <c r="M328" s="17">
        <f>'Input Lighting Control Measures'!H30</f>
        <v>0</v>
      </c>
      <c r="N328" s="15">
        <f>'Input Lighting Control Measures'!H30</f>
        <v>0</v>
      </c>
      <c r="O328" s="31" t="str">
        <f t="shared" si="10"/>
        <v>Version 4.1 - 2026</v>
      </c>
      <c r="P328" s="89">
        <f>'Input Lighting Control Measures'!E30</f>
        <v>0</v>
      </c>
      <c r="Q328" s="42" t="str">
        <f>'Input Lighting Control Measures'!L30</f>
        <v/>
      </c>
    </row>
    <row r="329" spans="1:17" x14ac:dyDescent="0.2">
      <c r="A329" s="15" t="s">
        <v>6294</v>
      </c>
      <c r="B329" s="14">
        <f t="shared" si="9"/>
        <v>0</v>
      </c>
      <c r="C329" s="14">
        <f>'Input Lighting Control Measures'!B31</f>
        <v>27</v>
      </c>
      <c r="D329" s="14" t="str">
        <f>'Input Lighting Control Measures'!C31</f>
        <v/>
      </c>
      <c r="E329" s="14" t="s">
        <v>6295</v>
      </c>
      <c r="F329" s="16">
        <f>1</f>
        <v>1</v>
      </c>
      <c r="G329" s="16" t="str">
        <f>'Input Lighting Control Measures'!M31</f>
        <v/>
      </c>
      <c r="H329" s="104" t="str">
        <f>'Input Lighting Control Measures'!N31</f>
        <v/>
      </c>
      <c r="I329" s="45" t="str">
        <f>IFERROR(Q329*MIN(Table_Measure_Caps[[#Totals],[Estimated Raw Incentive Total]], Table_Measure_Caps[[#Totals],[Gross Measure Cost Total]], Value_Project_CAP)/Table_Measure_Caps[[#Totals],[Estimated Raw Incentive Total]], "")</f>
        <v/>
      </c>
      <c r="J329" s="45">
        <f>'Input Lighting Control Measures'!I31</f>
        <v>0</v>
      </c>
      <c r="K329" s="14">
        <f>'Input Lighting Control Measures'!J31</f>
        <v>0</v>
      </c>
      <c r="L329" s="15" t="e">
        <f>'Input Lighting Control Measures'!W31</f>
        <v>#N/A</v>
      </c>
      <c r="M329" s="17">
        <f>'Input Lighting Control Measures'!H31</f>
        <v>0</v>
      </c>
      <c r="N329" s="15">
        <f>'Input Lighting Control Measures'!H31</f>
        <v>0</v>
      </c>
      <c r="O329" s="31" t="str">
        <f t="shared" si="10"/>
        <v>Version 4.1 - 2026</v>
      </c>
      <c r="P329" s="89">
        <f>'Input Lighting Control Measures'!E31</f>
        <v>0</v>
      </c>
      <c r="Q329" s="42" t="str">
        <f>'Input Lighting Control Measures'!L31</f>
        <v/>
      </c>
    </row>
    <row r="330" spans="1:17" x14ac:dyDescent="0.2">
      <c r="A330" s="15" t="s">
        <v>6294</v>
      </c>
      <c r="B330" s="14">
        <f t="shared" si="9"/>
        <v>0</v>
      </c>
      <c r="C330" s="14">
        <f>'Input Lighting Control Measures'!B32</f>
        <v>28</v>
      </c>
      <c r="D330" s="14" t="str">
        <f>'Input Lighting Control Measures'!C32</f>
        <v/>
      </c>
      <c r="E330" s="14" t="s">
        <v>6295</v>
      </c>
      <c r="F330" s="16">
        <f>1</f>
        <v>1</v>
      </c>
      <c r="G330" s="16" t="str">
        <f>'Input Lighting Control Measures'!M32</f>
        <v/>
      </c>
      <c r="H330" s="104" t="str">
        <f>'Input Lighting Control Measures'!N32</f>
        <v/>
      </c>
      <c r="I330" s="45" t="str">
        <f>IFERROR(Q330*MIN(Table_Measure_Caps[[#Totals],[Estimated Raw Incentive Total]], Table_Measure_Caps[[#Totals],[Gross Measure Cost Total]], Value_Project_CAP)/Table_Measure_Caps[[#Totals],[Estimated Raw Incentive Total]], "")</f>
        <v/>
      </c>
      <c r="J330" s="45">
        <f>'Input Lighting Control Measures'!I32</f>
        <v>0</v>
      </c>
      <c r="K330" s="14">
        <f>'Input Lighting Control Measures'!J32</f>
        <v>0</v>
      </c>
      <c r="L330" s="15" t="e">
        <f>'Input Lighting Control Measures'!W32</f>
        <v>#N/A</v>
      </c>
      <c r="M330" s="17">
        <f>'Input Lighting Control Measures'!H32</f>
        <v>0</v>
      </c>
      <c r="N330" s="15">
        <f>'Input Lighting Control Measures'!H32</f>
        <v>0</v>
      </c>
      <c r="O330" s="31" t="str">
        <f t="shared" si="10"/>
        <v>Version 4.1 - 2026</v>
      </c>
      <c r="P330" s="89">
        <f>'Input Lighting Control Measures'!E32</f>
        <v>0</v>
      </c>
      <c r="Q330" s="42" t="str">
        <f>'Input Lighting Control Measures'!L32</f>
        <v/>
      </c>
    </row>
    <row r="331" spans="1:17" x14ac:dyDescent="0.2">
      <c r="A331" s="15" t="s">
        <v>6294</v>
      </c>
      <c r="B331" s="14">
        <f t="shared" si="9"/>
        <v>0</v>
      </c>
      <c r="C331" s="14">
        <f>'Input Lighting Control Measures'!B33</f>
        <v>29</v>
      </c>
      <c r="D331" s="14" t="str">
        <f>'Input Lighting Control Measures'!C33</f>
        <v/>
      </c>
      <c r="E331" s="14" t="s">
        <v>6295</v>
      </c>
      <c r="F331" s="16">
        <f>1</f>
        <v>1</v>
      </c>
      <c r="G331" s="16" t="str">
        <f>'Input Lighting Control Measures'!M33</f>
        <v/>
      </c>
      <c r="H331" s="104" t="str">
        <f>'Input Lighting Control Measures'!N33</f>
        <v/>
      </c>
      <c r="I331" s="45" t="str">
        <f>IFERROR(Q331*MIN(Table_Measure_Caps[[#Totals],[Estimated Raw Incentive Total]], Table_Measure_Caps[[#Totals],[Gross Measure Cost Total]], Value_Project_CAP)/Table_Measure_Caps[[#Totals],[Estimated Raw Incentive Total]], "")</f>
        <v/>
      </c>
      <c r="J331" s="45">
        <f>'Input Lighting Control Measures'!I33</f>
        <v>0</v>
      </c>
      <c r="K331" s="14">
        <f>'Input Lighting Control Measures'!J33</f>
        <v>0</v>
      </c>
      <c r="L331" s="15" t="e">
        <f>'Input Lighting Control Measures'!W33</f>
        <v>#N/A</v>
      </c>
      <c r="M331" s="17">
        <f>'Input Lighting Control Measures'!H33</f>
        <v>0</v>
      </c>
      <c r="N331" s="15">
        <f>'Input Lighting Control Measures'!H33</f>
        <v>0</v>
      </c>
      <c r="O331" s="31" t="str">
        <f t="shared" si="10"/>
        <v>Version 4.1 - 2026</v>
      </c>
      <c r="P331" s="89">
        <f>'Input Lighting Control Measures'!E33</f>
        <v>0</v>
      </c>
      <c r="Q331" s="42" t="str">
        <f>'Input Lighting Control Measures'!L33</f>
        <v/>
      </c>
    </row>
    <row r="332" spans="1:17" x14ac:dyDescent="0.2">
      <c r="A332" s="15" t="s">
        <v>6294</v>
      </c>
      <c r="B332" s="14">
        <f t="shared" si="9"/>
        <v>0</v>
      </c>
      <c r="C332" s="14">
        <f>'Input Lighting Control Measures'!B34</f>
        <v>30</v>
      </c>
      <c r="D332" s="14" t="str">
        <f>'Input Lighting Control Measures'!C34</f>
        <v/>
      </c>
      <c r="E332" s="14" t="s">
        <v>6295</v>
      </c>
      <c r="F332" s="16">
        <f>1</f>
        <v>1</v>
      </c>
      <c r="G332" s="16" t="str">
        <f>'Input Lighting Control Measures'!M34</f>
        <v/>
      </c>
      <c r="H332" s="104" t="str">
        <f>'Input Lighting Control Measures'!N34</f>
        <v/>
      </c>
      <c r="I332" s="45" t="str">
        <f>IFERROR(Q332*MIN(Table_Measure_Caps[[#Totals],[Estimated Raw Incentive Total]], Table_Measure_Caps[[#Totals],[Gross Measure Cost Total]], Value_Project_CAP)/Table_Measure_Caps[[#Totals],[Estimated Raw Incentive Total]], "")</f>
        <v/>
      </c>
      <c r="J332" s="45">
        <f>'Input Lighting Control Measures'!I34</f>
        <v>0</v>
      </c>
      <c r="K332" s="14">
        <f>'Input Lighting Control Measures'!J34</f>
        <v>0</v>
      </c>
      <c r="L332" s="15" t="e">
        <f>'Input Lighting Control Measures'!W34</f>
        <v>#N/A</v>
      </c>
      <c r="M332" s="17">
        <f>'Input Lighting Control Measures'!H34</f>
        <v>0</v>
      </c>
      <c r="N332" s="15">
        <f>'Input Lighting Control Measures'!H34</f>
        <v>0</v>
      </c>
      <c r="O332" s="31" t="str">
        <f t="shared" si="10"/>
        <v>Version 4.1 - 2026</v>
      </c>
      <c r="P332" s="89">
        <f>'Input Lighting Control Measures'!E34</f>
        <v>0</v>
      </c>
      <c r="Q332" s="42" t="str">
        <f>'Input Lighting Control Measures'!L34</f>
        <v/>
      </c>
    </row>
    <row r="333" spans="1:17" x14ac:dyDescent="0.2">
      <c r="A333" s="15" t="s">
        <v>6294</v>
      </c>
      <c r="B333" s="14">
        <f t="shared" si="9"/>
        <v>0</v>
      </c>
      <c r="C333" s="14">
        <f>'Input Lighting Control Measures'!B35</f>
        <v>31</v>
      </c>
      <c r="D333" s="14" t="str">
        <f>'Input Lighting Control Measures'!C35</f>
        <v/>
      </c>
      <c r="E333" s="14" t="s">
        <v>6295</v>
      </c>
      <c r="F333" s="16">
        <f>1</f>
        <v>1</v>
      </c>
      <c r="G333" s="16" t="str">
        <f>'Input Lighting Control Measures'!M35</f>
        <v/>
      </c>
      <c r="H333" s="104" t="str">
        <f>'Input Lighting Control Measures'!N35</f>
        <v/>
      </c>
      <c r="I333" s="45" t="str">
        <f>IFERROR(Q333*MIN(Table_Measure_Caps[[#Totals],[Estimated Raw Incentive Total]], Table_Measure_Caps[[#Totals],[Gross Measure Cost Total]], Value_Project_CAP)/Table_Measure_Caps[[#Totals],[Estimated Raw Incentive Total]], "")</f>
        <v/>
      </c>
      <c r="J333" s="45">
        <f>'Input Lighting Control Measures'!I35</f>
        <v>0</v>
      </c>
      <c r="K333" s="14">
        <f>'Input Lighting Control Measures'!J35</f>
        <v>0</v>
      </c>
      <c r="L333" s="15" t="e">
        <f>'Input Lighting Control Measures'!W35</f>
        <v>#N/A</v>
      </c>
      <c r="M333" s="17">
        <f>'Input Lighting Control Measures'!H35</f>
        <v>0</v>
      </c>
      <c r="N333" s="15">
        <f>'Input Lighting Control Measures'!H35</f>
        <v>0</v>
      </c>
      <c r="O333" s="31" t="str">
        <f t="shared" si="10"/>
        <v>Version 4.1 - 2026</v>
      </c>
      <c r="P333" s="89">
        <f>'Input Lighting Control Measures'!E35</f>
        <v>0</v>
      </c>
      <c r="Q333" s="42" t="str">
        <f>'Input Lighting Control Measures'!L35</f>
        <v/>
      </c>
    </row>
    <row r="334" spans="1:17" x14ac:dyDescent="0.2">
      <c r="A334" s="15" t="s">
        <v>6294</v>
      </c>
      <c r="B334" s="14">
        <f t="shared" si="9"/>
        <v>0</v>
      </c>
      <c r="C334" s="14">
        <f>'Input Lighting Control Measures'!B36</f>
        <v>32</v>
      </c>
      <c r="D334" s="14" t="str">
        <f>'Input Lighting Control Measures'!C36</f>
        <v/>
      </c>
      <c r="E334" s="14" t="s">
        <v>6295</v>
      </c>
      <c r="F334" s="16">
        <f>1</f>
        <v>1</v>
      </c>
      <c r="G334" s="16" t="str">
        <f>'Input Lighting Control Measures'!M36</f>
        <v/>
      </c>
      <c r="H334" s="104" t="str">
        <f>'Input Lighting Control Measures'!N36</f>
        <v/>
      </c>
      <c r="I334" s="45" t="str">
        <f>IFERROR(Q334*MIN(Table_Measure_Caps[[#Totals],[Estimated Raw Incentive Total]], Table_Measure_Caps[[#Totals],[Gross Measure Cost Total]], Value_Project_CAP)/Table_Measure_Caps[[#Totals],[Estimated Raw Incentive Total]], "")</f>
        <v/>
      </c>
      <c r="J334" s="45">
        <f>'Input Lighting Control Measures'!I36</f>
        <v>0</v>
      </c>
      <c r="K334" s="14">
        <f>'Input Lighting Control Measures'!J36</f>
        <v>0</v>
      </c>
      <c r="L334" s="15" t="e">
        <f>'Input Lighting Control Measures'!W36</f>
        <v>#N/A</v>
      </c>
      <c r="M334" s="17">
        <f>'Input Lighting Control Measures'!H36</f>
        <v>0</v>
      </c>
      <c r="N334" s="15">
        <f>'Input Lighting Control Measures'!H36</f>
        <v>0</v>
      </c>
      <c r="O334" s="31" t="str">
        <f t="shared" si="10"/>
        <v>Version 4.1 - 2026</v>
      </c>
      <c r="P334" s="89">
        <f>'Input Lighting Control Measures'!E36</f>
        <v>0</v>
      </c>
      <c r="Q334" s="42" t="str">
        <f>'Input Lighting Control Measures'!L36</f>
        <v/>
      </c>
    </row>
    <row r="335" spans="1:17" x14ac:dyDescent="0.2">
      <c r="A335" s="15" t="s">
        <v>6294</v>
      </c>
      <c r="B335" s="14">
        <f t="shared" si="9"/>
        <v>0</v>
      </c>
      <c r="C335" s="14">
        <f>'Input Lighting Control Measures'!B37</f>
        <v>33</v>
      </c>
      <c r="D335" s="14" t="str">
        <f>'Input Lighting Control Measures'!C37</f>
        <v/>
      </c>
      <c r="E335" s="14" t="s">
        <v>6295</v>
      </c>
      <c r="F335" s="16">
        <f>1</f>
        <v>1</v>
      </c>
      <c r="G335" s="16" t="str">
        <f>'Input Lighting Control Measures'!M37</f>
        <v/>
      </c>
      <c r="H335" s="104" t="str">
        <f>'Input Lighting Control Measures'!N37</f>
        <v/>
      </c>
      <c r="I335" s="45" t="str">
        <f>IFERROR(Q335*MIN(Table_Measure_Caps[[#Totals],[Estimated Raw Incentive Total]], Table_Measure_Caps[[#Totals],[Gross Measure Cost Total]], Value_Project_CAP)/Table_Measure_Caps[[#Totals],[Estimated Raw Incentive Total]], "")</f>
        <v/>
      </c>
      <c r="J335" s="45">
        <f>'Input Lighting Control Measures'!I37</f>
        <v>0</v>
      </c>
      <c r="K335" s="14">
        <f>'Input Lighting Control Measures'!J37</f>
        <v>0</v>
      </c>
      <c r="L335" s="15" t="e">
        <f>'Input Lighting Control Measures'!W37</f>
        <v>#N/A</v>
      </c>
      <c r="M335" s="17">
        <f>'Input Lighting Control Measures'!H37</f>
        <v>0</v>
      </c>
      <c r="N335" s="15">
        <f>'Input Lighting Control Measures'!H37</f>
        <v>0</v>
      </c>
      <c r="O335" s="31" t="str">
        <f t="shared" si="10"/>
        <v>Version 4.1 - 2026</v>
      </c>
      <c r="P335" s="89">
        <f>'Input Lighting Control Measures'!E37</f>
        <v>0</v>
      </c>
      <c r="Q335" s="42" t="str">
        <f>'Input Lighting Control Measures'!L37</f>
        <v/>
      </c>
    </row>
    <row r="336" spans="1:17" x14ac:dyDescent="0.2">
      <c r="A336" s="15" t="s">
        <v>6294</v>
      </c>
      <c r="B336" s="14">
        <f t="shared" si="9"/>
        <v>0</v>
      </c>
      <c r="C336" s="14">
        <f>'Input Lighting Control Measures'!B38</f>
        <v>34</v>
      </c>
      <c r="D336" s="14" t="str">
        <f>'Input Lighting Control Measures'!C38</f>
        <v/>
      </c>
      <c r="E336" s="14" t="s">
        <v>6295</v>
      </c>
      <c r="F336" s="16">
        <f>1</f>
        <v>1</v>
      </c>
      <c r="G336" s="16" t="str">
        <f>'Input Lighting Control Measures'!M38</f>
        <v/>
      </c>
      <c r="H336" s="104" t="str">
        <f>'Input Lighting Control Measures'!N38</f>
        <v/>
      </c>
      <c r="I336" s="45" t="str">
        <f>IFERROR(Q336*MIN(Table_Measure_Caps[[#Totals],[Estimated Raw Incentive Total]], Table_Measure_Caps[[#Totals],[Gross Measure Cost Total]], Value_Project_CAP)/Table_Measure_Caps[[#Totals],[Estimated Raw Incentive Total]], "")</f>
        <v/>
      </c>
      <c r="J336" s="45">
        <f>'Input Lighting Control Measures'!I38</f>
        <v>0</v>
      </c>
      <c r="K336" s="14">
        <f>'Input Lighting Control Measures'!J38</f>
        <v>0</v>
      </c>
      <c r="L336" s="15" t="e">
        <f>'Input Lighting Control Measures'!W38</f>
        <v>#N/A</v>
      </c>
      <c r="M336" s="17">
        <f>'Input Lighting Control Measures'!H38</f>
        <v>0</v>
      </c>
      <c r="N336" s="15">
        <f>'Input Lighting Control Measures'!H38</f>
        <v>0</v>
      </c>
      <c r="O336" s="31" t="str">
        <f t="shared" si="10"/>
        <v>Version 4.1 - 2026</v>
      </c>
      <c r="P336" s="89">
        <f>'Input Lighting Control Measures'!E38</f>
        <v>0</v>
      </c>
      <c r="Q336" s="42" t="str">
        <f>'Input Lighting Control Measures'!L38</f>
        <v/>
      </c>
    </row>
    <row r="337" spans="1:17" x14ac:dyDescent="0.2">
      <c r="A337" s="15" t="s">
        <v>6294</v>
      </c>
      <c r="B337" s="14">
        <f t="shared" si="9"/>
        <v>0</v>
      </c>
      <c r="C337" s="14">
        <f>'Input Lighting Control Measures'!B39</f>
        <v>35</v>
      </c>
      <c r="D337" s="14" t="str">
        <f>'Input Lighting Control Measures'!C39</f>
        <v/>
      </c>
      <c r="E337" s="14" t="s">
        <v>6295</v>
      </c>
      <c r="F337" s="16">
        <f>1</f>
        <v>1</v>
      </c>
      <c r="G337" s="16" t="str">
        <f>'Input Lighting Control Measures'!M39</f>
        <v/>
      </c>
      <c r="H337" s="104" t="str">
        <f>'Input Lighting Control Measures'!N39</f>
        <v/>
      </c>
      <c r="I337" s="45" t="str">
        <f>IFERROR(Q337*MIN(Table_Measure_Caps[[#Totals],[Estimated Raw Incentive Total]], Table_Measure_Caps[[#Totals],[Gross Measure Cost Total]], Value_Project_CAP)/Table_Measure_Caps[[#Totals],[Estimated Raw Incentive Total]], "")</f>
        <v/>
      </c>
      <c r="J337" s="45">
        <f>'Input Lighting Control Measures'!I39</f>
        <v>0</v>
      </c>
      <c r="K337" s="14">
        <f>'Input Lighting Control Measures'!J39</f>
        <v>0</v>
      </c>
      <c r="L337" s="15" t="e">
        <f>'Input Lighting Control Measures'!W39</f>
        <v>#N/A</v>
      </c>
      <c r="M337" s="17">
        <f>'Input Lighting Control Measures'!H39</f>
        <v>0</v>
      </c>
      <c r="N337" s="15">
        <f>'Input Lighting Control Measures'!H39</f>
        <v>0</v>
      </c>
      <c r="O337" s="31" t="str">
        <f t="shared" si="10"/>
        <v>Version 4.1 - 2026</v>
      </c>
      <c r="P337" s="89">
        <f>'Input Lighting Control Measures'!E39</f>
        <v>0</v>
      </c>
      <c r="Q337" s="42" t="str">
        <f>'Input Lighting Control Measures'!L39</f>
        <v/>
      </c>
    </row>
    <row r="338" spans="1:17" x14ac:dyDescent="0.2">
      <c r="A338" s="15" t="s">
        <v>6294</v>
      </c>
      <c r="B338" s="14">
        <f t="shared" si="9"/>
        <v>0</v>
      </c>
      <c r="C338" s="14">
        <f>'Input Lighting Control Measures'!B40</f>
        <v>36</v>
      </c>
      <c r="D338" s="14" t="str">
        <f>'Input Lighting Control Measures'!C40</f>
        <v/>
      </c>
      <c r="E338" s="14" t="s">
        <v>6295</v>
      </c>
      <c r="F338" s="16">
        <f>1</f>
        <v>1</v>
      </c>
      <c r="G338" s="16" t="str">
        <f>'Input Lighting Control Measures'!M40</f>
        <v/>
      </c>
      <c r="H338" s="104" t="str">
        <f>'Input Lighting Control Measures'!N40</f>
        <v/>
      </c>
      <c r="I338" s="45" t="str">
        <f>IFERROR(Q338*MIN(Table_Measure_Caps[[#Totals],[Estimated Raw Incentive Total]], Table_Measure_Caps[[#Totals],[Gross Measure Cost Total]], Value_Project_CAP)/Table_Measure_Caps[[#Totals],[Estimated Raw Incentive Total]], "")</f>
        <v/>
      </c>
      <c r="J338" s="45">
        <f>'Input Lighting Control Measures'!I40</f>
        <v>0</v>
      </c>
      <c r="K338" s="14">
        <f>'Input Lighting Control Measures'!J40</f>
        <v>0</v>
      </c>
      <c r="L338" s="15" t="e">
        <f>'Input Lighting Control Measures'!W40</f>
        <v>#N/A</v>
      </c>
      <c r="M338" s="17">
        <f>'Input Lighting Control Measures'!H40</f>
        <v>0</v>
      </c>
      <c r="N338" s="15">
        <f>'Input Lighting Control Measures'!H40</f>
        <v>0</v>
      </c>
      <c r="O338" s="31" t="str">
        <f t="shared" si="10"/>
        <v>Version 4.1 - 2026</v>
      </c>
      <c r="P338" s="89">
        <f>'Input Lighting Control Measures'!E40</f>
        <v>0</v>
      </c>
      <c r="Q338" s="42" t="str">
        <f>'Input Lighting Control Measures'!L40</f>
        <v/>
      </c>
    </row>
    <row r="339" spans="1:17" x14ac:dyDescent="0.2">
      <c r="A339" s="15" t="s">
        <v>6294</v>
      </c>
      <c r="B339" s="14">
        <f t="shared" si="9"/>
        <v>0</v>
      </c>
      <c r="C339" s="14">
        <f>'Input Lighting Control Measures'!B41</f>
        <v>37</v>
      </c>
      <c r="D339" s="14" t="str">
        <f>'Input Lighting Control Measures'!C41</f>
        <v/>
      </c>
      <c r="E339" s="14" t="s">
        <v>6295</v>
      </c>
      <c r="F339" s="16">
        <f>1</f>
        <v>1</v>
      </c>
      <c r="G339" s="16" t="str">
        <f>'Input Lighting Control Measures'!M41</f>
        <v/>
      </c>
      <c r="H339" s="104" t="str">
        <f>'Input Lighting Control Measures'!N41</f>
        <v/>
      </c>
      <c r="I339" s="45" t="str">
        <f>IFERROR(Q339*MIN(Table_Measure_Caps[[#Totals],[Estimated Raw Incentive Total]], Table_Measure_Caps[[#Totals],[Gross Measure Cost Total]], Value_Project_CAP)/Table_Measure_Caps[[#Totals],[Estimated Raw Incentive Total]], "")</f>
        <v/>
      </c>
      <c r="J339" s="45">
        <f>'Input Lighting Control Measures'!I41</f>
        <v>0</v>
      </c>
      <c r="K339" s="14">
        <f>'Input Lighting Control Measures'!J41</f>
        <v>0</v>
      </c>
      <c r="L339" s="15" t="e">
        <f>'Input Lighting Control Measures'!W41</f>
        <v>#N/A</v>
      </c>
      <c r="M339" s="17">
        <f>'Input Lighting Control Measures'!H41</f>
        <v>0</v>
      </c>
      <c r="N339" s="15">
        <f>'Input Lighting Control Measures'!H41</f>
        <v>0</v>
      </c>
      <c r="O339" s="31" t="str">
        <f t="shared" si="10"/>
        <v>Version 4.1 - 2026</v>
      </c>
      <c r="P339" s="89">
        <f>'Input Lighting Control Measures'!E41</f>
        <v>0</v>
      </c>
      <c r="Q339" s="42" t="str">
        <f>'Input Lighting Control Measures'!L41</f>
        <v/>
      </c>
    </row>
    <row r="340" spans="1:17" x14ac:dyDescent="0.2">
      <c r="A340" s="15" t="s">
        <v>6294</v>
      </c>
      <c r="B340" s="14">
        <f t="shared" si="9"/>
        <v>0</v>
      </c>
      <c r="C340" s="14">
        <f>'Input Lighting Control Measures'!B42</f>
        <v>38</v>
      </c>
      <c r="D340" s="14" t="str">
        <f>'Input Lighting Control Measures'!C42</f>
        <v/>
      </c>
      <c r="E340" s="14" t="s">
        <v>6295</v>
      </c>
      <c r="F340" s="16">
        <f>1</f>
        <v>1</v>
      </c>
      <c r="G340" s="16" t="str">
        <f>'Input Lighting Control Measures'!M42</f>
        <v/>
      </c>
      <c r="H340" s="104" t="str">
        <f>'Input Lighting Control Measures'!N42</f>
        <v/>
      </c>
      <c r="I340" s="45" t="str">
        <f>IFERROR(Q340*MIN(Table_Measure_Caps[[#Totals],[Estimated Raw Incentive Total]], Table_Measure_Caps[[#Totals],[Gross Measure Cost Total]], Value_Project_CAP)/Table_Measure_Caps[[#Totals],[Estimated Raw Incentive Total]], "")</f>
        <v/>
      </c>
      <c r="J340" s="45">
        <f>'Input Lighting Control Measures'!I42</f>
        <v>0</v>
      </c>
      <c r="K340" s="14">
        <f>'Input Lighting Control Measures'!J42</f>
        <v>0</v>
      </c>
      <c r="L340" s="15" t="e">
        <f>'Input Lighting Control Measures'!W42</f>
        <v>#N/A</v>
      </c>
      <c r="M340" s="17">
        <f>'Input Lighting Control Measures'!H42</f>
        <v>0</v>
      </c>
      <c r="N340" s="15">
        <f>'Input Lighting Control Measures'!H42</f>
        <v>0</v>
      </c>
      <c r="O340" s="31" t="str">
        <f t="shared" si="10"/>
        <v>Version 4.1 - 2026</v>
      </c>
      <c r="P340" s="89">
        <f>'Input Lighting Control Measures'!E42</f>
        <v>0</v>
      </c>
      <c r="Q340" s="42" t="str">
        <f>'Input Lighting Control Measures'!L42</f>
        <v/>
      </c>
    </row>
    <row r="341" spans="1:17" x14ac:dyDescent="0.2">
      <c r="A341" s="15" t="s">
        <v>6294</v>
      </c>
      <c r="B341" s="14">
        <f t="shared" si="9"/>
        <v>0</v>
      </c>
      <c r="C341" s="14">
        <f>'Input Lighting Control Measures'!B43</f>
        <v>39</v>
      </c>
      <c r="D341" s="14" t="str">
        <f>'Input Lighting Control Measures'!C43</f>
        <v/>
      </c>
      <c r="E341" s="14" t="s">
        <v>6295</v>
      </c>
      <c r="F341" s="16">
        <f>1</f>
        <v>1</v>
      </c>
      <c r="G341" s="16" t="str">
        <f>'Input Lighting Control Measures'!M43</f>
        <v/>
      </c>
      <c r="H341" s="104" t="str">
        <f>'Input Lighting Control Measures'!N43</f>
        <v/>
      </c>
      <c r="I341" s="45" t="str">
        <f>IFERROR(Q341*MIN(Table_Measure_Caps[[#Totals],[Estimated Raw Incentive Total]], Table_Measure_Caps[[#Totals],[Gross Measure Cost Total]], Value_Project_CAP)/Table_Measure_Caps[[#Totals],[Estimated Raw Incentive Total]], "")</f>
        <v/>
      </c>
      <c r="J341" s="45">
        <f>'Input Lighting Control Measures'!I43</f>
        <v>0</v>
      </c>
      <c r="K341" s="14">
        <f>'Input Lighting Control Measures'!J43</f>
        <v>0</v>
      </c>
      <c r="L341" s="15" t="e">
        <f>'Input Lighting Control Measures'!W43</f>
        <v>#N/A</v>
      </c>
      <c r="M341" s="17">
        <f>'Input Lighting Control Measures'!H43</f>
        <v>0</v>
      </c>
      <c r="N341" s="15">
        <f>'Input Lighting Control Measures'!H43</f>
        <v>0</v>
      </c>
      <c r="O341" s="31" t="str">
        <f t="shared" si="10"/>
        <v>Version 4.1 - 2026</v>
      </c>
      <c r="P341" s="89">
        <f>'Input Lighting Control Measures'!E43</f>
        <v>0</v>
      </c>
      <c r="Q341" s="42" t="str">
        <f>'Input Lighting Control Measures'!L43</f>
        <v/>
      </c>
    </row>
    <row r="342" spans="1:17" x14ac:dyDescent="0.2">
      <c r="A342" s="15" t="s">
        <v>6294</v>
      </c>
      <c r="B342" s="14">
        <f t="shared" si="9"/>
        <v>0</v>
      </c>
      <c r="C342" s="14">
        <f>'Input Lighting Control Measures'!B44</f>
        <v>40</v>
      </c>
      <c r="D342" s="14" t="str">
        <f>'Input Lighting Control Measures'!C44</f>
        <v/>
      </c>
      <c r="E342" s="14" t="s">
        <v>6295</v>
      </c>
      <c r="F342" s="16">
        <f>1</f>
        <v>1</v>
      </c>
      <c r="G342" s="16" t="str">
        <f>'Input Lighting Control Measures'!M44</f>
        <v/>
      </c>
      <c r="H342" s="104" t="str">
        <f>'Input Lighting Control Measures'!N44</f>
        <v/>
      </c>
      <c r="I342" s="45" t="str">
        <f>IFERROR(Q342*MIN(Table_Measure_Caps[[#Totals],[Estimated Raw Incentive Total]], Table_Measure_Caps[[#Totals],[Gross Measure Cost Total]], Value_Project_CAP)/Table_Measure_Caps[[#Totals],[Estimated Raw Incentive Total]], "")</f>
        <v/>
      </c>
      <c r="J342" s="45">
        <f>'Input Lighting Control Measures'!I44</f>
        <v>0</v>
      </c>
      <c r="K342" s="14">
        <f>'Input Lighting Control Measures'!J44</f>
        <v>0</v>
      </c>
      <c r="L342" s="15" t="e">
        <f>'Input Lighting Control Measures'!W44</f>
        <v>#N/A</v>
      </c>
      <c r="M342" s="17">
        <f>'Input Lighting Control Measures'!H44</f>
        <v>0</v>
      </c>
      <c r="N342" s="15">
        <f>'Input Lighting Control Measures'!H44</f>
        <v>0</v>
      </c>
      <c r="O342" s="31" t="str">
        <f t="shared" si="10"/>
        <v>Version 4.1 - 2026</v>
      </c>
      <c r="P342" s="89">
        <f>'Input Lighting Control Measures'!E44</f>
        <v>0</v>
      </c>
      <c r="Q342" s="42" t="str">
        <f>'Input Lighting Control Measures'!L44</f>
        <v/>
      </c>
    </row>
    <row r="343" spans="1:17" x14ac:dyDescent="0.2">
      <c r="A343" s="15" t="s">
        <v>6294</v>
      </c>
      <c r="B343" s="14">
        <f t="shared" si="9"/>
        <v>0</v>
      </c>
      <c r="C343" s="14">
        <f>'Input Lighting Control Measures'!B45</f>
        <v>41</v>
      </c>
      <c r="D343" s="14" t="str">
        <f>'Input Lighting Control Measures'!C45</f>
        <v/>
      </c>
      <c r="E343" s="14" t="s">
        <v>6295</v>
      </c>
      <c r="F343" s="16">
        <f>1</f>
        <v>1</v>
      </c>
      <c r="G343" s="16" t="str">
        <f>'Input Lighting Control Measures'!M45</f>
        <v/>
      </c>
      <c r="H343" s="104" t="str">
        <f>'Input Lighting Control Measures'!N45</f>
        <v/>
      </c>
      <c r="I343" s="45" t="str">
        <f>IFERROR(Q343*MIN(Table_Measure_Caps[[#Totals],[Estimated Raw Incentive Total]], Table_Measure_Caps[[#Totals],[Gross Measure Cost Total]], Value_Project_CAP)/Table_Measure_Caps[[#Totals],[Estimated Raw Incentive Total]], "")</f>
        <v/>
      </c>
      <c r="J343" s="45">
        <f>'Input Lighting Control Measures'!I45</f>
        <v>0</v>
      </c>
      <c r="K343" s="14">
        <f>'Input Lighting Control Measures'!J45</f>
        <v>0</v>
      </c>
      <c r="L343" s="15" t="e">
        <f>'Input Lighting Control Measures'!W45</f>
        <v>#N/A</v>
      </c>
      <c r="M343" s="17">
        <f>'Input Lighting Control Measures'!H45</f>
        <v>0</v>
      </c>
      <c r="N343" s="15">
        <f>'Input Lighting Control Measures'!H45</f>
        <v>0</v>
      </c>
      <c r="O343" s="31" t="str">
        <f t="shared" si="10"/>
        <v>Version 4.1 - 2026</v>
      </c>
      <c r="P343" s="89">
        <f>'Input Lighting Control Measures'!E45</f>
        <v>0</v>
      </c>
      <c r="Q343" s="42" t="str">
        <f>'Input Lighting Control Measures'!L45</f>
        <v/>
      </c>
    </row>
    <row r="344" spans="1:17" x14ac:dyDescent="0.2">
      <c r="A344" s="15" t="s">
        <v>6294</v>
      </c>
      <c r="B344" s="14">
        <f t="shared" si="9"/>
        <v>0</v>
      </c>
      <c r="C344" s="14">
        <f>'Input Lighting Control Measures'!B46</f>
        <v>42</v>
      </c>
      <c r="D344" s="14" t="str">
        <f>'Input Lighting Control Measures'!C46</f>
        <v/>
      </c>
      <c r="E344" s="14" t="s">
        <v>6295</v>
      </c>
      <c r="F344" s="16">
        <f>1</f>
        <v>1</v>
      </c>
      <c r="G344" s="16" t="str">
        <f>'Input Lighting Control Measures'!M46</f>
        <v/>
      </c>
      <c r="H344" s="104" t="str">
        <f>'Input Lighting Control Measures'!N46</f>
        <v/>
      </c>
      <c r="I344" s="45" t="str">
        <f>IFERROR(Q344*MIN(Table_Measure_Caps[[#Totals],[Estimated Raw Incentive Total]], Table_Measure_Caps[[#Totals],[Gross Measure Cost Total]], Value_Project_CAP)/Table_Measure_Caps[[#Totals],[Estimated Raw Incentive Total]], "")</f>
        <v/>
      </c>
      <c r="J344" s="45">
        <f>'Input Lighting Control Measures'!I46</f>
        <v>0</v>
      </c>
      <c r="K344" s="14">
        <f>'Input Lighting Control Measures'!J46</f>
        <v>0</v>
      </c>
      <c r="L344" s="15" t="e">
        <f>'Input Lighting Control Measures'!W46</f>
        <v>#N/A</v>
      </c>
      <c r="M344" s="17">
        <f>'Input Lighting Control Measures'!H46</f>
        <v>0</v>
      </c>
      <c r="N344" s="15">
        <f>'Input Lighting Control Measures'!H46</f>
        <v>0</v>
      </c>
      <c r="O344" s="31" t="str">
        <f t="shared" si="10"/>
        <v>Version 4.1 - 2026</v>
      </c>
      <c r="P344" s="89">
        <f>'Input Lighting Control Measures'!E46</f>
        <v>0</v>
      </c>
      <c r="Q344" s="42" t="str">
        <f>'Input Lighting Control Measures'!L46</f>
        <v/>
      </c>
    </row>
    <row r="345" spans="1:17" x14ac:dyDescent="0.2">
      <c r="A345" s="15" t="s">
        <v>6294</v>
      </c>
      <c r="B345" s="14">
        <f t="shared" si="9"/>
        <v>0</v>
      </c>
      <c r="C345" s="14">
        <f>'Input Lighting Control Measures'!B47</f>
        <v>43</v>
      </c>
      <c r="D345" s="14" t="str">
        <f>'Input Lighting Control Measures'!C47</f>
        <v/>
      </c>
      <c r="E345" s="14" t="s">
        <v>6295</v>
      </c>
      <c r="F345" s="16">
        <f>1</f>
        <v>1</v>
      </c>
      <c r="G345" s="16" t="str">
        <f>'Input Lighting Control Measures'!M47</f>
        <v/>
      </c>
      <c r="H345" s="104" t="str">
        <f>'Input Lighting Control Measures'!N47</f>
        <v/>
      </c>
      <c r="I345" s="45" t="str">
        <f>IFERROR(Q345*MIN(Table_Measure_Caps[[#Totals],[Estimated Raw Incentive Total]], Table_Measure_Caps[[#Totals],[Gross Measure Cost Total]], Value_Project_CAP)/Table_Measure_Caps[[#Totals],[Estimated Raw Incentive Total]], "")</f>
        <v/>
      </c>
      <c r="J345" s="45">
        <f>'Input Lighting Control Measures'!I47</f>
        <v>0</v>
      </c>
      <c r="K345" s="14">
        <f>'Input Lighting Control Measures'!J47</f>
        <v>0</v>
      </c>
      <c r="L345" s="15" t="e">
        <f>'Input Lighting Control Measures'!W47</f>
        <v>#N/A</v>
      </c>
      <c r="M345" s="17">
        <f>'Input Lighting Control Measures'!H47</f>
        <v>0</v>
      </c>
      <c r="N345" s="15">
        <f>'Input Lighting Control Measures'!H47</f>
        <v>0</v>
      </c>
      <c r="O345" s="31" t="str">
        <f t="shared" si="10"/>
        <v>Version 4.1 - 2026</v>
      </c>
      <c r="P345" s="89">
        <f>'Input Lighting Control Measures'!E47</f>
        <v>0</v>
      </c>
      <c r="Q345" s="42" t="str">
        <f>'Input Lighting Control Measures'!L47</f>
        <v/>
      </c>
    </row>
    <row r="346" spans="1:17" x14ac:dyDescent="0.2">
      <c r="A346" s="15" t="s">
        <v>6294</v>
      </c>
      <c r="B346" s="14">
        <f t="shared" si="9"/>
        <v>0</v>
      </c>
      <c r="C346" s="14">
        <f>'Input Lighting Control Measures'!B48</f>
        <v>44</v>
      </c>
      <c r="D346" s="14" t="str">
        <f>'Input Lighting Control Measures'!C48</f>
        <v/>
      </c>
      <c r="E346" s="14" t="s">
        <v>6295</v>
      </c>
      <c r="F346" s="16">
        <f>1</f>
        <v>1</v>
      </c>
      <c r="G346" s="16" t="str">
        <f>'Input Lighting Control Measures'!M48</f>
        <v/>
      </c>
      <c r="H346" s="104" t="str">
        <f>'Input Lighting Control Measures'!N48</f>
        <v/>
      </c>
      <c r="I346" s="45" t="str">
        <f>IFERROR(Q346*MIN(Table_Measure_Caps[[#Totals],[Estimated Raw Incentive Total]], Table_Measure_Caps[[#Totals],[Gross Measure Cost Total]], Value_Project_CAP)/Table_Measure_Caps[[#Totals],[Estimated Raw Incentive Total]], "")</f>
        <v/>
      </c>
      <c r="J346" s="45">
        <f>'Input Lighting Control Measures'!I48</f>
        <v>0</v>
      </c>
      <c r="K346" s="14">
        <f>'Input Lighting Control Measures'!J48</f>
        <v>0</v>
      </c>
      <c r="L346" s="15" t="e">
        <f>'Input Lighting Control Measures'!W48</f>
        <v>#N/A</v>
      </c>
      <c r="M346" s="17">
        <f>'Input Lighting Control Measures'!H48</f>
        <v>0</v>
      </c>
      <c r="N346" s="15">
        <f>'Input Lighting Control Measures'!H48</f>
        <v>0</v>
      </c>
      <c r="O346" s="31" t="str">
        <f t="shared" si="10"/>
        <v>Version 4.1 - 2026</v>
      </c>
      <c r="P346" s="89">
        <f>'Input Lighting Control Measures'!E48</f>
        <v>0</v>
      </c>
      <c r="Q346" s="42" t="str">
        <f>'Input Lighting Control Measures'!L48</f>
        <v/>
      </c>
    </row>
    <row r="347" spans="1:17" x14ac:dyDescent="0.2">
      <c r="A347" s="15" t="s">
        <v>6294</v>
      </c>
      <c r="B347" s="14">
        <f t="shared" si="9"/>
        <v>0</v>
      </c>
      <c r="C347" s="14">
        <f>'Input Lighting Control Measures'!B49</f>
        <v>45</v>
      </c>
      <c r="D347" s="14" t="str">
        <f>'Input Lighting Control Measures'!C49</f>
        <v/>
      </c>
      <c r="E347" s="14" t="s">
        <v>6295</v>
      </c>
      <c r="F347" s="16">
        <f>1</f>
        <v>1</v>
      </c>
      <c r="G347" s="16" t="str">
        <f>'Input Lighting Control Measures'!M49</f>
        <v/>
      </c>
      <c r="H347" s="104" t="str">
        <f>'Input Lighting Control Measures'!N49</f>
        <v/>
      </c>
      <c r="I347" s="45" t="str">
        <f>IFERROR(Q347*MIN(Table_Measure_Caps[[#Totals],[Estimated Raw Incentive Total]], Table_Measure_Caps[[#Totals],[Gross Measure Cost Total]], Value_Project_CAP)/Table_Measure_Caps[[#Totals],[Estimated Raw Incentive Total]], "")</f>
        <v/>
      </c>
      <c r="J347" s="45">
        <f>'Input Lighting Control Measures'!I49</f>
        <v>0</v>
      </c>
      <c r="K347" s="14">
        <f>'Input Lighting Control Measures'!J49</f>
        <v>0</v>
      </c>
      <c r="L347" s="15" t="e">
        <f>'Input Lighting Control Measures'!W49</f>
        <v>#N/A</v>
      </c>
      <c r="M347" s="17">
        <f>'Input Lighting Control Measures'!H49</f>
        <v>0</v>
      </c>
      <c r="N347" s="15">
        <f>'Input Lighting Control Measures'!H49</f>
        <v>0</v>
      </c>
      <c r="O347" s="31" t="str">
        <f t="shared" si="10"/>
        <v>Version 4.1 - 2026</v>
      </c>
      <c r="P347" s="89">
        <f>'Input Lighting Control Measures'!E49</f>
        <v>0</v>
      </c>
      <c r="Q347" s="42" t="str">
        <f>'Input Lighting Control Measures'!L49</f>
        <v/>
      </c>
    </row>
    <row r="348" spans="1:17" x14ac:dyDescent="0.2">
      <c r="A348" s="15" t="s">
        <v>6294</v>
      </c>
      <c r="B348" s="14">
        <f t="shared" si="9"/>
        <v>0</v>
      </c>
      <c r="C348" s="14">
        <f>'Input Lighting Control Measures'!B50</f>
        <v>46</v>
      </c>
      <c r="D348" s="14" t="str">
        <f>'Input Lighting Control Measures'!C50</f>
        <v/>
      </c>
      <c r="E348" s="14" t="s">
        <v>6295</v>
      </c>
      <c r="F348" s="16">
        <f>1</f>
        <v>1</v>
      </c>
      <c r="G348" s="16" t="str">
        <f>'Input Lighting Control Measures'!M50</f>
        <v/>
      </c>
      <c r="H348" s="104" t="str">
        <f>'Input Lighting Control Measures'!N50</f>
        <v/>
      </c>
      <c r="I348" s="45" t="str">
        <f>IFERROR(Q348*MIN(Table_Measure_Caps[[#Totals],[Estimated Raw Incentive Total]], Table_Measure_Caps[[#Totals],[Gross Measure Cost Total]], Value_Project_CAP)/Table_Measure_Caps[[#Totals],[Estimated Raw Incentive Total]], "")</f>
        <v/>
      </c>
      <c r="J348" s="45">
        <f>'Input Lighting Control Measures'!I50</f>
        <v>0</v>
      </c>
      <c r="K348" s="14">
        <f>'Input Lighting Control Measures'!J50</f>
        <v>0</v>
      </c>
      <c r="L348" s="15" t="e">
        <f>'Input Lighting Control Measures'!W50</f>
        <v>#N/A</v>
      </c>
      <c r="M348" s="17">
        <f>'Input Lighting Control Measures'!H50</f>
        <v>0</v>
      </c>
      <c r="N348" s="15">
        <f>'Input Lighting Control Measures'!H50</f>
        <v>0</v>
      </c>
      <c r="O348" s="31" t="str">
        <f t="shared" si="10"/>
        <v>Version 4.1 - 2026</v>
      </c>
      <c r="P348" s="89">
        <f>'Input Lighting Control Measures'!E50</f>
        <v>0</v>
      </c>
      <c r="Q348" s="42" t="str">
        <f>'Input Lighting Control Measures'!L50</f>
        <v/>
      </c>
    </row>
    <row r="349" spans="1:17" x14ac:dyDescent="0.2">
      <c r="A349" s="15" t="s">
        <v>6294</v>
      </c>
      <c r="B349" s="14">
        <f t="shared" si="9"/>
        <v>0</v>
      </c>
      <c r="C349" s="14">
        <f>'Input Lighting Control Measures'!B51</f>
        <v>47</v>
      </c>
      <c r="D349" s="14" t="str">
        <f>'Input Lighting Control Measures'!C51</f>
        <v/>
      </c>
      <c r="E349" s="14" t="s">
        <v>6295</v>
      </c>
      <c r="F349" s="16">
        <f>1</f>
        <v>1</v>
      </c>
      <c r="G349" s="16" t="str">
        <f>'Input Lighting Control Measures'!M51</f>
        <v/>
      </c>
      <c r="H349" s="104" t="str">
        <f>'Input Lighting Control Measures'!N51</f>
        <v/>
      </c>
      <c r="I349" s="45" t="str">
        <f>IFERROR(Q349*MIN(Table_Measure_Caps[[#Totals],[Estimated Raw Incentive Total]], Table_Measure_Caps[[#Totals],[Gross Measure Cost Total]], Value_Project_CAP)/Table_Measure_Caps[[#Totals],[Estimated Raw Incentive Total]], "")</f>
        <v/>
      </c>
      <c r="J349" s="45">
        <f>'Input Lighting Control Measures'!I51</f>
        <v>0</v>
      </c>
      <c r="K349" s="14">
        <f>'Input Lighting Control Measures'!J51</f>
        <v>0</v>
      </c>
      <c r="L349" s="15" t="e">
        <f>'Input Lighting Control Measures'!W51</f>
        <v>#N/A</v>
      </c>
      <c r="M349" s="17">
        <f>'Input Lighting Control Measures'!H51</f>
        <v>0</v>
      </c>
      <c r="N349" s="15">
        <f>'Input Lighting Control Measures'!H51</f>
        <v>0</v>
      </c>
      <c r="O349" s="31" t="str">
        <f t="shared" si="10"/>
        <v>Version 4.1 - 2026</v>
      </c>
      <c r="P349" s="89">
        <f>'Input Lighting Control Measures'!E51</f>
        <v>0</v>
      </c>
      <c r="Q349" s="42" t="str">
        <f>'Input Lighting Control Measures'!L51</f>
        <v/>
      </c>
    </row>
    <row r="350" spans="1:17" x14ac:dyDescent="0.2">
      <c r="A350" s="15" t="s">
        <v>6294</v>
      </c>
      <c r="B350" s="14">
        <f t="shared" si="9"/>
        <v>0</v>
      </c>
      <c r="C350" s="14">
        <f>'Input Lighting Control Measures'!B52</f>
        <v>48</v>
      </c>
      <c r="D350" s="14" t="str">
        <f>'Input Lighting Control Measures'!C52</f>
        <v/>
      </c>
      <c r="E350" s="14" t="s">
        <v>6295</v>
      </c>
      <c r="F350" s="16">
        <f>1</f>
        <v>1</v>
      </c>
      <c r="G350" s="16" t="str">
        <f>'Input Lighting Control Measures'!M52</f>
        <v/>
      </c>
      <c r="H350" s="104" t="str">
        <f>'Input Lighting Control Measures'!N52</f>
        <v/>
      </c>
      <c r="I350" s="45" t="str">
        <f>IFERROR(Q350*MIN(Table_Measure_Caps[[#Totals],[Estimated Raw Incentive Total]], Table_Measure_Caps[[#Totals],[Gross Measure Cost Total]], Value_Project_CAP)/Table_Measure_Caps[[#Totals],[Estimated Raw Incentive Total]], "")</f>
        <v/>
      </c>
      <c r="J350" s="45">
        <f>'Input Lighting Control Measures'!I52</f>
        <v>0</v>
      </c>
      <c r="K350" s="14">
        <f>'Input Lighting Control Measures'!J52</f>
        <v>0</v>
      </c>
      <c r="L350" s="15" t="e">
        <f>'Input Lighting Control Measures'!W52</f>
        <v>#N/A</v>
      </c>
      <c r="M350" s="17">
        <f>'Input Lighting Control Measures'!H52</f>
        <v>0</v>
      </c>
      <c r="N350" s="15">
        <f>'Input Lighting Control Measures'!H52</f>
        <v>0</v>
      </c>
      <c r="O350" s="31" t="str">
        <f t="shared" si="10"/>
        <v>Version 4.1 - 2026</v>
      </c>
      <c r="P350" s="89">
        <f>'Input Lighting Control Measures'!E52</f>
        <v>0</v>
      </c>
      <c r="Q350" s="42" t="str">
        <f>'Input Lighting Control Measures'!L52</f>
        <v/>
      </c>
    </row>
    <row r="351" spans="1:17" x14ac:dyDescent="0.2">
      <c r="A351" s="15" t="s">
        <v>6294</v>
      </c>
      <c r="B351" s="14">
        <f t="shared" si="9"/>
        <v>0</v>
      </c>
      <c r="C351" s="14">
        <f>'Input Lighting Control Measures'!B53</f>
        <v>49</v>
      </c>
      <c r="D351" s="14" t="str">
        <f>'Input Lighting Control Measures'!C53</f>
        <v/>
      </c>
      <c r="E351" s="14" t="s">
        <v>6295</v>
      </c>
      <c r="F351" s="16">
        <f>1</f>
        <v>1</v>
      </c>
      <c r="G351" s="16" t="str">
        <f>'Input Lighting Control Measures'!M53</f>
        <v/>
      </c>
      <c r="H351" s="104" t="str">
        <f>'Input Lighting Control Measures'!N53</f>
        <v/>
      </c>
      <c r="I351" s="45" t="str">
        <f>IFERROR(Q351*MIN(Table_Measure_Caps[[#Totals],[Estimated Raw Incentive Total]], Table_Measure_Caps[[#Totals],[Gross Measure Cost Total]], Value_Project_CAP)/Table_Measure_Caps[[#Totals],[Estimated Raw Incentive Total]], "")</f>
        <v/>
      </c>
      <c r="J351" s="45">
        <f>'Input Lighting Control Measures'!I53</f>
        <v>0</v>
      </c>
      <c r="K351" s="14">
        <f>'Input Lighting Control Measures'!J53</f>
        <v>0</v>
      </c>
      <c r="L351" s="15" t="e">
        <f>'Input Lighting Control Measures'!W53</f>
        <v>#N/A</v>
      </c>
      <c r="M351" s="17">
        <f>'Input Lighting Control Measures'!H53</f>
        <v>0</v>
      </c>
      <c r="N351" s="15">
        <f>'Input Lighting Control Measures'!H53</f>
        <v>0</v>
      </c>
      <c r="O351" s="31" t="str">
        <f t="shared" si="10"/>
        <v>Version 4.1 - 2026</v>
      </c>
      <c r="P351" s="89">
        <f>'Input Lighting Control Measures'!E53</f>
        <v>0</v>
      </c>
      <c r="Q351" s="42" t="str">
        <f>'Input Lighting Control Measures'!L53</f>
        <v/>
      </c>
    </row>
    <row r="352" spans="1:17" x14ac:dyDescent="0.2">
      <c r="A352" s="15" t="s">
        <v>6294</v>
      </c>
      <c r="B352" s="14">
        <f t="shared" si="9"/>
        <v>0</v>
      </c>
      <c r="C352" s="14">
        <f>'Input Lighting Control Measures'!B54</f>
        <v>50</v>
      </c>
      <c r="D352" s="14" t="str">
        <f>'Input Lighting Control Measures'!C54</f>
        <v/>
      </c>
      <c r="E352" s="14" t="s">
        <v>6295</v>
      </c>
      <c r="F352" s="16">
        <f>1</f>
        <v>1</v>
      </c>
      <c r="G352" s="16" t="str">
        <f>'Input Lighting Control Measures'!M54</f>
        <v/>
      </c>
      <c r="H352" s="104" t="str">
        <f>'Input Lighting Control Measures'!N54</f>
        <v/>
      </c>
      <c r="I352" s="45" t="str">
        <f>IFERROR(Q352*MIN(Table_Measure_Caps[[#Totals],[Estimated Raw Incentive Total]], Table_Measure_Caps[[#Totals],[Gross Measure Cost Total]], Value_Project_CAP)/Table_Measure_Caps[[#Totals],[Estimated Raw Incentive Total]], "")</f>
        <v/>
      </c>
      <c r="J352" s="45">
        <f>'Input Lighting Control Measures'!I54</f>
        <v>0</v>
      </c>
      <c r="K352" s="14">
        <f>'Input Lighting Control Measures'!J54</f>
        <v>0</v>
      </c>
      <c r="L352" s="15" t="e">
        <f>'Input Lighting Control Measures'!W54</f>
        <v>#N/A</v>
      </c>
      <c r="M352" s="17">
        <f>'Input Lighting Control Measures'!H54</f>
        <v>0</v>
      </c>
      <c r="N352" s="15">
        <f>'Input Lighting Control Measures'!H54</f>
        <v>0</v>
      </c>
      <c r="O352" s="31" t="str">
        <f t="shared" si="10"/>
        <v>Version 4.1 - 2026</v>
      </c>
      <c r="P352" s="89">
        <f>'Input Lighting Control Measures'!E54</f>
        <v>0</v>
      </c>
      <c r="Q352" s="42" t="str">
        <f>'Input Lighting Control Measures'!L54</f>
        <v/>
      </c>
    </row>
    <row r="353" spans="1:17" x14ac:dyDescent="0.2">
      <c r="A353" s="15" t="s">
        <v>6294</v>
      </c>
      <c r="B353" s="14">
        <f t="shared" si="9"/>
        <v>0</v>
      </c>
      <c r="C353" s="14">
        <f>'Input Lighting Control Measures'!B55</f>
        <v>51</v>
      </c>
      <c r="D353" s="14" t="str">
        <f>'Input Lighting Control Measures'!C55</f>
        <v/>
      </c>
      <c r="E353" s="14" t="s">
        <v>6295</v>
      </c>
      <c r="F353" s="16">
        <f>1</f>
        <v>1</v>
      </c>
      <c r="G353" s="16" t="str">
        <f>'Input Lighting Control Measures'!M55</f>
        <v/>
      </c>
      <c r="H353" s="104" t="str">
        <f>'Input Lighting Control Measures'!N55</f>
        <v/>
      </c>
      <c r="I353" s="45" t="str">
        <f>IFERROR(Q353*MIN(Table_Measure_Caps[[#Totals],[Estimated Raw Incentive Total]], Table_Measure_Caps[[#Totals],[Gross Measure Cost Total]], Value_Project_CAP)/Table_Measure_Caps[[#Totals],[Estimated Raw Incentive Total]], "")</f>
        <v/>
      </c>
      <c r="J353" s="45">
        <f>'Input Lighting Control Measures'!I55</f>
        <v>0</v>
      </c>
      <c r="K353" s="14">
        <f>'Input Lighting Control Measures'!J55</f>
        <v>0</v>
      </c>
      <c r="L353" s="15" t="e">
        <f>'Input Lighting Control Measures'!W55</f>
        <v>#N/A</v>
      </c>
      <c r="M353" s="17">
        <f>'Input Lighting Control Measures'!H55</f>
        <v>0</v>
      </c>
      <c r="N353" s="15">
        <f>'Input Lighting Control Measures'!H55</f>
        <v>0</v>
      </c>
      <c r="O353" s="31" t="str">
        <f t="shared" si="10"/>
        <v>Version 4.1 - 2026</v>
      </c>
      <c r="P353" s="89">
        <f>'Input Lighting Control Measures'!E55</f>
        <v>0</v>
      </c>
      <c r="Q353" s="42" t="str">
        <f>'Input Lighting Control Measures'!L55</f>
        <v/>
      </c>
    </row>
    <row r="354" spans="1:17" x14ac:dyDescent="0.2">
      <c r="A354" s="15" t="s">
        <v>6294</v>
      </c>
      <c r="B354" s="14">
        <f t="shared" si="9"/>
        <v>0</v>
      </c>
      <c r="C354" s="14">
        <f>'Input Lighting Control Measures'!B56</f>
        <v>52</v>
      </c>
      <c r="D354" s="14" t="str">
        <f>'Input Lighting Control Measures'!C56</f>
        <v/>
      </c>
      <c r="E354" s="14" t="s">
        <v>6295</v>
      </c>
      <c r="F354" s="16">
        <f>1</f>
        <v>1</v>
      </c>
      <c r="G354" s="16" t="str">
        <f>'Input Lighting Control Measures'!M56</f>
        <v/>
      </c>
      <c r="H354" s="104" t="str">
        <f>'Input Lighting Control Measures'!N56</f>
        <v/>
      </c>
      <c r="I354" s="45" t="str">
        <f>IFERROR(Q354*MIN(Table_Measure_Caps[[#Totals],[Estimated Raw Incentive Total]], Table_Measure_Caps[[#Totals],[Gross Measure Cost Total]], Value_Project_CAP)/Table_Measure_Caps[[#Totals],[Estimated Raw Incentive Total]], "")</f>
        <v/>
      </c>
      <c r="J354" s="45">
        <f>'Input Lighting Control Measures'!I56</f>
        <v>0</v>
      </c>
      <c r="K354" s="14">
        <f>'Input Lighting Control Measures'!J56</f>
        <v>0</v>
      </c>
      <c r="L354" s="15" t="e">
        <f>'Input Lighting Control Measures'!W56</f>
        <v>#N/A</v>
      </c>
      <c r="M354" s="17">
        <f>'Input Lighting Control Measures'!H56</f>
        <v>0</v>
      </c>
      <c r="N354" s="15">
        <f>'Input Lighting Control Measures'!H56</f>
        <v>0</v>
      </c>
      <c r="O354" s="31" t="str">
        <f t="shared" si="10"/>
        <v>Version 4.1 - 2026</v>
      </c>
      <c r="P354" s="89">
        <f>'Input Lighting Control Measures'!E56</f>
        <v>0</v>
      </c>
      <c r="Q354" s="42" t="str">
        <f>'Input Lighting Control Measures'!L56</f>
        <v/>
      </c>
    </row>
    <row r="355" spans="1:17" x14ac:dyDescent="0.2">
      <c r="A355" s="15" t="s">
        <v>6294</v>
      </c>
      <c r="B355" s="14">
        <f t="shared" si="9"/>
        <v>0</v>
      </c>
      <c r="C355" s="14">
        <f>'Input Lighting Control Measures'!B57</f>
        <v>53</v>
      </c>
      <c r="D355" s="14" t="str">
        <f>'Input Lighting Control Measures'!C57</f>
        <v/>
      </c>
      <c r="E355" s="14" t="s">
        <v>6295</v>
      </c>
      <c r="F355" s="16">
        <f>1</f>
        <v>1</v>
      </c>
      <c r="G355" s="16" t="str">
        <f>'Input Lighting Control Measures'!M57</f>
        <v/>
      </c>
      <c r="H355" s="104" t="str">
        <f>'Input Lighting Control Measures'!N57</f>
        <v/>
      </c>
      <c r="I355" s="45" t="str">
        <f>IFERROR(Q355*MIN(Table_Measure_Caps[[#Totals],[Estimated Raw Incentive Total]], Table_Measure_Caps[[#Totals],[Gross Measure Cost Total]], Value_Project_CAP)/Table_Measure_Caps[[#Totals],[Estimated Raw Incentive Total]], "")</f>
        <v/>
      </c>
      <c r="J355" s="45">
        <f>'Input Lighting Control Measures'!I57</f>
        <v>0</v>
      </c>
      <c r="K355" s="14">
        <f>'Input Lighting Control Measures'!J57</f>
        <v>0</v>
      </c>
      <c r="L355" s="15" t="e">
        <f>'Input Lighting Control Measures'!W57</f>
        <v>#N/A</v>
      </c>
      <c r="M355" s="17">
        <f>'Input Lighting Control Measures'!H57</f>
        <v>0</v>
      </c>
      <c r="N355" s="15">
        <f>'Input Lighting Control Measures'!H57</f>
        <v>0</v>
      </c>
      <c r="O355" s="31" t="str">
        <f t="shared" si="10"/>
        <v>Version 4.1 - 2026</v>
      </c>
      <c r="P355" s="89">
        <f>'Input Lighting Control Measures'!E57</f>
        <v>0</v>
      </c>
      <c r="Q355" s="42" t="str">
        <f>'Input Lighting Control Measures'!L57</f>
        <v/>
      </c>
    </row>
    <row r="356" spans="1:17" x14ac:dyDescent="0.2">
      <c r="A356" s="15" t="s">
        <v>6294</v>
      </c>
      <c r="B356" s="14">
        <f t="shared" si="9"/>
        <v>0</v>
      </c>
      <c r="C356" s="14">
        <f>'Input Lighting Control Measures'!B58</f>
        <v>54</v>
      </c>
      <c r="D356" s="14" t="str">
        <f>'Input Lighting Control Measures'!C58</f>
        <v/>
      </c>
      <c r="E356" s="14" t="s">
        <v>6295</v>
      </c>
      <c r="F356" s="16">
        <f>1</f>
        <v>1</v>
      </c>
      <c r="G356" s="16" t="str">
        <f>'Input Lighting Control Measures'!M58</f>
        <v/>
      </c>
      <c r="H356" s="104" t="str">
        <f>'Input Lighting Control Measures'!N58</f>
        <v/>
      </c>
      <c r="I356" s="45" t="str">
        <f>IFERROR(Q356*MIN(Table_Measure_Caps[[#Totals],[Estimated Raw Incentive Total]], Table_Measure_Caps[[#Totals],[Gross Measure Cost Total]], Value_Project_CAP)/Table_Measure_Caps[[#Totals],[Estimated Raw Incentive Total]], "")</f>
        <v/>
      </c>
      <c r="J356" s="45">
        <f>'Input Lighting Control Measures'!I58</f>
        <v>0</v>
      </c>
      <c r="K356" s="14">
        <f>'Input Lighting Control Measures'!J58</f>
        <v>0</v>
      </c>
      <c r="L356" s="15" t="e">
        <f>'Input Lighting Control Measures'!W58</f>
        <v>#N/A</v>
      </c>
      <c r="M356" s="17">
        <f>'Input Lighting Control Measures'!H58</f>
        <v>0</v>
      </c>
      <c r="N356" s="15">
        <f>'Input Lighting Control Measures'!H58</f>
        <v>0</v>
      </c>
      <c r="O356" s="31" t="str">
        <f t="shared" si="10"/>
        <v>Version 4.1 - 2026</v>
      </c>
      <c r="P356" s="89">
        <f>'Input Lighting Control Measures'!E58</f>
        <v>0</v>
      </c>
      <c r="Q356" s="42" t="str">
        <f>'Input Lighting Control Measures'!L58</f>
        <v/>
      </c>
    </row>
    <row r="357" spans="1:17" x14ac:dyDescent="0.2">
      <c r="A357" s="15" t="s">
        <v>6294</v>
      </c>
      <c r="B357" s="14">
        <f t="shared" si="9"/>
        <v>0</v>
      </c>
      <c r="C357" s="14">
        <f>'Input Lighting Control Measures'!B59</f>
        <v>55</v>
      </c>
      <c r="D357" s="14" t="str">
        <f>'Input Lighting Control Measures'!C59</f>
        <v/>
      </c>
      <c r="E357" s="14" t="s">
        <v>6295</v>
      </c>
      <c r="F357" s="16">
        <f>1</f>
        <v>1</v>
      </c>
      <c r="G357" s="16" t="str">
        <f>'Input Lighting Control Measures'!M59</f>
        <v/>
      </c>
      <c r="H357" s="104" t="str">
        <f>'Input Lighting Control Measures'!N59</f>
        <v/>
      </c>
      <c r="I357" s="45" t="str">
        <f>IFERROR(Q357*MIN(Table_Measure_Caps[[#Totals],[Estimated Raw Incentive Total]], Table_Measure_Caps[[#Totals],[Gross Measure Cost Total]], Value_Project_CAP)/Table_Measure_Caps[[#Totals],[Estimated Raw Incentive Total]], "")</f>
        <v/>
      </c>
      <c r="J357" s="45">
        <f>'Input Lighting Control Measures'!I59</f>
        <v>0</v>
      </c>
      <c r="K357" s="14">
        <f>'Input Lighting Control Measures'!J59</f>
        <v>0</v>
      </c>
      <c r="L357" s="15" t="e">
        <f>'Input Lighting Control Measures'!W59</f>
        <v>#N/A</v>
      </c>
      <c r="M357" s="17">
        <f>'Input Lighting Control Measures'!H59</f>
        <v>0</v>
      </c>
      <c r="N357" s="15">
        <f>'Input Lighting Control Measures'!H59</f>
        <v>0</v>
      </c>
      <c r="O357" s="31" t="str">
        <f t="shared" si="10"/>
        <v>Version 4.1 - 2026</v>
      </c>
      <c r="P357" s="89">
        <f>'Input Lighting Control Measures'!E59</f>
        <v>0</v>
      </c>
      <c r="Q357" s="42" t="str">
        <f>'Input Lighting Control Measures'!L59</f>
        <v/>
      </c>
    </row>
    <row r="358" spans="1:17" x14ac:dyDescent="0.2">
      <c r="A358" s="15" t="s">
        <v>6294</v>
      </c>
      <c r="B358" s="14">
        <f t="shared" si="9"/>
        <v>0</v>
      </c>
      <c r="C358" s="14">
        <f>'Input Lighting Control Measures'!B60</f>
        <v>56</v>
      </c>
      <c r="D358" s="14" t="str">
        <f>'Input Lighting Control Measures'!C60</f>
        <v/>
      </c>
      <c r="E358" s="14" t="s">
        <v>6295</v>
      </c>
      <c r="F358" s="16">
        <f>1</f>
        <v>1</v>
      </c>
      <c r="G358" s="16" t="str">
        <f>'Input Lighting Control Measures'!M60</f>
        <v/>
      </c>
      <c r="H358" s="104" t="str">
        <f>'Input Lighting Control Measures'!N60</f>
        <v/>
      </c>
      <c r="I358" s="45" t="str">
        <f>IFERROR(Q358*MIN(Table_Measure_Caps[[#Totals],[Estimated Raw Incentive Total]], Table_Measure_Caps[[#Totals],[Gross Measure Cost Total]], Value_Project_CAP)/Table_Measure_Caps[[#Totals],[Estimated Raw Incentive Total]], "")</f>
        <v/>
      </c>
      <c r="J358" s="45">
        <f>'Input Lighting Control Measures'!I60</f>
        <v>0</v>
      </c>
      <c r="K358" s="14">
        <f>'Input Lighting Control Measures'!J60</f>
        <v>0</v>
      </c>
      <c r="L358" s="15" t="e">
        <f>'Input Lighting Control Measures'!W60</f>
        <v>#N/A</v>
      </c>
      <c r="M358" s="17">
        <f>'Input Lighting Control Measures'!H60</f>
        <v>0</v>
      </c>
      <c r="N358" s="15">
        <f>'Input Lighting Control Measures'!H60</f>
        <v>0</v>
      </c>
      <c r="O358" s="31" t="str">
        <f t="shared" si="10"/>
        <v>Version 4.1 - 2026</v>
      </c>
      <c r="P358" s="89">
        <f>'Input Lighting Control Measures'!E60</f>
        <v>0</v>
      </c>
      <c r="Q358" s="42" t="str">
        <f>'Input Lighting Control Measures'!L60</f>
        <v/>
      </c>
    </row>
    <row r="359" spans="1:17" x14ac:dyDescent="0.2">
      <c r="A359" s="15" t="s">
        <v>6294</v>
      </c>
      <c r="B359" s="14">
        <f t="shared" si="9"/>
        <v>0</v>
      </c>
      <c r="C359" s="14">
        <f>'Input Lighting Control Measures'!B61</f>
        <v>57</v>
      </c>
      <c r="D359" s="14" t="str">
        <f>'Input Lighting Control Measures'!C61</f>
        <v/>
      </c>
      <c r="E359" s="14" t="s">
        <v>6295</v>
      </c>
      <c r="F359" s="16">
        <f>1</f>
        <v>1</v>
      </c>
      <c r="G359" s="16" t="str">
        <f>'Input Lighting Control Measures'!M61</f>
        <v/>
      </c>
      <c r="H359" s="104" t="str">
        <f>'Input Lighting Control Measures'!N61</f>
        <v/>
      </c>
      <c r="I359" s="45" t="str">
        <f>IFERROR(Q359*MIN(Table_Measure_Caps[[#Totals],[Estimated Raw Incentive Total]], Table_Measure_Caps[[#Totals],[Gross Measure Cost Total]], Value_Project_CAP)/Table_Measure_Caps[[#Totals],[Estimated Raw Incentive Total]], "")</f>
        <v/>
      </c>
      <c r="J359" s="45">
        <f>'Input Lighting Control Measures'!I61</f>
        <v>0</v>
      </c>
      <c r="K359" s="14">
        <f>'Input Lighting Control Measures'!J61</f>
        <v>0</v>
      </c>
      <c r="L359" s="15" t="e">
        <f>'Input Lighting Control Measures'!W61</f>
        <v>#N/A</v>
      </c>
      <c r="M359" s="17">
        <f>'Input Lighting Control Measures'!H61</f>
        <v>0</v>
      </c>
      <c r="N359" s="15">
        <f>'Input Lighting Control Measures'!H61</f>
        <v>0</v>
      </c>
      <c r="O359" s="31" t="str">
        <f t="shared" si="10"/>
        <v>Version 4.1 - 2026</v>
      </c>
      <c r="P359" s="89">
        <f>'Input Lighting Control Measures'!E61</f>
        <v>0</v>
      </c>
      <c r="Q359" s="42" t="str">
        <f>'Input Lighting Control Measures'!L61</f>
        <v/>
      </c>
    </row>
    <row r="360" spans="1:17" x14ac:dyDescent="0.2">
      <c r="A360" s="15" t="s">
        <v>6294</v>
      </c>
      <c r="B360" s="14">
        <f t="shared" si="9"/>
        <v>0</v>
      </c>
      <c r="C360" s="14">
        <f>'Input Lighting Control Measures'!B62</f>
        <v>58</v>
      </c>
      <c r="D360" s="14" t="str">
        <f>'Input Lighting Control Measures'!C62</f>
        <v/>
      </c>
      <c r="E360" s="14" t="s">
        <v>6295</v>
      </c>
      <c r="F360" s="16">
        <f>1</f>
        <v>1</v>
      </c>
      <c r="G360" s="16" t="str">
        <f>'Input Lighting Control Measures'!M62</f>
        <v/>
      </c>
      <c r="H360" s="104" t="str">
        <f>'Input Lighting Control Measures'!N62</f>
        <v/>
      </c>
      <c r="I360" s="45" t="str">
        <f>IFERROR(Q360*MIN(Table_Measure_Caps[[#Totals],[Estimated Raw Incentive Total]], Table_Measure_Caps[[#Totals],[Gross Measure Cost Total]], Value_Project_CAP)/Table_Measure_Caps[[#Totals],[Estimated Raw Incentive Total]], "")</f>
        <v/>
      </c>
      <c r="J360" s="45">
        <f>'Input Lighting Control Measures'!I62</f>
        <v>0</v>
      </c>
      <c r="K360" s="14">
        <f>'Input Lighting Control Measures'!J62</f>
        <v>0</v>
      </c>
      <c r="L360" s="15" t="e">
        <f>'Input Lighting Control Measures'!W62</f>
        <v>#N/A</v>
      </c>
      <c r="M360" s="17">
        <f>'Input Lighting Control Measures'!H62</f>
        <v>0</v>
      </c>
      <c r="N360" s="15">
        <f>'Input Lighting Control Measures'!H62</f>
        <v>0</v>
      </c>
      <c r="O360" s="31" t="str">
        <f t="shared" si="10"/>
        <v>Version 4.1 - 2026</v>
      </c>
      <c r="P360" s="89">
        <f>'Input Lighting Control Measures'!E62</f>
        <v>0</v>
      </c>
      <c r="Q360" s="42" t="str">
        <f>'Input Lighting Control Measures'!L62</f>
        <v/>
      </c>
    </row>
    <row r="361" spans="1:17" x14ac:dyDescent="0.2">
      <c r="A361" s="15" t="s">
        <v>6294</v>
      </c>
      <c r="B361" s="14">
        <f t="shared" si="9"/>
        <v>0</v>
      </c>
      <c r="C361" s="14">
        <f>'Input Lighting Control Measures'!B63</f>
        <v>59</v>
      </c>
      <c r="D361" s="14" t="str">
        <f>'Input Lighting Control Measures'!C63</f>
        <v/>
      </c>
      <c r="E361" s="14" t="s">
        <v>6295</v>
      </c>
      <c r="F361" s="16">
        <f>1</f>
        <v>1</v>
      </c>
      <c r="G361" s="16" t="str">
        <f>'Input Lighting Control Measures'!M63</f>
        <v/>
      </c>
      <c r="H361" s="104" t="str">
        <f>'Input Lighting Control Measures'!N63</f>
        <v/>
      </c>
      <c r="I361" s="45" t="str">
        <f>IFERROR(Q361*MIN(Table_Measure_Caps[[#Totals],[Estimated Raw Incentive Total]], Table_Measure_Caps[[#Totals],[Gross Measure Cost Total]], Value_Project_CAP)/Table_Measure_Caps[[#Totals],[Estimated Raw Incentive Total]], "")</f>
        <v/>
      </c>
      <c r="J361" s="45">
        <f>'Input Lighting Control Measures'!I63</f>
        <v>0</v>
      </c>
      <c r="K361" s="14">
        <f>'Input Lighting Control Measures'!J63</f>
        <v>0</v>
      </c>
      <c r="L361" s="15" t="e">
        <f>'Input Lighting Control Measures'!W63</f>
        <v>#N/A</v>
      </c>
      <c r="M361" s="17">
        <f>'Input Lighting Control Measures'!H63</f>
        <v>0</v>
      </c>
      <c r="N361" s="15">
        <f>'Input Lighting Control Measures'!H63</f>
        <v>0</v>
      </c>
      <c r="O361" s="31" t="str">
        <f t="shared" si="10"/>
        <v>Version 4.1 - 2026</v>
      </c>
      <c r="P361" s="89">
        <f>'Input Lighting Control Measures'!E63</f>
        <v>0</v>
      </c>
      <c r="Q361" s="42" t="str">
        <f>'Input Lighting Control Measures'!L63</f>
        <v/>
      </c>
    </row>
    <row r="362" spans="1:17" x14ac:dyDescent="0.2">
      <c r="A362" s="15" t="s">
        <v>6294</v>
      </c>
      <c r="B362" s="14">
        <f t="shared" si="9"/>
        <v>0</v>
      </c>
      <c r="C362" s="14">
        <f>'Input Lighting Control Measures'!B64</f>
        <v>60</v>
      </c>
      <c r="D362" s="14" t="str">
        <f>'Input Lighting Control Measures'!C64</f>
        <v/>
      </c>
      <c r="E362" s="14" t="s">
        <v>6295</v>
      </c>
      <c r="F362" s="16">
        <f>1</f>
        <v>1</v>
      </c>
      <c r="G362" s="16" t="str">
        <f>'Input Lighting Control Measures'!M64</f>
        <v/>
      </c>
      <c r="H362" s="104" t="str">
        <f>'Input Lighting Control Measures'!N64</f>
        <v/>
      </c>
      <c r="I362" s="45" t="str">
        <f>IFERROR(Q362*MIN(Table_Measure_Caps[[#Totals],[Estimated Raw Incentive Total]], Table_Measure_Caps[[#Totals],[Gross Measure Cost Total]], Value_Project_CAP)/Table_Measure_Caps[[#Totals],[Estimated Raw Incentive Total]], "")</f>
        <v/>
      </c>
      <c r="J362" s="45">
        <f>'Input Lighting Control Measures'!I64</f>
        <v>0</v>
      </c>
      <c r="K362" s="14">
        <f>'Input Lighting Control Measures'!J64</f>
        <v>0</v>
      </c>
      <c r="L362" s="15" t="e">
        <f>'Input Lighting Control Measures'!W64</f>
        <v>#N/A</v>
      </c>
      <c r="M362" s="17">
        <f>'Input Lighting Control Measures'!H64</f>
        <v>0</v>
      </c>
      <c r="N362" s="15">
        <f>'Input Lighting Control Measures'!H64</f>
        <v>0</v>
      </c>
      <c r="O362" s="31" t="str">
        <f t="shared" si="10"/>
        <v>Version 4.1 - 2026</v>
      </c>
      <c r="P362" s="89">
        <f>'Input Lighting Control Measures'!E64</f>
        <v>0</v>
      </c>
      <c r="Q362" s="42" t="str">
        <f>'Input Lighting Control Measures'!L64</f>
        <v/>
      </c>
    </row>
    <row r="363" spans="1:17" x14ac:dyDescent="0.2">
      <c r="A363" s="15" t="s">
        <v>6294</v>
      </c>
      <c r="B363" s="14">
        <f t="shared" si="9"/>
        <v>0</v>
      </c>
      <c r="C363" s="14">
        <f>'Input Lighting Control Measures'!B65</f>
        <v>61</v>
      </c>
      <c r="D363" s="14" t="str">
        <f>'Input Lighting Control Measures'!C65</f>
        <v/>
      </c>
      <c r="E363" s="14" t="s">
        <v>6295</v>
      </c>
      <c r="F363" s="16">
        <f>1</f>
        <v>1</v>
      </c>
      <c r="G363" s="16" t="str">
        <f>'Input Lighting Control Measures'!M65</f>
        <v/>
      </c>
      <c r="H363" s="104" t="str">
        <f>'Input Lighting Control Measures'!N65</f>
        <v/>
      </c>
      <c r="I363" s="45" t="str">
        <f>IFERROR(Q363*MIN(Table_Measure_Caps[[#Totals],[Estimated Raw Incentive Total]], Table_Measure_Caps[[#Totals],[Gross Measure Cost Total]], Value_Project_CAP)/Table_Measure_Caps[[#Totals],[Estimated Raw Incentive Total]], "")</f>
        <v/>
      </c>
      <c r="J363" s="45">
        <f>'Input Lighting Control Measures'!I65</f>
        <v>0</v>
      </c>
      <c r="K363" s="14">
        <f>'Input Lighting Control Measures'!J65</f>
        <v>0</v>
      </c>
      <c r="L363" s="15" t="e">
        <f>'Input Lighting Control Measures'!W65</f>
        <v>#N/A</v>
      </c>
      <c r="M363" s="17">
        <f>'Input Lighting Control Measures'!H65</f>
        <v>0</v>
      </c>
      <c r="N363" s="15">
        <f>'Input Lighting Control Measures'!H65</f>
        <v>0</v>
      </c>
      <c r="O363" s="31" t="str">
        <f t="shared" si="10"/>
        <v>Version 4.1 - 2026</v>
      </c>
      <c r="P363" s="89">
        <f>'Input Lighting Control Measures'!E65</f>
        <v>0</v>
      </c>
      <c r="Q363" s="42" t="str">
        <f>'Input Lighting Control Measures'!L65</f>
        <v/>
      </c>
    </row>
    <row r="364" spans="1:17" x14ac:dyDescent="0.2">
      <c r="A364" s="15" t="s">
        <v>6294</v>
      </c>
      <c r="B364" s="14">
        <f t="shared" si="9"/>
        <v>0</v>
      </c>
      <c r="C364" s="14">
        <f>'Input Lighting Control Measures'!B66</f>
        <v>62</v>
      </c>
      <c r="D364" s="14" t="str">
        <f>'Input Lighting Control Measures'!C66</f>
        <v/>
      </c>
      <c r="E364" s="14" t="s">
        <v>6295</v>
      </c>
      <c r="F364" s="16">
        <f>1</f>
        <v>1</v>
      </c>
      <c r="G364" s="16" t="str">
        <f>'Input Lighting Control Measures'!M66</f>
        <v/>
      </c>
      <c r="H364" s="104" t="str">
        <f>'Input Lighting Control Measures'!N66</f>
        <v/>
      </c>
      <c r="I364" s="45" t="str">
        <f>IFERROR(Q364*MIN(Table_Measure_Caps[[#Totals],[Estimated Raw Incentive Total]], Table_Measure_Caps[[#Totals],[Gross Measure Cost Total]], Value_Project_CAP)/Table_Measure_Caps[[#Totals],[Estimated Raw Incentive Total]], "")</f>
        <v/>
      </c>
      <c r="J364" s="45">
        <f>'Input Lighting Control Measures'!I66</f>
        <v>0</v>
      </c>
      <c r="K364" s="14">
        <f>'Input Lighting Control Measures'!J66</f>
        <v>0</v>
      </c>
      <c r="L364" s="15" t="e">
        <f>'Input Lighting Control Measures'!W66</f>
        <v>#N/A</v>
      </c>
      <c r="M364" s="17">
        <f>'Input Lighting Control Measures'!H66</f>
        <v>0</v>
      </c>
      <c r="N364" s="15">
        <f>'Input Lighting Control Measures'!H66</f>
        <v>0</v>
      </c>
      <c r="O364" s="31" t="str">
        <f t="shared" si="10"/>
        <v>Version 4.1 - 2026</v>
      </c>
      <c r="P364" s="89">
        <f>'Input Lighting Control Measures'!E66</f>
        <v>0</v>
      </c>
      <c r="Q364" s="42" t="str">
        <f>'Input Lighting Control Measures'!L66</f>
        <v/>
      </c>
    </row>
    <row r="365" spans="1:17" x14ac:dyDescent="0.2">
      <c r="A365" s="15" t="s">
        <v>6294</v>
      </c>
      <c r="B365" s="14">
        <f t="shared" si="9"/>
        <v>0</v>
      </c>
      <c r="C365" s="14">
        <f>'Input Lighting Control Measures'!B67</f>
        <v>63</v>
      </c>
      <c r="D365" s="14" t="str">
        <f>'Input Lighting Control Measures'!C67</f>
        <v/>
      </c>
      <c r="E365" s="14" t="s">
        <v>6295</v>
      </c>
      <c r="F365" s="16">
        <f>1</f>
        <v>1</v>
      </c>
      <c r="G365" s="16" t="str">
        <f>'Input Lighting Control Measures'!M67</f>
        <v/>
      </c>
      <c r="H365" s="104" t="str">
        <f>'Input Lighting Control Measures'!N67</f>
        <v/>
      </c>
      <c r="I365" s="45" t="str">
        <f>IFERROR(Q365*MIN(Table_Measure_Caps[[#Totals],[Estimated Raw Incentive Total]], Table_Measure_Caps[[#Totals],[Gross Measure Cost Total]], Value_Project_CAP)/Table_Measure_Caps[[#Totals],[Estimated Raw Incentive Total]], "")</f>
        <v/>
      </c>
      <c r="J365" s="45">
        <f>'Input Lighting Control Measures'!I67</f>
        <v>0</v>
      </c>
      <c r="K365" s="14">
        <f>'Input Lighting Control Measures'!J67</f>
        <v>0</v>
      </c>
      <c r="L365" s="15" t="e">
        <f>'Input Lighting Control Measures'!W67</f>
        <v>#N/A</v>
      </c>
      <c r="M365" s="17">
        <f>'Input Lighting Control Measures'!H67</f>
        <v>0</v>
      </c>
      <c r="N365" s="15">
        <f>'Input Lighting Control Measures'!H67</f>
        <v>0</v>
      </c>
      <c r="O365" s="31" t="str">
        <f t="shared" si="10"/>
        <v>Version 4.1 - 2026</v>
      </c>
      <c r="P365" s="89">
        <f>'Input Lighting Control Measures'!E67</f>
        <v>0</v>
      </c>
      <c r="Q365" s="42" t="str">
        <f>'Input Lighting Control Measures'!L67</f>
        <v/>
      </c>
    </row>
    <row r="366" spans="1:17" x14ac:dyDescent="0.2">
      <c r="A366" s="15" t="s">
        <v>6294</v>
      </c>
      <c r="B366" s="14">
        <f t="shared" si="9"/>
        <v>0</v>
      </c>
      <c r="C366" s="14">
        <f>'Input Lighting Control Measures'!B68</f>
        <v>64</v>
      </c>
      <c r="D366" s="14" t="str">
        <f>'Input Lighting Control Measures'!C68</f>
        <v/>
      </c>
      <c r="E366" s="14" t="s">
        <v>6295</v>
      </c>
      <c r="F366" s="16">
        <f>1</f>
        <v>1</v>
      </c>
      <c r="G366" s="16" t="str">
        <f>'Input Lighting Control Measures'!M68</f>
        <v/>
      </c>
      <c r="H366" s="104" t="str">
        <f>'Input Lighting Control Measures'!N68</f>
        <v/>
      </c>
      <c r="I366" s="45" t="str">
        <f>IFERROR(Q366*MIN(Table_Measure_Caps[[#Totals],[Estimated Raw Incentive Total]], Table_Measure_Caps[[#Totals],[Gross Measure Cost Total]], Value_Project_CAP)/Table_Measure_Caps[[#Totals],[Estimated Raw Incentive Total]], "")</f>
        <v/>
      </c>
      <c r="J366" s="45">
        <f>'Input Lighting Control Measures'!I68</f>
        <v>0</v>
      </c>
      <c r="K366" s="14">
        <f>'Input Lighting Control Measures'!J68</f>
        <v>0</v>
      </c>
      <c r="L366" s="15" t="e">
        <f>'Input Lighting Control Measures'!W68</f>
        <v>#N/A</v>
      </c>
      <c r="M366" s="17">
        <f>'Input Lighting Control Measures'!H68</f>
        <v>0</v>
      </c>
      <c r="N366" s="15">
        <f>'Input Lighting Control Measures'!H68</f>
        <v>0</v>
      </c>
      <c r="O366" s="31" t="str">
        <f t="shared" si="10"/>
        <v>Version 4.1 - 2026</v>
      </c>
      <c r="P366" s="89">
        <f>'Input Lighting Control Measures'!E68</f>
        <v>0</v>
      </c>
      <c r="Q366" s="42" t="str">
        <f>'Input Lighting Control Measures'!L68</f>
        <v/>
      </c>
    </row>
    <row r="367" spans="1:17" x14ac:dyDescent="0.2">
      <c r="A367" s="15" t="s">
        <v>6294</v>
      </c>
      <c r="B367" s="14">
        <f t="shared" si="9"/>
        <v>0</v>
      </c>
      <c r="C367" s="14">
        <f>'Input Lighting Control Measures'!B69</f>
        <v>65</v>
      </c>
      <c r="D367" s="14" t="str">
        <f>'Input Lighting Control Measures'!C69</f>
        <v/>
      </c>
      <c r="E367" s="14" t="s">
        <v>6295</v>
      </c>
      <c r="F367" s="16">
        <f>1</f>
        <v>1</v>
      </c>
      <c r="G367" s="16" t="str">
        <f>'Input Lighting Control Measures'!M69</f>
        <v/>
      </c>
      <c r="H367" s="104" t="str">
        <f>'Input Lighting Control Measures'!N69</f>
        <v/>
      </c>
      <c r="I367" s="45" t="str">
        <f>IFERROR(Q367*MIN(Table_Measure_Caps[[#Totals],[Estimated Raw Incentive Total]], Table_Measure_Caps[[#Totals],[Gross Measure Cost Total]], Value_Project_CAP)/Table_Measure_Caps[[#Totals],[Estimated Raw Incentive Total]], "")</f>
        <v/>
      </c>
      <c r="J367" s="45">
        <f>'Input Lighting Control Measures'!I69</f>
        <v>0</v>
      </c>
      <c r="K367" s="14">
        <f>'Input Lighting Control Measures'!J69</f>
        <v>0</v>
      </c>
      <c r="L367" s="15" t="e">
        <f>'Input Lighting Control Measures'!W69</f>
        <v>#N/A</v>
      </c>
      <c r="M367" s="17">
        <f>'Input Lighting Control Measures'!H69</f>
        <v>0</v>
      </c>
      <c r="N367" s="15">
        <f>'Input Lighting Control Measures'!H69</f>
        <v>0</v>
      </c>
      <c r="O367" s="31" t="str">
        <f t="shared" si="10"/>
        <v>Version 4.1 - 2026</v>
      </c>
      <c r="P367" s="89">
        <f>'Input Lighting Control Measures'!E69</f>
        <v>0</v>
      </c>
      <c r="Q367" s="42" t="str">
        <f>'Input Lighting Control Measures'!L69</f>
        <v/>
      </c>
    </row>
    <row r="368" spans="1:17" x14ac:dyDescent="0.2">
      <c r="A368" s="15" t="s">
        <v>6294</v>
      </c>
      <c r="B368" s="14">
        <f t="shared" si="9"/>
        <v>0</v>
      </c>
      <c r="C368" s="14">
        <f>'Input Lighting Control Measures'!B70</f>
        <v>66</v>
      </c>
      <c r="D368" s="14" t="str">
        <f>'Input Lighting Control Measures'!C70</f>
        <v/>
      </c>
      <c r="E368" s="14" t="s">
        <v>6295</v>
      </c>
      <c r="F368" s="16">
        <f>1</f>
        <v>1</v>
      </c>
      <c r="G368" s="16" t="str">
        <f>'Input Lighting Control Measures'!M70</f>
        <v/>
      </c>
      <c r="H368" s="104" t="str">
        <f>'Input Lighting Control Measures'!N70</f>
        <v/>
      </c>
      <c r="I368" s="45" t="str">
        <f>IFERROR(Q368*MIN(Table_Measure_Caps[[#Totals],[Estimated Raw Incentive Total]], Table_Measure_Caps[[#Totals],[Gross Measure Cost Total]], Value_Project_CAP)/Table_Measure_Caps[[#Totals],[Estimated Raw Incentive Total]], "")</f>
        <v/>
      </c>
      <c r="J368" s="45">
        <f>'Input Lighting Control Measures'!I70</f>
        <v>0</v>
      </c>
      <c r="K368" s="14">
        <f>'Input Lighting Control Measures'!J70</f>
        <v>0</v>
      </c>
      <c r="L368" s="15" t="e">
        <f>'Input Lighting Control Measures'!W70</f>
        <v>#N/A</v>
      </c>
      <c r="M368" s="17">
        <f>'Input Lighting Control Measures'!H70</f>
        <v>0</v>
      </c>
      <c r="N368" s="15">
        <f>'Input Lighting Control Measures'!H70</f>
        <v>0</v>
      </c>
      <c r="O368" s="31" t="str">
        <f t="shared" si="10"/>
        <v>Version 4.1 - 2026</v>
      </c>
      <c r="P368" s="89">
        <f>'Input Lighting Control Measures'!E70</f>
        <v>0</v>
      </c>
      <c r="Q368" s="42" t="str">
        <f>'Input Lighting Control Measures'!L70</f>
        <v/>
      </c>
    </row>
    <row r="369" spans="1:17" x14ac:dyDescent="0.2">
      <c r="A369" s="15" t="s">
        <v>6294</v>
      </c>
      <c r="B369" s="14">
        <f t="shared" ref="B369:B432" si="11">Input_ProjectNumber</f>
        <v>0</v>
      </c>
      <c r="C369" s="14">
        <f>'Input Lighting Control Measures'!B71</f>
        <v>67</v>
      </c>
      <c r="D369" s="14" t="str">
        <f>'Input Lighting Control Measures'!C71</f>
        <v/>
      </c>
      <c r="E369" s="14" t="s">
        <v>6295</v>
      </c>
      <c r="F369" s="16">
        <f>1</f>
        <v>1</v>
      </c>
      <c r="G369" s="16" t="str">
        <f>'Input Lighting Control Measures'!M71</f>
        <v/>
      </c>
      <c r="H369" s="104" t="str">
        <f>'Input Lighting Control Measures'!N71</f>
        <v/>
      </c>
      <c r="I369" s="45" t="str">
        <f>IFERROR(Q369*MIN(Table_Measure_Caps[[#Totals],[Estimated Raw Incentive Total]], Table_Measure_Caps[[#Totals],[Gross Measure Cost Total]], Value_Project_CAP)/Table_Measure_Caps[[#Totals],[Estimated Raw Incentive Total]], "")</f>
        <v/>
      </c>
      <c r="J369" s="45">
        <f>'Input Lighting Control Measures'!I71</f>
        <v>0</v>
      </c>
      <c r="K369" s="14">
        <f>'Input Lighting Control Measures'!J71</f>
        <v>0</v>
      </c>
      <c r="L369" s="15" t="e">
        <f>'Input Lighting Control Measures'!W71</f>
        <v>#N/A</v>
      </c>
      <c r="M369" s="17">
        <f>'Input Lighting Control Measures'!H71</f>
        <v>0</v>
      </c>
      <c r="N369" s="15">
        <f>'Input Lighting Control Measures'!H71</f>
        <v>0</v>
      </c>
      <c r="O369" s="31" t="str">
        <f t="shared" si="10"/>
        <v>Version 4.1 - 2026</v>
      </c>
      <c r="P369" s="89">
        <f>'Input Lighting Control Measures'!E71</f>
        <v>0</v>
      </c>
      <c r="Q369" s="42" t="str">
        <f>'Input Lighting Control Measures'!L71</f>
        <v/>
      </c>
    </row>
    <row r="370" spans="1:17" x14ac:dyDescent="0.2">
      <c r="A370" s="15" t="s">
        <v>6294</v>
      </c>
      <c r="B370" s="14">
        <f t="shared" si="11"/>
        <v>0</v>
      </c>
      <c r="C370" s="14">
        <f>'Input Lighting Control Measures'!B72</f>
        <v>68</v>
      </c>
      <c r="D370" s="14" t="str">
        <f>'Input Lighting Control Measures'!C72</f>
        <v/>
      </c>
      <c r="E370" s="14" t="s">
        <v>6295</v>
      </c>
      <c r="F370" s="16">
        <f>1</f>
        <v>1</v>
      </c>
      <c r="G370" s="16" t="str">
        <f>'Input Lighting Control Measures'!M72</f>
        <v/>
      </c>
      <c r="H370" s="104" t="str">
        <f>'Input Lighting Control Measures'!N72</f>
        <v/>
      </c>
      <c r="I370" s="45" t="str">
        <f>IFERROR(Q370*MIN(Table_Measure_Caps[[#Totals],[Estimated Raw Incentive Total]], Table_Measure_Caps[[#Totals],[Gross Measure Cost Total]], Value_Project_CAP)/Table_Measure_Caps[[#Totals],[Estimated Raw Incentive Total]], "")</f>
        <v/>
      </c>
      <c r="J370" s="45">
        <f>'Input Lighting Control Measures'!I72</f>
        <v>0</v>
      </c>
      <c r="K370" s="14">
        <f>'Input Lighting Control Measures'!J72</f>
        <v>0</v>
      </c>
      <c r="L370" s="15" t="e">
        <f>'Input Lighting Control Measures'!W72</f>
        <v>#N/A</v>
      </c>
      <c r="M370" s="17">
        <f>'Input Lighting Control Measures'!H72</f>
        <v>0</v>
      </c>
      <c r="N370" s="15">
        <f>'Input Lighting Control Measures'!H72</f>
        <v>0</v>
      </c>
      <c r="O370" s="31" t="str">
        <f t="shared" si="10"/>
        <v>Version 4.1 - 2026</v>
      </c>
      <c r="P370" s="89">
        <f>'Input Lighting Control Measures'!E72</f>
        <v>0</v>
      </c>
      <c r="Q370" s="42" t="str">
        <f>'Input Lighting Control Measures'!L72</f>
        <v/>
      </c>
    </row>
    <row r="371" spans="1:17" x14ac:dyDescent="0.2">
      <c r="A371" s="15" t="s">
        <v>6294</v>
      </c>
      <c r="B371" s="14">
        <f t="shared" si="11"/>
        <v>0</v>
      </c>
      <c r="C371" s="14">
        <f>'Input Lighting Control Measures'!B73</f>
        <v>69</v>
      </c>
      <c r="D371" s="14" t="str">
        <f>'Input Lighting Control Measures'!C73</f>
        <v/>
      </c>
      <c r="E371" s="14" t="s">
        <v>6295</v>
      </c>
      <c r="F371" s="16">
        <f>1</f>
        <v>1</v>
      </c>
      <c r="G371" s="16" t="str">
        <f>'Input Lighting Control Measures'!M73</f>
        <v/>
      </c>
      <c r="H371" s="104" t="str">
        <f>'Input Lighting Control Measures'!N73</f>
        <v/>
      </c>
      <c r="I371" s="45" t="str">
        <f>IFERROR(Q371*MIN(Table_Measure_Caps[[#Totals],[Estimated Raw Incentive Total]], Table_Measure_Caps[[#Totals],[Gross Measure Cost Total]], Value_Project_CAP)/Table_Measure_Caps[[#Totals],[Estimated Raw Incentive Total]], "")</f>
        <v/>
      </c>
      <c r="J371" s="45">
        <f>'Input Lighting Control Measures'!I73</f>
        <v>0</v>
      </c>
      <c r="K371" s="14">
        <f>'Input Lighting Control Measures'!J73</f>
        <v>0</v>
      </c>
      <c r="L371" s="15" t="e">
        <f>'Input Lighting Control Measures'!W73</f>
        <v>#N/A</v>
      </c>
      <c r="M371" s="17">
        <f>'Input Lighting Control Measures'!H73</f>
        <v>0</v>
      </c>
      <c r="N371" s="15">
        <f>'Input Lighting Control Measures'!H73</f>
        <v>0</v>
      </c>
      <c r="O371" s="31" t="str">
        <f t="shared" si="10"/>
        <v>Version 4.1 - 2026</v>
      </c>
      <c r="P371" s="89">
        <f>'Input Lighting Control Measures'!E73</f>
        <v>0</v>
      </c>
      <c r="Q371" s="42" t="str">
        <f>'Input Lighting Control Measures'!L73</f>
        <v/>
      </c>
    </row>
    <row r="372" spans="1:17" x14ac:dyDescent="0.2">
      <c r="A372" s="15" t="s">
        <v>6294</v>
      </c>
      <c r="B372" s="14">
        <f t="shared" si="11"/>
        <v>0</v>
      </c>
      <c r="C372" s="14">
        <f>'Input Lighting Control Measures'!B74</f>
        <v>70</v>
      </c>
      <c r="D372" s="14" t="str">
        <f>'Input Lighting Control Measures'!C74</f>
        <v/>
      </c>
      <c r="E372" s="14" t="s">
        <v>6295</v>
      </c>
      <c r="F372" s="16">
        <f>1</f>
        <v>1</v>
      </c>
      <c r="G372" s="16" t="str">
        <f>'Input Lighting Control Measures'!M74</f>
        <v/>
      </c>
      <c r="H372" s="104" t="str">
        <f>'Input Lighting Control Measures'!N74</f>
        <v/>
      </c>
      <c r="I372" s="45" t="str">
        <f>IFERROR(Q372*MIN(Table_Measure_Caps[[#Totals],[Estimated Raw Incentive Total]], Table_Measure_Caps[[#Totals],[Gross Measure Cost Total]], Value_Project_CAP)/Table_Measure_Caps[[#Totals],[Estimated Raw Incentive Total]], "")</f>
        <v/>
      </c>
      <c r="J372" s="45">
        <f>'Input Lighting Control Measures'!I74</f>
        <v>0</v>
      </c>
      <c r="K372" s="14">
        <f>'Input Lighting Control Measures'!J74</f>
        <v>0</v>
      </c>
      <c r="L372" s="15" t="e">
        <f>'Input Lighting Control Measures'!W74</f>
        <v>#N/A</v>
      </c>
      <c r="M372" s="17">
        <f>'Input Lighting Control Measures'!H74</f>
        <v>0</v>
      </c>
      <c r="N372" s="15">
        <f>'Input Lighting Control Measures'!H74</f>
        <v>0</v>
      </c>
      <c r="O372" s="31" t="str">
        <f t="shared" si="10"/>
        <v>Version 4.1 - 2026</v>
      </c>
      <c r="P372" s="89">
        <f>'Input Lighting Control Measures'!E74</f>
        <v>0</v>
      </c>
      <c r="Q372" s="42" t="str">
        <f>'Input Lighting Control Measures'!L74</f>
        <v/>
      </c>
    </row>
    <row r="373" spans="1:17" x14ac:dyDescent="0.2">
      <c r="A373" s="15" t="s">
        <v>6294</v>
      </c>
      <c r="B373" s="14">
        <f t="shared" si="11"/>
        <v>0</v>
      </c>
      <c r="C373" s="14">
        <f>'Input Lighting Control Measures'!B75</f>
        <v>71</v>
      </c>
      <c r="D373" s="14" t="str">
        <f>'Input Lighting Control Measures'!C75</f>
        <v/>
      </c>
      <c r="E373" s="14" t="s">
        <v>6295</v>
      </c>
      <c r="F373" s="16">
        <f>1</f>
        <v>1</v>
      </c>
      <c r="G373" s="16" t="str">
        <f>'Input Lighting Control Measures'!M75</f>
        <v/>
      </c>
      <c r="H373" s="104" t="str">
        <f>'Input Lighting Control Measures'!N75</f>
        <v/>
      </c>
      <c r="I373" s="45" t="str">
        <f>IFERROR(Q373*MIN(Table_Measure_Caps[[#Totals],[Estimated Raw Incentive Total]], Table_Measure_Caps[[#Totals],[Gross Measure Cost Total]], Value_Project_CAP)/Table_Measure_Caps[[#Totals],[Estimated Raw Incentive Total]], "")</f>
        <v/>
      </c>
      <c r="J373" s="45">
        <f>'Input Lighting Control Measures'!I75</f>
        <v>0</v>
      </c>
      <c r="K373" s="14">
        <f>'Input Lighting Control Measures'!J75</f>
        <v>0</v>
      </c>
      <c r="L373" s="15" t="e">
        <f>'Input Lighting Control Measures'!W75</f>
        <v>#N/A</v>
      </c>
      <c r="M373" s="17">
        <f>'Input Lighting Control Measures'!H75</f>
        <v>0</v>
      </c>
      <c r="N373" s="15">
        <f>'Input Lighting Control Measures'!H75</f>
        <v>0</v>
      </c>
      <c r="O373" s="31" t="str">
        <f t="shared" si="10"/>
        <v>Version 4.1 - 2026</v>
      </c>
      <c r="P373" s="89">
        <f>'Input Lighting Control Measures'!E75</f>
        <v>0</v>
      </c>
      <c r="Q373" s="42" t="str">
        <f>'Input Lighting Control Measures'!L75</f>
        <v/>
      </c>
    </row>
    <row r="374" spans="1:17" x14ac:dyDescent="0.2">
      <c r="A374" s="15" t="s">
        <v>6294</v>
      </c>
      <c r="B374" s="14">
        <f t="shared" si="11"/>
        <v>0</v>
      </c>
      <c r="C374" s="14">
        <f>'Input Lighting Control Measures'!B76</f>
        <v>72</v>
      </c>
      <c r="D374" s="14" t="str">
        <f>'Input Lighting Control Measures'!C76</f>
        <v/>
      </c>
      <c r="E374" s="14" t="s">
        <v>6295</v>
      </c>
      <c r="F374" s="16">
        <f>1</f>
        <v>1</v>
      </c>
      <c r="G374" s="16" t="str">
        <f>'Input Lighting Control Measures'!M76</f>
        <v/>
      </c>
      <c r="H374" s="104" t="str">
        <f>'Input Lighting Control Measures'!N76</f>
        <v/>
      </c>
      <c r="I374" s="45" t="str">
        <f>IFERROR(Q374*MIN(Table_Measure_Caps[[#Totals],[Estimated Raw Incentive Total]], Table_Measure_Caps[[#Totals],[Gross Measure Cost Total]], Value_Project_CAP)/Table_Measure_Caps[[#Totals],[Estimated Raw Incentive Total]], "")</f>
        <v/>
      </c>
      <c r="J374" s="45">
        <f>'Input Lighting Control Measures'!I76</f>
        <v>0</v>
      </c>
      <c r="K374" s="14">
        <f>'Input Lighting Control Measures'!J76</f>
        <v>0</v>
      </c>
      <c r="L374" s="15" t="e">
        <f>'Input Lighting Control Measures'!W76</f>
        <v>#N/A</v>
      </c>
      <c r="M374" s="17">
        <f>'Input Lighting Control Measures'!H76</f>
        <v>0</v>
      </c>
      <c r="N374" s="15">
        <f>'Input Lighting Control Measures'!H76</f>
        <v>0</v>
      </c>
      <c r="O374" s="31" t="str">
        <f t="shared" si="10"/>
        <v>Version 4.1 - 2026</v>
      </c>
      <c r="P374" s="89">
        <f>'Input Lighting Control Measures'!E76</f>
        <v>0</v>
      </c>
      <c r="Q374" s="42" t="str">
        <f>'Input Lighting Control Measures'!L76</f>
        <v/>
      </c>
    </row>
    <row r="375" spans="1:17" x14ac:dyDescent="0.2">
      <c r="A375" s="15" t="s">
        <v>6294</v>
      </c>
      <c r="B375" s="14">
        <f t="shared" si="11"/>
        <v>0</v>
      </c>
      <c r="C375" s="14">
        <f>'Input Lighting Control Measures'!B77</f>
        <v>73</v>
      </c>
      <c r="D375" s="14" t="str">
        <f>'Input Lighting Control Measures'!C77</f>
        <v/>
      </c>
      <c r="E375" s="14" t="s">
        <v>6295</v>
      </c>
      <c r="F375" s="16">
        <f>1</f>
        <v>1</v>
      </c>
      <c r="G375" s="16" t="str">
        <f>'Input Lighting Control Measures'!M77</f>
        <v/>
      </c>
      <c r="H375" s="104" t="str">
        <f>'Input Lighting Control Measures'!N77</f>
        <v/>
      </c>
      <c r="I375" s="45" t="str">
        <f>IFERROR(Q375*MIN(Table_Measure_Caps[[#Totals],[Estimated Raw Incentive Total]], Table_Measure_Caps[[#Totals],[Gross Measure Cost Total]], Value_Project_CAP)/Table_Measure_Caps[[#Totals],[Estimated Raw Incentive Total]], "")</f>
        <v/>
      </c>
      <c r="J375" s="45">
        <f>'Input Lighting Control Measures'!I77</f>
        <v>0</v>
      </c>
      <c r="K375" s="14">
        <f>'Input Lighting Control Measures'!J77</f>
        <v>0</v>
      </c>
      <c r="L375" s="15" t="e">
        <f>'Input Lighting Control Measures'!W77</f>
        <v>#N/A</v>
      </c>
      <c r="M375" s="17">
        <f>'Input Lighting Control Measures'!H77</f>
        <v>0</v>
      </c>
      <c r="N375" s="15">
        <f>'Input Lighting Control Measures'!H77</f>
        <v>0</v>
      </c>
      <c r="O375" s="31" t="str">
        <f t="shared" si="10"/>
        <v>Version 4.1 - 2026</v>
      </c>
      <c r="P375" s="89">
        <f>'Input Lighting Control Measures'!E77</f>
        <v>0</v>
      </c>
      <c r="Q375" s="42" t="str">
        <f>'Input Lighting Control Measures'!L77</f>
        <v/>
      </c>
    </row>
    <row r="376" spans="1:17" x14ac:dyDescent="0.2">
      <c r="A376" s="15" t="s">
        <v>6294</v>
      </c>
      <c r="B376" s="14">
        <f t="shared" si="11"/>
        <v>0</v>
      </c>
      <c r="C376" s="14">
        <f>'Input Lighting Control Measures'!B78</f>
        <v>74</v>
      </c>
      <c r="D376" s="14" t="str">
        <f>'Input Lighting Control Measures'!C78</f>
        <v/>
      </c>
      <c r="E376" s="14" t="s">
        <v>6295</v>
      </c>
      <c r="F376" s="16">
        <f>1</f>
        <v>1</v>
      </c>
      <c r="G376" s="16" t="str">
        <f>'Input Lighting Control Measures'!M78</f>
        <v/>
      </c>
      <c r="H376" s="104" t="str">
        <f>'Input Lighting Control Measures'!N78</f>
        <v/>
      </c>
      <c r="I376" s="45" t="str">
        <f>IFERROR(Q376*MIN(Table_Measure_Caps[[#Totals],[Estimated Raw Incentive Total]], Table_Measure_Caps[[#Totals],[Gross Measure Cost Total]], Value_Project_CAP)/Table_Measure_Caps[[#Totals],[Estimated Raw Incentive Total]], "")</f>
        <v/>
      </c>
      <c r="J376" s="45">
        <f>'Input Lighting Control Measures'!I78</f>
        <v>0</v>
      </c>
      <c r="K376" s="14">
        <f>'Input Lighting Control Measures'!J78</f>
        <v>0</v>
      </c>
      <c r="L376" s="15" t="e">
        <f>'Input Lighting Control Measures'!W78</f>
        <v>#N/A</v>
      </c>
      <c r="M376" s="17">
        <f>'Input Lighting Control Measures'!H78</f>
        <v>0</v>
      </c>
      <c r="N376" s="15">
        <f>'Input Lighting Control Measures'!H78</f>
        <v>0</v>
      </c>
      <c r="O376" s="31" t="str">
        <f t="shared" si="10"/>
        <v>Version 4.1 - 2026</v>
      </c>
      <c r="P376" s="89">
        <f>'Input Lighting Control Measures'!E78</f>
        <v>0</v>
      </c>
      <c r="Q376" s="42" t="str">
        <f>'Input Lighting Control Measures'!L78</f>
        <v/>
      </c>
    </row>
    <row r="377" spans="1:17" x14ac:dyDescent="0.2">
      <c r="A377" s="15" t="s">
        <v>6294</v>
      </c>
      <c r="B377" s="14">
        <f t="shared" si="11"/>
        <v>0</v>
      </c>
      <c r="C377" s="14">
        <f>'Input Lighting Control Measures'!B79</f>
        <v>75</v>
      </c>
      <c r="D377" s="14" t="str">
        <f>'Input Lighting Control Measures'!C79</f>
        <v/>
      </c>
      <c r="E377" s="14" t="s">
        <v>6295</v>
      </c>
      <c r="F377" s="16">
        <f>1</f>
        <v>1</v>
      </c>
      <c r="G377" s="16" t="str">
        <f>'Input Lighting Control Measures'!M79</f>
        <v/>
      </c>
      <c r="H377" s="104" t="str">
        <f>'Input Lighting Control Measures'!N79</f>
        <v/>
      </c>
      <c r="I377" s="45" t="str">
        <f>IFERROR(Q377*MIN(Table_Measure_Caps[[#Totals],[Estimated Raw Incentive Total]], Table_Measure_Caps[[#Totals],[Gross Measure Cost Total]], Value_Project_CAP)/Table_Measure_Caps[[#Totals],[Estimated Raw Incentive Total]], "")</f>
        <v/>
      </c>
      <c r="J377" s="45">
        <f>'Input Lighting Control Measures'!I79</f>
        <v>0</v>
      </c>
      <c r="K377" s="14">
        <f>'Input Lighting Control Measures'!J79</f>
        <v>0</v>
      </c>
      <c r="L377" s="15" t="e">
        <f>'Input Lighting Control Measures'!W79</f>
        <v>#N/A</v>
      </c>
      <c r="M377" s="17">
        <f>'Input Lighting Control Measures'!H79</f>
        <v>0</v>
      </c>
      <c r="N377" s="15">
        <f>'Input Lighting Control Measures'!H79</f>
        <v>0</v>
      </c>
      <c r="O377" s="31" t="str">
        <f t="shared" si="10"/>
        <v>Version 4.1 - 2026</v>
      </c>
      <c r="P377" s="89">
        <f>'Input Lighting Control Measures'!E79</f>
        <v>0</v>
      </c>
      <c r="Q377" s="42" t="str">
        <f>'Input Lighting Control Measures'!L79</f>
        <v/>
      </c>
    </row>
    <row r="378" spans="1:17" x14ac:dyDescent="0.2">
      <c r="A378" s="15" t="s">
        <v>6294</v>
      </c>
      <c r="B378" s="14">
        <f t="shared" si="11"/>
        <v>0</v>
      </c>
      <c r="C378" s="14">
        <f>'Input Lighting Control Measures'!B80</f>
        <v>76</v>
      </c>
      <c r="D378" s="14" t="str">
        <f>'Input Lighting Control Measures'!C80</f>
        <v/>
      </c>
      <c r="E378" s="14" t="s">
        <v>6295</v>
      </c>
      <c r="F378" s="16">
        <f>1</f>
        <v>1</v>
      </c>
      <c r="G378" s="16" t="str">
        <f>'Input Lighting Control Measures'!M80</f>
        <v/>
      </c>
      <c r="H378" s="104" t="str">
        <f>'Input Lighting Control Measures'!N80</f>
        <v/>
      </c>
      <c r="I378" s="45" t="str">
        <f>IFERROR(Q378*MIN(Table_Measure_Caps[[#Totals],[Estimated Raw Incentive Total]], Table_Measure_Caps[[#Totals],[Gross Measure Cost Total]], Value_Project_CAP)/Table_Measure_Caps[[#Totals],[Estimated Raw Incentive Total]], "")</f>
        <v/>
      </c>
      <c r="J378" s="45">
        <f>'Input Lighting Control Measures'!I80</f>
        <v>0</v>
      </c>
      <c r="K378" s="14">
        <f>'Input Lighting Control Measures'!J80</f>
        <v>0</v>
      </c>
      <c r="L378" s="15" t="e">
        <f>'Input Lighting Control Measures'!W80</f>
        <v>#N/A</v>
      </c>
      <c r="M378" s="17">
        <f>'Input Lighting Control Measures'!H80</f>
        <v>0</v>
      </c>
      <c r="N378" s="15">
        <f>'Input Lighting Control Measures'!H80</f>
        <v>0</v>
      </c>
      <c r="O378" s="31" t="str">
        <f t="shared" si="10"/>
        <v>Version 4.1 - 2026</v>
      </c>
      <c r="P378" s="89">
        <f>'Input Lighting Control Measures'!E80</f>
        <v>0</v>
      </c>
      <c r="Q378" s="42" t="str">
        <f>'Input Lighting Control Measures'!L80</f>
        <v/>
      </c>
    </row>
    <row r="379" spans="1:17" x14ac:dyDescent="0.2">
      <c r="A379" s="15" t="s">
        <v>6294</v>
      </c>
      <c r="B379" s="14">
        <f t="shared" si="11"/>
        <v>0</v>
      </c>
      <c r="C379" s="14">
        <f>'Input Lighting Control Measures'!B81</f>
        <v>77</v>
      </c>
      <c r="D379" s="14" t="str">
        <f>'Input Lighting Control Measures'!C81</f>
        <v/>
      </c>
      <c r="E379" s="14" t="s">
        <v>6295</v>
      </c>
      <c r="F379" s="16">
        <f>1</f>
        <v>1</v>
      </c>
      <c r="G379" s="16" t="str">
        <f>'Input Lighting Control Measures'!M81</f>
        <v/>
      </c>
      <c r="H379" s="104" t="str">
        <f>'Input Lighting Control Measures'!N81</f>
        <v/>
      </c>
      <c r="I379" s="45" t="str">
        <f>IFERROR(Q379*MIN(Table_Measure_Caps[[#Totals],[Estimated Raw Incentive Total]], Table_Measure_Caps[[#Totals],[Gross Measure Cost Total]], Value_Project_CAP)/Table_Measure_Caps[[#Totals],[Estimated Raw Incentive Total]], "")</f>
        <v/>
      </c>
      <c r="J379" s="45">
        <f>'Input Lighting Control Measures'!I81</f>
        <v>0</v>
      </c>
      <c r="K379" s="14">
        <f>'Input Lighting Control Measures'!J81</f>
        <v>0</v>
      </c>
      <c r="L379" s="15" t="e">
        <f>'Input Lighting Control Measures'!W81</f>
        <v>#N/A</v>
      </c>
      <c r="M379" s="17">
        <f>'Input Lighting Control Measures'!H81</f>
        <v>0</v>
      </c>
      <c r="N379" s="15">
        <f>'Input Lighting Control Measures'!H81</f>
        <v>0</v>
      </c>
      <c r="O379" s="31" t="str">
        <f t="shared" si="10"/>
        <v>Version 4.1 - 2026</v>
      </c>
      <c r="P379" s="89">
        <f>'Input Lighting Control Measures'!E81</f>
        <v>0</v>
      </c>
      <c r="Q379" s="42" t="str">
        <f>'Input Lighting Control Measures'!L81</f>
        <v/>
      </c>
    </row>
    <row r="380" spans="1:17" x14ac:dyDescent="0.2">
      <c r="A380" s="15" t="s">
        <v>6294</v>
      </c>
      <c r="B380" s="14">
        <f t="shared" si="11"/>
        <v>0</v>
      </c>
      <c r="C380" s="14">
        <f>'Input Lighting Control Measures'!B82</f>
        <v>78</v>
      </c>
      <c r="D380" s="14" t="str">
        <f>'Input Lighting Control Measures'!C82</f>
        <v/>
      </c>
      <c r="E380" s="14" t="s">
        <v>6295</v>
      </c>
      <c r="F380" s="16">
        <f>1</f>
        <v>1</v>
      </c>
      <c r="G380" s="16" t="str">
        <f>'Input Lighting Control Measures'!M82</f>
        <v/>
      </c>
      <c r="H380" s="104" t="str">
        <f>'Input Lighting Control Measures'!N82</f>
        <v/>
      </c>
      <c r="I380" s="45" t="str">
        <f>IFERROR(Q380*MIN(Table_Measure_Caps[[#Totals],[Estimated Raw Incentive Total]], Table_Measure_Caps[[#Totals],[Gross Measure Cost Total]], Value_Project_CAP)/Table_Measure_Caps[[#Totals],[Estimated Raw Incentive Total]], "")</f>
        <v/>
      </c>
      <c r="J380" s="45">
        <f>'Input Lighting Control Measures'!I82</f>
        <v>0</v>
      </c>
      <c r="K380" s="14">
        <f>'Input Lighting Control Measures'!J82</f>
        <v>0</v>
      </c>
      <c r="L380" s="15" t="e">
        <f>'Input Lighting Control Measures'!W82</f>
        <v>#N/A</v>
      </c>
      <c r="M380" s="17">
        <f>'Input Lighting Control Measures'!H82</f>
        <v>0</v>
      </c>
      <c r="N380" s="15">
        <f>'Input Lighting Control Measures'!H82</f>
        <v>0</v>
      </c>
      <c r="O380" s="31" t="str">
        <f t="shared" si="10"/>
        <v>Version 4.1 - 2026</v>
      </c>
      <c r="P380" s="89">
        <f>'Input Lighting Control Measures'!E82</f>
        <v>0</v>
      </c>
      <c r="Q380" s="42" t="str">
        <f>'Input Lighting Control Measures'!L82</f>
        <v/>
      </c>
    </row>
    <row r="381" spans="1:17" x14ac:dyDescent="0.2">
      <c r="A381" s="15" t="s">
        <v>6294</v>
      </c>
      <c r="B381" s="14">
        <f t="shared" si="11"/>
        <v>0</v>
      </c>
      <c r="C381" s="14">
        <f>'Input Lighting Control Measures'!B83</f>
        <v>79</v>
      </c>
      <c r="D381" s="14" t="str">
        <f>'Input Lighting Control Measures'!C83</f>
        <v/>
      </c>
      <c r="E381" s="14" t="s">
        <v>6295</v>
      </c>
      <c r="F381" s="16">
        <f>1</f>
        <v>1</v>
      </c>
      <c r="G381" s="16" t="str">
        <f>'Input Lighting Control Measures'!M83</f>
        <v/>
      </c>
      <c r="H381" s="104" t="str">
        <f>'Input Lighting Control Measures'!N83</f>
        <v/>
      </c>
      <c r="I381" s="45" t="str">
        <f>IFERROR(Q381*MIN(Table_Measure_Caps[[#Totals],[Estimated Raw Incentive Total]], Table_Measure_Caps[[#Totals],[Gross Measure Cost Total]], Value_Project_CAP)/Table_Measure_Caps[[#Totals],[Estimated Raw Incentive Total]], "")</f>
        <v/>
      </c>
      <c r="J381" s="45">
        <f>'Input Lighting Control Measures'!I83</f>
        <v>0</v>
      </c>
      <c r="K381" s="14">
        <f>'Input Lighting Control Measures'!J83</f>
        <v>0</v>
      </c>
      <c r="L381" s="15" t="e">
        <f>'Input Lighting Control Measures'!W83</f>
        <v>#N/A</v>
      </c>
      <c r="M381" s="17">
        <f>'Input Lighting Control Measures'!H83</f>
        <v>0</v>
      </c>
      <c r="N381" s="15">
        <f>'Input Lighting Control Measures'!H83</f>
        <v>0</v>
      </c>
      <c r="O381" s="31" t="str">
        <f t="shared" si="10"/>
        <v>Version 4.1 - 2026</v>
      </c>
      <c r="P381" s="89">
        <f>'Input Lighting Control Measures'!E83</f>
        <v>0</v>
      </c>
      <c r="Q381" s="42" t="str">
        <f>'Input Lighting Control Measures'!L83</f>
        <v/>
      </c>
    </row>
    <row r="382" spans="1:17" x14ac:dyDescent="0.2">
      <c r="A382" s="15" t="s">
        <v>6294</v>
      </c>
      <c r="B382" s="14">
        <f t="shared" si="11"/>
        <v>0</v>
      </c>
      <c r="C382" s="14">
        <f>'Input Lighting Control Measures'!B84</f>
        <v>80</v>
      </c>
      <c r="D382" s="14" t="str">
        <f>'Input Lighting Control Measures'!C84</f>
        <v/>
      </c>
      <c r="E382" s="14" t="s">
        <v>6295</v>
      </c>
      <c r="F382" s="16">
        <f>1</f>
        <v>1</v>
      </c>
      <c r="G382" s="16" t="str">
        <f>'Input Lighting Control Measures'!M84</f>
        <v/>
      </c>
      <c r="H382" s="104" t="str">
        <f>'Input Lighting Control Measures'!N84</f>
        <v/>
      </c>
      <c r="I382" s="45" t="str">
        <f>IFERROR(Q382*MIN(Table_Measure_Caps[[#Totals],[Estimated Raw Incentive Total]], Table_Measure_Caps[[#Totals],[Gross Measure Cost Total]], Value_Project_CAP)/Table_Measure_Caps[[#Totals],[Estimated Raw Incentive Total]], "")</f>
        <v/>
      </c>
      <c r="J382" s="45">
        <f>'Input Lighting Control Measures'!I84</f>
        <v>0</v>
      </c>
      <c r="K382" s="14">
        <f>'Input Lighting Control Measures'!J84</f>
        <v>0</v>
      </c>
      <c r="L382" s="15" t="e">
        <f>'Input Lighting Control Measures'!W84</f>
        <v>#N/A</v>
      </c>
      <c r="M382" s="17">
        <f>'Input Lighting Control Measures'!H84</f>
        <v>0</v>
      </c>
      <c r="N382" s="15">
        <f>'Input Lighting Control Measures'!H84</f>
        <v>0</v>
      </c>
      <c r="O382" s="31" t="str">
        <f t="shared" si="10"/>
        <v>Version 4.1 - 2026</v>
      </c>
      <c r="P382" s="89">
        <f>'Input Lighting Control Measures'!E84</f>
        <v>0</v>
      </c>
      <c r="Q382" s="42" t="str">
        <f>'Input Lighting Control Measures'!L84</f>
        <v/>
      </c>
    </row>
    <row r="383" spans="1:17" x14ac:dyDescent="0.2">
      <c r="A383" s="15" t="s">
        <v>6294</v>
      </c>
      <c r="B383" s="14">
        <f t="shared" si="11"/>
        <v>0</v>
      </c>
      <c r="C383" s="14">
        <f>'Input Lighting Control Measures'!B85</f>
        <v>81</v>
      </c>
      <c r="D383" s="14" t="str">
        <f>'Input Lighting Control Measures'!C85</f>
        <v/>
      </c>
      <c r="E383" s="14" t="s">
        <v>6295</v>
      </c>
      <c r="F383" s="16">
        <f>1</f>
        <v>1</v>
      </c>
      <c r="G383" s="16" t="str">
        <f>'Input Lighting Control Measures'!M85</f>
        <v/>
      </c>
      <c r="H383" s="104" t="str">
        <f>'Input Lighting Control Measures'!N85</f>
        <v/>
      </c>
      <c r="I383" s="45" t="str">
        <f>IFERROR(Q383*MIN(Table_Measure_Caps[[#Totals],[Estimated Raw Incentive Total]], Table_Measure_Caps[[#Totals],[Gross Measure Cost Total]], Value_Project_CAP)/Table_Measure_Caps[[#Totals],[Estimated Raw Incentive Total]], "")</f>
        <v/>
      </c>
      <c r="J383" s="45">
        <f>'Input Lighting Control Measures'!I85</f>
        <v>0</v>
      </c>
      <c r="K383" s="14">
        <f>'Input Lighting Control Measures'!J85</f>
        <v>0</v>
      </c>
      <c r="L383" s="15" t="e">
        <f>'Input Lighting Control Measures'!W85</f>
        <v>#N/A</v>
      </c>
      <c r="M383" s="17">
        <f>'Input Lighting Control Measures'!H85</f>
        <v>0</v>
      </c>
      <c r="N383" s="15">
        <f>'Input Lighting Control Measures'!H85</f>
        <v>0</v>
      </c>
      <c r="O383" s="31" t="str">
        <f t="shared" si="10"/>
        <v>Version 4.1 - 2026</v>
      </c>
      <c r="P383" s="89">
        <f>'Input Lighting Control Measures'!E85</f>
        <v>0</v>
      </c>
      <c r="Q383" s="42" t="str">
        <f>'Input Lighting Control Measures'!L85</f>
        <v/>
      </c>
    </row>
    <row r="384" spans="1:17" x14ac:dyDescent="0.2">
      <c r="A384" s="15" t="s">
        <v>6294</v>
      </c>
      <c r="B384" s="14">
        <f t="shared" si="11"/>
        <v>0</v>
      </c>
      <c r="C384" s="14">
        <f>'Input Lighting Control Measures'!B86</f>
        <v>82</v>
      </c>
      <c r="D384" s="14" t="str">
        <f>'Input Lighting Control Measures'!C86</f>
        <v/>
      </c>
      <c r="E384" s="14" t="s">
        <v>6295</v>
      </c>
      <c r="F384" s="16">
        <f>1</f>
        <v>1</v>
      </c>
      <c r="G384" s="16" t="str">
        <f>'Input Lighting Control Measures'!M86</f>
        <v/>
      </c>
      <c r="H384" s="104" t="str">
        <f>'Input Lighting Control Measures'!N86</f>
        <v/>
      </c>
      <c r="I384" s="45" t="str">
        <f>IFERROR(Q384*MIN(Table_Measure_Caps[[#Totals],[Estimated Raw Incentive Total]], Table_Measure_Caps[[#Totals],[Gross Measure Cost Total]], Value_Project_CAP)/Table_Measure_Caps[[#Totals],[Estimated Raw Incentive Total]], "")</f>
        <v/>
      </c>
      <c r="J384" s="45">
        <f>'Input Lighting Control Measures'!I86</f>
        <v>0</v>
      </c>
      <c r="K384" s="14">
        <f>'Input Lighting Control Measures'!J86</f>
        <v>0</v>
      </c>
      <c r="L384" s="15" t="e">
        <f>'Input Lighting Control Measures'!W86</f>
        <v>#N/A</v>
      </c>
      <c r="M384" s="17">
        <f>'Input Lighting Control Measures'!H86</f>
        <v>0</v>
      </c>
      <c r="N384" s="15">
        <f>'Input Lighting Control Measures'!H86</f>
        <v>0</v>
      </c>
      <c r="O384" s="31" t="str">
        <f t="shared" si="10"/>
        <v>Version 4.1 - 2026</v>
      </c>
      <c r="P384" s="89">
        <f>'Input Lighting Control Measures'!E86</f>
        <v>0</v>
      </c>
      <c r="Q384" s="42" t="str">
        <f>'Input Lighting Control Measures'!L86</f>
        <v/>
      </c>
    </row>
    <row r="385" spans="1:17" x14ac:dyDescent="0.2">
      <c r="A385" s="15" t="s">
        <v>6294</v>
      </c>
      <c r="B385" s="14">
        <f t="shared" si="11"/>
        <v>0</v>
      </c>
      <c r="C385" s="14">
        <f>'Input Lighting Control Measures'!B87</f>
        <v>83</v>
      </c>
      <c r="D385" s="14" t="str">
        <f>'Input Lighting Control Measures'!C87</f>
        <v/>
      </c>
      <c r="E385" s="14" t="s">
        <v>6295</v>
      </c>
      <c r="F385" s="16">
        <f>1</f>
        <v>1</v>
      </c>
      <c r="G385" s="16" t="str">
        <f>'Input Lighting Control Measures'!M87</f>
        <v/>
      </c>
      <c r="H385" s="104" t="str">
        <f>'Input Lighting Control Measures'!N87</f>
        <v/>
      </c>
      <c r="I385" s="45" t="str">
        <f>IFERROR(Q385*MIN(Table_Measure_Caps[[#Totals],[Estimated Raw Incentive Total]], Table_Measure_Caps[[#Totals],[Gross Measure Cost Total]], Value_Project_CAP)/Table_Measure_Caps[[#Totals],[Estimated Raw Incentive Total]], "")</f>
        <v/>
      </c>
      <c r="J385" s="45">
        <f>'Input Lighting Control Measures'!I87</f>
        <v>0</v>
      </c>
      <c r="K385" s="14">
        <f>'Input Lighting Control Measures'!J87</f>
        <v>0</v>
      </c>
      <c r="L385" s="15" t="e">
        <f>'Input Lighting Control Measures'!W87</f>
        <v>#N/A</v>
      </c>
      <c r="M385" s="17">
        <f>'Input Lighting Control Measures'!H87</f>
        <v>0</v>
      </c>
      <c r="N385" s="15">
        <f>'Input Lighting Control Measures'!H87</f>
        <v>0</v>
      </c>
      <c r="O385" s="31" t="str">
        <f t="shared" si="10"/>
        <v>Version 4.1 - 2026</v>
      </c>
      <c r="P385" s="89">
        <f>'Input Lighting Control Measures'!E87</f>
        <v>0</v>
      </c>
      <c r="Q385" s="42" t="str">
        <f>'Input Lighting Control Measures'!L87</f>
        <v/>
      </c>
    </row>
    <row r="386" spans="1:17" x14ac:dyDescent="0.2">
      <c r="A386" s="15" t="s">
        <v>6294</v>
      </c>
      <c r="B386" s="14">
        <f t="shared" si="11"/>
        <v>0</v>
      </c>
      <c r="C386" s="14">
        <f>'Input Lighting Control Measures'!B88</f>
        <v>84</v>
      </c>
      <c r="D386" s="14" t="str">
        <f>'Input Lighting Control Measures'!C88</f>
        <v/>
      </c>
      <c r="E386" s="14" t="s">
        <v>6295</v>
      </c>
      <c r="F386" s="16">
        <f>1</f>
        <v>1</v>
      </c>
      <c r="G386" s="16" t="str">
        <f>'Input Lighting Control Measures'!M88</f>
        <v/>
      </c>
      <c r="H386" s="104" t="str">
        <f>'Input Lighting Control Measures'!N88</f>
        <v/>
      </c>
      <c r="I386" s="45" t="str">
        <f>IFERROR(Q386*MIN(Table_Measure_Caps[[#Totals],[Estimated Raw Incentive Total]], Table_Measure_Caps[[#Totals],[Gross Measure Cost Total]], Value_Project_CAP)/Table_Measure_Caps[[#Totals],[Estimated Raw Incentive Total]], "")</f>
        <v/>
      </c>
      <c r="J386" s="45">
        <f>'Input Lighting Control Measures'!I88</f>
        <v>0</v>
      </c>
      <c r="K386" s="14">
        <f>'Input Lighting Control Measures'!J88</f>
        <v>0</v>
      </c>
      <c r="L386" s="15" t="e">
        <f>'Input Lighting Control Measures'!W88</f>
        <v>#N/A</v>
      </c>
      <c r="M386" s="17">
        <f>'Input Lighting Control Measures'!H88</f>
        <v>0</v>
      </c>
      <c r="N386" s="15">
        <f>'Input Lighting Control Measures'!H88</f>
        <v>0</v>
      </c>
      <c r="O386" s="31" t="str">
        <f t="shared" ref="O386:O449" si="12">Value_Application_Version</f>
        <v>Version 4.1 - 2026</v>
      </c>
      <c r="P386" s="89">
        <f>'Input Lighting Control Measures'!E88</f>
        <v>0</v>
      </c>
      <c r="Q386" s="42" t="str">
        <f>'Input Lighting Control Measures'!L88</f>
        <v/>
      </c>
    </row>
    <row r="387" spans="1:17" x14ac:dyDescent="0.2">
      <c r="A387" s="15" t="s">
        <v>6294</v>
      </c>
      <c r="B387" s="14">
        <f t="shared" si="11"/>
        <v>0</v>
      </c>
      <c r="C387" s="14">
        <f>'Input Lighting Control Measures'!B89</f>
        <v>85</v>
      </c>
      <c r="D387" s="14" t="str">
        <f>'Input Lighting Control Measures'!C89</f>
        <v/>
      </c>
      <c r="E387" s="14" t="s">
        <v>6295</v>
      </c>
      <c r="F387" s="16">
        <f>1</f>
        <v>1</v>
      </c>
      <c r="G387" s="16" t="str">
        <f>'Input Lighting Control Measures'!M89</f>
        <v/>
      </c>
      <c r="H387" s="104" t="str">
        <f>'Input Lighting Control Measures'!N89</f>
        <v/>
      </c>
      <c r="I387" s="45" t="str">
        <f>IFERROR(Q387*MIN(Table_Measure_Caps[[#Totals],[Estimated Raw Incentive Total]], Table_Measure_Caps[[#Totals],[Gross Measure Cost Total]], Value_Project_CAP)/Table_Measure_Caps[[#Totals],[Estimated Raw Incentive Total]], "")</f>
        <v/>
      </c>
      <c r="J387" s="45">
        <f>'Input Lighting Control Measures'!I89</f>
        <v>0</v>
      </c>
      <c r="K387" s="14">
        <f>'Input Lighting Control Measures'!J89</f>
        <v>0</v>
      </c>
      <c r="L387" s="15" t="e">
        <f>'Input Lighting Control Measures'!W89</f>
        <v>#N/A</v>
      </c>
      <c r="M387" s="17">
        <f>'Input Lighting Control Measures'!H89</f>
        <v>0</v>
      </c>
      <c r="N387" s="15">
        <f>'Input Lighting Control Measures'!H89</f>
        <v>0</v>
      </c>
      <c r="O387" s="31" t="str">
        <f t="shared" si="12"/>
        <v>Version 4.1 - 2026</v>
      </c>
      <c r="P387" s="89">
        <f>'Input Lighting Control Measures'!E89</f>
        <v>0</v>
      </c>
      <c r="Q387" s="42" t="str">
        <f>'Input Lighting Control Measures'!L89</f>
        <v/>
      </c>
    </row>
    <row r="388" spans="1:17" x14ac:dyDescent="0.2">
      <c r="A388" s="15" t="s">
        <v>6294</v>
      </c>
      <c r="B388" s="14">
        <f t="shared" si="11"/>
        <v>0</v>
      </c>
      <c r="C388" s="14">
        <f>'Input Lighting Control Measures'!B90</f>
        <v>86</v>
      </c>
      <c r="D388" s="14" t="str">
        <f>'Input Lighting Control Measures'!C90</f>
        <v/>
      </c>
      <c r="E388" s="14" t="s">
        <v>6295</v>
      </c>
      <c r="F388" s="16">
        <f>1</f>
        <v>1</v>
      </c>
      <c r="G388" s="16" t="str">
        <f>'Input Lighting Control Measures'!M90</f>
        <v/>
      </c>
      <c r="H388" s="104" t="str">
        <f>'Input Lighting Control Measures'!N90</f>
        <v/>
      </c>
      <c r="I388" s="45" t="str">
        <f>IFERROR(Q388*MIN(Table_Measure_Caps[[#Totals],[Estimated Raw Incentive Total]], Table_Measure_Caps[[#Totals],[Gross Measure Cost Total]], Value_Project_CAP)/Table_Measure_Caps[[#Totals],[Estimated Raw Incentive Total]], "")</f>
        <v/>
      </c>
      <c r="J388" s="45">
        <f>'Input Lighting Control Measures'!I90</f>
        <v>0</v>
      </c>
      <c r="K388" s="14">
        <f>'Input Lighting Control Measures'!J90</f>
        <v>0</v>
      </c>
      <c r="L388" s="15" t="e">
        <f>'Input Lighting Control Measures'!W90</f>
        <v>#N/A</v>
      </c>
      <c r="M388" s="17">
        <f>'Input Lighting Control Measures'!H90</f>
        <v>0</v>
      </c>
      <c r="N388" s="15">
        <f>'Input Lighting Control Measures'!H90</f>
        <v>0</v>
      </c>
      <c r="O388" s="31" t="str">
        <f t="shared" si="12"/>
        <v>Version 4.1 - 2026</v>
      </c>
      <c r="P388" s="89">
        <f>'Input Lighting Control Measures'!E90</f>
        <v>0</v>
      </c>
      <c r="Q388" s="42" t="str">
        <f>'Input Lighting Control Measures'!L90</f>
        <v/>
      </c>
    </row>
    <row r="389" spans="1:17" x14ac:dyDescent="0.2">
      <c r="A389" s="15" t="s">
        <v>6294</v>
      </c>
      <c r="B389" s="14">
        <f t="shared" si="11"/>
        <v>0</v>
      </c>
      <c r="C389" s="14">
        <f>'Input Lighting Control Measures'!B91</f>
        <v>87</v>
      </c>
      <c r="D389" s="14" t="str">
        <f>'Input Lighting Control Measures'!C91</f>
        <v/>
      </c>
      <c r="E389" s="14" t="s">
        <v>6295</v>
      </c>
      <c r="F389" s="16">
        <f>1</f>
        <v>1</v>
      </c>
      <c r="G389" s="16" t="str">
        <f>'Input Lighting Control Measures'!M91</f>
        <v/>
      </c>
      <c r="H389" s="104" t="str">
        <f>'Input Lighting Control Measures'!N91</f>
        <v/>
      </c>
      <c r="I389" s="45" t="str">
        <f>IFERROR(Q389*MIN(Table_Measure_Caps[[#Totals],[Estimated Raw Incentive Total]], Table_Measure_Caps[[#Totals],[Gross Measure Cost Total]], Value_Project_CAP)/Table_Measure_Caps[[#Totals],[Estimated Raw Incentive Total]], "")</f>
        <v/>
      </c>
      <c r="J389" s="45">
        <f>'Input Lighting Control Measures'!I91</f>
        <v>0</v>
      </c>
      <c r="K389" s="14">
        <f>'Input Lighting Control Measures'!J91</f>
        <v>0</v>
      </c>
      <c r="L389" s="15" t="e">
        <f>'Input Lighting Control Measures'!W91</f>
        <v>#N/A</v>
      </c>
      <c r="M389" s="17">
        <f>'Input Lighting Control Measures'!H91</f>
        <v>0</v>
      </c>
      <c r="N389" s="15">
        <f>'Input Lighting Control Measures'!H91</f>
        <v>0</v>
      </c>
      <c r="O389" s="31" t="str">
        <f t="shared" si="12"/>
        <v>Version 4.1 - 2026</v>
      </c>
      <c r="P389" s="89">
        <f>'Input Lighting Control Measures'!E91</f>
        <v>0</v>
      </c>
      <c r="Q389" s="42" t="str">
        <f>'Input Lighting Control Measures'!L91</f>
        <v/>
      </c>
    </row>
    <row r="390" spans="1:17" x14ac:dyDescent="0.2">
      <c r="A390" s="15" t="s">
        <v>6294</v>
      </c>
      <c r="B390" s="14">
        <f t="shared" si="11"/>
        <v>0</v>
      </c>
      <c r="C390" s="14">
        <f>'Input Lighting Control Measures'!B92</f>
        <v>88</v>
      </c>
      <c r="D390" s="14" t="str">
        <f>'Input Lighting Control Measures'!C92</f>
        <v/>
      </c>
      <c r="E390" s="14" t="s">
        <v>6295</v>
      </c>
      <c r="F390" s="16">
        <f>1</f>
        <v>1</v>
      </c>
      <c r="G390" s="16" t="str">
        <f>'Input Lighting Control Measures'!M92</f>
        <v/>
      </c>
      <c r="H390" s="104" t="str">
        <f>'Input Lighting Control Measures'!N92</f>
        <v/>
      </c>
      <c r="I390" s="45" t="str">
        <f>IFERROR(Q390*MIN(Table_Measure_Caps[[#Totals],[Estimated Raw Incentive Total]], Table_Measure_Caps[[#Totals],[Gross Measure Cost Total]], Value_Project_CAP)/Table_Measure_Caps[[#Totals],[Estimated Raw Incentive Total]], "")</f>
        <v/>
      </c>
      <c r="J390" s="45">
        <f>'Input Lighting Control Measures'!I92</f>
        <v>0</v>
      </c>
      <c r="K390" s="14">
        <f>'Input Lighting Control Measures'!J92</f>
        <v>0</v>
      </c>
      <c r="L390" s="15" t="e">
        <f>'Input Lighting Control Measures'!W92</f>
        <v>#N/A</v>
      </c>
      <c r="M390" s="17">
        <f>'Input Lighting Control Measures'!H92</f>
        <v>0</v>
      </c>
      <c r="N390" s="15">
        <f>'Input Lighting Control Measures'!H92</f>
        <v>0</v>
      </c>
      <c r="O390" s="31" t="str">
        <f t="shared" si="12"/>
        <v>Version 4.1 - 2026</v>
      </c>
      <c r="P390" s="89">
        <f>'Input Lighting Control Measures'!E92</f>
        <v>0</v>
      </c>
      <c r="Q390" s="42" t="str">
        <f>'Input Lighting Control Measures'!L92</f>
        <v/>
      </c>
    </row>
    <row r="391" spans="1:17" x14ac:dyDescent="0.2">
      <c r="A391" s="15" t="s">
        <v>6294</v>
      </c>
      <c r="B391" s="14">
        <f t="shared" si="11"/>
        <v>0</v>
      </c>
      <c r="C391" s="14">
        <f>'Input Lighting Control Measures'!B93</f>
        <v>89</v>
      </c>
      <c r="D391" s="14" t="str">
        <f>'Input Lighting Control Measures'!C93</f>
        <v/>
      </c>
      <c r="E391" s="14" t="s">
        <v>6295</v>
      </c>
      <c r="F391" s="16">
        <f>1</f>
        <v>1</v>
      </c>
      <c r="G391" s="16" t="str">
        <f>'Input Lighting Control Measures'!M93</f>
        <v/>
      </c>
      <c r="H391" s="104" t="str">
        <f>'Input Lighting Control Measures'!N93</f>
        <v/>
      </c>
      <c r="I391" s="45" t="str">
        <f>IFERROR(Q391*MIN(Table_Measure_Caps[[#Totals],[Estimated Raw Incentive Total]], Table_Measure_Caps[[#Totals],[Gross Measure Cost Total]], Value_Project_CAP)/Table_Measure_Caps[[#Totals],[Estimated Raw Incentive Total]], "")</f>
        <v/>
      </c>
      <c r="J391" s="45">
        <f>'Input Lighting Control Measures'!I93</f>
        <v>0</v>
      </c>
      <c r="K391" s="14">
        <f>'Input Lighting Control Measures'!J93</f>
        <v>0</v>
      </c>
      <c r="L391" s="15" t="e">
        <f>'Input Lighting Control Measures'!W93</f>
        <v>#N/A</v>
      </c>
      <c r="M391" s="17">
        <f>'Input Lighting Control Measures'!H93</f>
        <v>0</v>
      </c>
      <c r="N391" s="15">
        <f>'Input Lighting Control Measures'!H93</f>
        <v>0</v>
      </c>
      <c r="O391" s="31" t="str">
        <f t="shared" si="12"/>
        <v>Version 4.1 - 2026</v>
      </c>
      <c r="P391" s="89">
        <f>'Input Lighting Control Measures'!E93</f>
        <v>0</v>
      </c>
      <c r="Q391" s="42" t="str">
        <f>'Input Lighting Control Measures'!L93</f>
        <v/>
      </c>
    </row>
    <row r="392" spans="1:17" x14ac:dyDescent="0.2">
      <c r="A392" s="15" t="s">
        <v>6294</v>
      </c>
      <c r="B392" s="14">
        <f t="shared" si="11"/>
        <v>0</v>
      </c>
      <c r="C392" s="14">
        <f>'Input Lighting Control Measures'!B94</f>
        <v>90</v>
      </c>
      <c r="D392" s="14" t="str">
        <f>'Input Lighting Control Measures'!C94</f>
        <v/>
      </c>
      <c r="E392" s="14" t="s">
        <v>6295</v>
      </c>
      <c r="F392" s="16">
        <f>1</f>
        <v>1</v>
      </c>
      <c r="G392" s="16" t="str">
        <f>'Input Lighting Control Measures'!M94</f>
        <v/>
      </c>
      <c r="H392" s="104" t="str">
        <f>'Input Lighting Control Measures'!N94</f>
        <v/>
      </c>
      <c r="I392" s="45" t="str">
        <f>IFERROR(Q392*MIN(Table_Measure_Caps[[#Totals],[Estimated Raw Incentive Total]], Table_Measure_Caps[[#Totals],[Gross Measure Cost Total]], Value_Project_CAP)/Table_Measure_Caps[[#Totals],[Estimated Raw Incentive Total]], "")</f>
        <v/>
      </c>
      <c r="J392" s="45">
        <f>'Input Lighting Control Measures'!I94</f>
        <v>0</v>
      </c>
      <c r="K392" s="14">
        <f>'Input Lighting Control Measures'!J94</f>
        <v>0</v>
      </c>
      <c r="L392" s="15" t="e">
        <f>'Input Lighting Control Measures'!W94</f>
        <v>#N/A</v>
      </c>
      <c r="M392" s="17">
        <f>'Input Lighting Control Measures'!H94</f>
        <v>0</v>
      </c>
      <c r="N392" s="15">
        <f>'Input Lighting Control Measures'!H94</f>
        <v>0</v>
      </c>
      <c r="O392" s="31" t="str">
        <f t="shared" si="12"/>
        <v>Version 4.1 - 2026</v>
      </c>
      <c r="P392" s="89">
        <f>'Input Lighting Control Measures'!E94</f>
        <v>0</v>
      </c>
      <c r="Q392" s="42" t="str">
        <f>'Input Lighting Control Measures'!L94</f>
        <v/>
      </c>
    </row>
    <row r="393" spans="1:17" x14ac:dyDescent="0.2">
      <c r="A393" s="15" t="s">
        <v>6294</v>
      </c>
      <c r="B393" s="14">
        <f t="shared" si="11"/>
        <v>0</v>
      </c>
      <c r="C393" s="14">
        <f>'Input Lighting Control Measures'!B95</f>
        <v>91</v>
      </c>
      <c r="D393" s="14" t="str">
        <f>'Input Lighting Control Measures'!C95</f>
        <v/>
      </c>
      <c r="E393" s="14" t="s">
        <v>6295</v>
      </c>
      <c r="F393" s="16">
        <f>1</f>
        <v>1</v>
      </c>
      <c r="G393" s="16" t="str">
        <f>'Input Lighting Control Measures'!M95</f>
        <v/>
      </c>
      <c r="H393" s="104" t="str">
        <f>'Input Lighting Control Measures'!N95</f>
        <v/>
      </c>
      <c r="I393" s="45" t="str">
        <f>IFERROR(Q393*MIN(Table_Measure_Caps[[#Totals],[Estimated Raw Incentive Total]], Table_Measure_Caps[[#Totals],[Gross Measure Cost Total]], Value_Project_CAP)/Table_Measure_Caps[[#Totals],[Estimated Raw Incentive Total]], "")</f>
        <v/>
      </c>
      <c r="J393" s="45">
        <f>'Input Lighting Control Measures'!I95</f>
        <v>0</v>
      </c>
      <c r="K393" s="14">
        <f>'Input Lighting Control Measures'!J95</f>
        <v>0</v>
      </c>
      <c r="L393" s="15" t="e">
        <f>'Input Lighting Control Measures'!W95</f>
        <v>#N/A</v>
      </c>
      <c r="M393" s="17">
        <f>'Input Lighting Control Measures'!H95</f>
        <v>0</v>
      </c>
      <c r="N393" s="15">
        <f>'Input Lighting Control Measures'!H95</f>
        <v>0</v>
      </c>
      <c r="O393" s="31" t="str">
        <f t="shared" si="12"/>
        <v>Version 4.1 - 2026</v>
      </c>
      <c r="P393" s="89">
        <f>'Input Lighting Control Measures'!E95</f>
        <v>0</v>
      </c>
      <c r="Q393" s="42" t="str">
        <f>'Input Lighting Control Measures'!L95</f>
        <v/>
      </c>
    </row>
    <row r="394" spans="1:17" x14ac:dyDescent="0.2">
      <c r="A394" s="15" t="s">
        <v>6294</v>
      </c>
      <c r="B394" s="14">
        <f t="shared" si="11"/>
        <v>0</v>
      </c>
      <c r="C394" s="14">
        <f>'Input Lighting Control Measures'!B96</f>
        <v>92</v>
      </c>
      <c r="D394" s="14" t="str">
        <f>'Input Lighting Control Measures'!C96</f>
        <v/>
      </c>
      <c r="E394" s="14" t="s">
        <v>6295</v>
      </c>
      <c r="F394" s="16">
        <f>1</f>
        <v>1</v>
      </c>
      <c r="G394" s="16" t="str">
        <f>'Input Lighting Control Measures'!M96</f>
        <v/>
      </c>
      <c r="H394" s="104" t="str">
        <f>'Input Lighting Control Measures'!N96</f>
        <v/>
      </c>
      <c r="I394" s="45" t="str">
        <f>IFERROR(Q394*MIN(Table_Measure_Caps[[#Totals],[Estimated Raw Incentive Total]], Table_Measure_Caps[[#Totals],[Gross Measure Cost Total]], Value_Project_CAP)/Table_Measure_Caps[[#Totals],[Estimated Raw Incentive Total]], "")</f>
        <v/>
      </c>
      <c r="J394" s="45">
        <f>'Input Lighting Control Measures'!I96</f>
        <v>0</v>
      </c>
      <c r="K394" s="14">
        <f>'Input Lighting Control Measures'!J96</f>
        <v>0</v>
      </c>
      <c r="L394" s="15" t="e">
        <f>'Input Lighting Control Measures'!W96</f>
        <v>#N/A</v>
      </c>
      <c r="M394" s="17">
        <f>'Input Lighting Control Measures'!H96</f>
        <v>0</v>
      </c>
      <c r="N394" s="15">
        <f>'Input Lighting Control Measures'!H96</f>
        <v>0</v>
      </c>
      <c r="O394" s="31" t="str">
        <f t="shared" si="12"/>
        <v>Version 4.1 - 2026</v>
      </c>
      <c r="P394" s="89">
        <f>'Input Lighting Control Measures'!E96</f>
        <v>0</v>
      </c>
      <c r="Q394" s="42" t="str">
        <f>'Input Lighting Control Measures'!L96</f>
        <v/>
      </c>
    </row>
    <row r="395" spans="1:17" x14ac:dyDescent="0.2">
      <c r="A395" s="15" t="s">
        <v>6294</v>
      </c>
      <c r="B395" s="14">
        <f t="shared" si="11"/>
        <v>0</v>
      </c>
      <c r="C395" s="14">
        <f>'Input Lighting Control Measures'!B97</f>
        <v>93</v>
      </c>
      <c r="D395" s="14" t="str">
        <f>'Input Lighting Control Measures'!C97</f>
        <v/>
      </c>
      <c r="E395" s="14" t="s">
        <v>6295</v>
      </c>
      <c r="F395" s="16">
        <f>1</f>
        <v>1</v>
      </c>
      <c r="G395" s="16" t="str">
        <f>'Input Lighting Control Measures'!M97</f>
        <v/>
      </c>
      <c r="H395" s="104" t="str">
        <f>'Input Lighting Control Measures'!N97</f>
        <v/>
      </c>
      <c r="I395" s="45" t="str">
        <f>IFERROR(Q395*MIN(Table_Measure_Caps[[#Totals],[Estimated Raw Incentive Total]], Table_Measure_Caps[[#Totals],[Gross Measure Cost Total]], Value_Project_CAP)/Table_Measure_Caps[[#Totals],[Estimated Raw Incentive Total]], "")</f>
        <v/>
      </c>
      <c r="J395" s="45">
        <f>'Input Lighting Control Measures'!I97</f>
        <v>0</v>
      </c>
      <c r="K395" s="14">
        <f>'Input Lighting Control Measures'!J97</f>
        <v>0</v>
      </c>
      <c r="L395" s="15" t="e">
        <f>'Input Lighting Control Measures'!W97</f>
        <v>#N/A</v>
      </c>
      <c r="M395" s="17">
        <f>'Input Lighting Control Measures'!H97</f>
        <v>0</v>
      </c>
      <c r="N395" s="15">
        <f>'Input Lighting Control Measures'!H97</f>
        <v>0</v>
      </c>
      <c r="O395" s="31" t="str">
        <f t="shared" si="12"/>
        <v>Version 4.1 - 2026</v>
      </c>
      <c r="P395" s="89">
        <f>'Input Lighting Control Measures'!E97</f>
        <v>0</v>
      </c>
      <c r="Q395" s="42" t="str">
        <f>'Input Lighting Control Measures'!L97</f>
        <v/>
      </c>
    </row>
    <row r="396" spans="1:17" x14ac:dyDescent="0.2">
      <c r="A396" s="15" t="s">
        <v>6294</v>
      </c>
      <c r="B396" s="14">
        <f t="shared" si="11"/>
        <v>0</v>
      </c>
      <c r="C396" s="14">
        <f>'Input Lighting Control Measures'!B98</f>
        <v>94</v>
      </c>
      <c r="D396" s="14" t="str">
        <f>'Input Lighting Control Measures'!C98</f>
        <v/>
      </c>
      <c r="E396" s="14" t="s">
        <v>6295</v>
      </c>
      <c r="F396" s="16">
        <f>1</f>
        <v>1</v>
      </c>
      <c r="G396" s="16" t="str">
        <f>'Input Lighting Control Measures'!M98</f>
        <v/>
      </c>
      <c r="H396" s="104" t="str">
        <f>'Input Lighting Control Measures'!N98</f>
        <v/>
      </c>
      <c r="I396" s="45" t="str">
        <f>IFERROR(Q396*MIN(Table_Measure_Caps[[#Totals],[Estimated Raw Incentive Total]], Table_Measure_Caps[[#Totals],[Gross Measure Cost Total]], Value_Project_CAP)/Table_Measure_Caps[[#Totals],[Estimated Raw Incentive Total]], "")</f>
        <v/>
      </c>
      <c r="J396" s="45">
        <f>'Input Lighting Control Measures'!I98</f>
        <v>0</v>
      </c>
      <c r="K396" s="14">
        <f>'Input Lighting Control Measures'!J98</f>
        <v>0</v>
      </c>
      <c r="L396" s="15" t="e">
        <f>'Input Lighting Control Measures'!W98</f>
        <v>#N/A</v>
      </c>
      <c r="M396" s="17">
        <f>'Input Lighting Control Measures'!H98</f>
        <v>0</v>
      </c>
      <c r="N396" s="15">
        <f>'Input Lighting Control Measures'!H98</f>
        <v>0</v>
      </c>
      <c r="O396" s="31" t="str">
        <f t="shared" si="12"/>
        <v>Version 4.1 - 2026</v>
      </c>
      <c r="P396" s="89">
        <f>'Input Lighting Control Measures'!E98</f>
        <v>0</v>
      </c>
      <c r="Q396" s="42" t="str">
        <f>'Input Lighting Control Measures'!L98</f>
        <v/>
      </c>
    </row>
    <row r="397" spans="1:17" x14ac:dyDescent="0.2">
      <c r="A397" s="15" t="s">
        <v>6294</v>
      </c>
      <c r="B397" s="14">
        <f t="shared" si="11"/>
        <v>0</v>
      </c>
      <c r="C397" s="14">
        <f>'Input Lighting Control Measures'!B99</f>
        <v>95</v>
      </c>
      <c r="D397" s="14" t="str">
        <f>'Input Lighting Control Measures'!C99</f>
        <v/>
      </c>
      <c r="E397" s="14" t="s">
        <v>6295</v>
      </c>
      <c r="F397" s="16">
        <f>1</f>
        <v>1</v>
      </c>
      <c r="G397" s="16" t="str">
        <f>'Input Lighting Control Measures'!M99</f>
        <v/>
      </c>
      <c r="H397" s="104" t="str">
        <f>'Input Lighting Control Measures'!N99</f>
        <v/>
      </c>
      <c r="I397" s="45" t="str">
        <f>IFERROR(Q397*MIN(Table_Measure_Caps[[#Totals],[Estimated Raw Incentive Total]], Table_Measure_Caps[[#Totals],[Gross Measure Cost Total]], Value_Project_CAP)/Table_Measure_Caps[[#Totals],[Estimated Raw Incentive Total]], "")</f>
        <v/>
      </c>
      <c r="J397" s="45">
        <f>'Input Lighting Control Measures'!I99</f>
        <v>0</v>
      </c>
      <c r="K397" s="14">
        <f>'Input Lighting Control Measures'!J99</f>
        <v>0</v>
      </c>
      <c r="L397" s="15" t="e">
        <f>'Input Lighting Control Measures'!W99</f>
        <v>#N/A</v>
      </c>
      <c r="M397" s="17">
        <f>'Input Lighting Control Measures'!H99</f>
        <v>0</v>
      </c>
      <c r="N397" s="15">
        <f>'Input Lighting Control Measures'!H99</f>
        <v>0</v>
      </c>
      <c r="O397" s="31" t="str">
        <f t="shared" si="12"/>
        <v>Version 4.1 - 2026</v>
      </c>
      <c r="P397" s="89">
        <f>'Input Lighting Control Measures'!E99</f>
        <v>0</v>
      </c>
      <c r="Q397" s="42" t="str">
        <f>'Input Lighting Control Measures'!L99</f>
        <v/>
      </c>
    </row>
    <row r="398" spans="1:17" x14ac:dyDescent="0.2">
      <c r="A398" s="15" t="s">
        <v>6294</v>
      </c>
      <c r="B398" s="14">
        <f t="shared" si="11"/>
        <v>0</v>
      </c>
      <c r="C398" s="14">
        <f>'Input Lighting Control Measures'!B100</f>
        <v>96</v>
      </c>
      <c r="D398" s="14" t="str">
        <f>'Input Lighting Control Measures'!C100</f>
        <v/>
      </c>
      <c r="E398" s="14" t="s">
        <v>6295</v>
      </c>
      <c r="F398" s="16">
        <f>1</f>
        <v>1</v>
      </c>
      <c r="G398" s="16" t="str">
        <f>'Input Lighting Control Measures'!M100</f>
        <v/>
      </c>
      <c r="H398" s="104" t="str">
        <f>'Input Lighting Control Measures'!N100</f>
        <v/>
      </c>
      <c r="I398" s="45" t="str">
        <f>IFERROR(Q398*MIN(Table_Measure_Caps[[#Totals],[Estimated Raw Incentive Total]], Table_Measure_Caps[[#Totals],[Gross Measure Cost Total]], Value_Project_CAP)/Table_Measure_Caps[[#Totals],[Estimated Raw Incentive Total]], "")</f>
        <v/>
      </c>
      <c r="J398" s="45">
        <f>'Input Lighting Control Measures'!I100</f>
        <v>0</v>
      </c>
      <c r="K398" s="14">
        <f>'Input Lighting Control Measures'!J100</f>
        <v>0</v>
      </c>
      <c r="L398" s="15" t="e">
        <f>'Input Lighting Control Measures'!W100</f>
        <v>#N/A</v>
      </c>
      <c r="M398" s="17">
        <f>'Input Lighting Control Measures'!H100</f>
        <v>0</v>
      </c>
      <c r="N398" s="15">
        <f>'Input Lighting Control Measures'!H100</f>
        <v>0</v>
      </c>
      <c r="O398" s="31" t="str">
        <f t="shared" si="12"/>
        <v>Version 4.1 - 2026</v>
      </c>
      <c r="P398" s="89">
        <f>'Input Lighting Control Measures'!E100</f>
        <v>0</v>
      </c>
      <c r="Q398" s="42" t="str">
        <f>'Input Lighting Control Measures'!L100</f>
        <v/>
      </c>
    </row>
    <row r="399" spans="1:17" x14ac:dyDescent="0.2">
      <c r="A399" s="15" t="s">
        <v>6294</v>
      </c>
      <c r="B399" s="14">
        <f t="shared" si="11"/>
        <v>0</v>
      </c>
      <c r="C399" s="14">
        <f>'Input Lighting Control Measures'!B101</f>
        <v>97</v>
      </c>
      <c r="D399" s="14" t="str">
        <f>'Input Lighting Control Measures'!C101</f>
        <v/>
      </c>
      <c r="E399" s="14" t="s">
        <v>6295</v>
      </c>
      <c r="F399" s="16">
        <f>1</f>
        <v>1</v>
      </c>
      <c r="G399" s="16" t="str">
        <f>'Input Lighting Control Measures'!M101</f>
        <v/>
      </c>
      <c r="H399" s="104" t="str">
        <f>'Input Lighting Control Measures'!N101</f>
        <v/>
      </c>
      <c r="I399" s="45" t="str">
        <f>IFERROR(Q399*MIN(Table_Measure_Caps[[#Totals],[Estimated Raw Incentive Total]], Table_Measure_Caps[[#Totals],[Gross Measure Cost Total]], Value_Project_CAP)/Table_Measure_Caps[[#Totals],[Estimated Raw Incentive Total]], "")</f>
        <v/>
      </c>
      <c r="J399" s="45">
        <f>'Input Lighting Control Measures'!I101</f>
        <v>0</v>
      </c>
      <c r="K399" s="14">
        <f>'Input Lighting Control Measures'!J101</f>
        <v>0</v>
      </c>
      <c r="L399" s="15" t="e">
        <f>'Input Lighting Control Measures'!W101</f>
        <v>#N/A</v>
      </c>
      <c r="M399" s="17">
        <f>'Input Lighting Control Measures'!H101</f>
        <v>0</v>
      </c>
      <c r="N399" s="15">
        <f>'Input Lighting Control Measures'!H101</f>
        <v>0</v>
      </c>
      <c r="O399" s="31" t="str">
        <f t="shared" si="12"/>
        <v>Version 4.1 - 2026</v>
      </c>
      <c r="P399" s="89">
        <f>'Input Lighting Control Measures'!E101</f>
        <v>0</v>
      </c>
      <c r="Q399" s="42" t="str">
        <f>'Input Lighting Control Measures'!L101</f>
        <v/>
      </c>
    </row>
    <row r="400" spans="1:17" x14ac:dyDescent="0.2">
      <c r="A400" s="15" t="s">
        <v>6294</v>
      </c>
      <c r="B400" s="14">
        <f t="shared" si="11"/>
        <v>0</v>
      </c>
      <c r="C400" s="14">
        <f>'Input Lighting Control Measures'!B102</f>
        <v>98</v>
      </c>
      <c r="D400" s="14" t="str">
        <f>'Input Lighting Control Measures'!C102</f>
        <v/>
      </c>
      <c r="E400" s="14" t="s">
        <v>6295</v>
      </c>
      <c r="F400" s="16">
        <f>1</f>
        <v>1</v>
      </c>
      <c r="G400" s="16" t="str">
        <f>'Input Lighting Control Measures'!M102</f>
        <v/>
      </c>
      <c r="H400" s="104" t="str">
        <f>'Input Lighting Control Measures'!N102</f>
        <v/>
      </c>
      <c r="I400" s="45" t="str">
        <f>IFERROR(Q400*MIN(Table_Measure_Caps[[#Totals],[Estimated Raw Incentive Total]], Table_Measure_Caps[[#Totals],[Gross Measure Cost Total]], Value_Project_CAP)/Table_Measure_Caps[[#Totals],[Estimated Raw Incentive Total]], "")</f>
        <v/>
      </c>
      <c r="J400" s="45">
        <f>'Input Lighting Control Measures'!I102</f>
        <v>0</v>
      </c>
      <c r="K400" s="14">
        <f>'Input Lighting Control Measures'!J102</f>
        <v>0</v>
      </c>
      <c r="L400" s="15" t="e">
        <f>'Input Lighting Control Measures'!W102</f>
        <v>#N/A</v>
      </c>
      <c r="M400" s="17">
        <f>'Input Lighting Control Measures'!H102</f>
        <v>0</v>
      </c>
      <c r="N400" s="15">
        <f>'Input Lighting Control Measures'!H102</f>
        <v>0</v>
      </c>
      <c r="O400" s="31" t="str">
        <f t="shared" si="12"/>
        <v>Version 4.1 - 2026</v>
      </c>
      <c r="P400" s="89">
        <f>'Input Lighting Control Measures'!E102</f>
        <v>0</v>
      </c>
      <c r="Q400" s="42" t="str">
        <f>'Input Lighting Control Measures'!L102</f>
        <v/>
      </c>
    </row>
    <row r="401" spans="1:17" x14ac:dyDescent="0.2">
      <c r="A401" s="15" t="s">
        <v>6294</v>
      </c>
      <c r="B401" s="14">
        <f t="shared" si="11"/>
        <v>0</v>
      </c>
      <c r="C401" s="14">
        <f>'Input Lighting Control Measures'!B103</f>
        <v>99</v>
      </c>
      <c r="D401" s="14" t="str">
        <f>'Input Lighting Control Measures'!C103</f>
        <v/>
      </c>
      <c r="E401" s="14" t="s">
        <v>6295</v>
      </c>
      <c r="F401" s="16">
        <f>1</f>
        <v>1</v>
      </c>
      <c r="G401" s="16" t="str">
        <f>'Input Lighting Control Measures'!M103</f>
        <v/>
      </c>
      <c r="H401" s="104" t="str">
        <f>'Input Lighting Control Measures'!N103</f>
        <v/>
      </c>
      <c r="I401" s="45" t="str">
        <f>IFERROR(Q401*MIN(Table_Measure_Caps[[#Totals],[Estimated Raw Incentive Total]], Table_Measure_Caps[[#Totals],[Gross Measure Cost Total]], Value_Project_CAP)/Table_Measure_Caps[[#Totals],[Estimated Raw Incentive Total]], "")</f>
        <v/>
      </c>
      <c r="J401" s="45">
        <f>'Input Lighting Control Measures'!I103</f>
        <v>0</v>
      </c>
      <c r="K401" s="14">
        <f>'Input Lighting Control Measures'!J103</f>
        <v>0</v>
      </c>
      <c r="L401" s="15" t="e">
        <f>'Input Lighting Control Measures'!W103</f>
        <v>#N/A</v>
      </c>
      <c r="M401" s="17">
        <f>'Input Lighting Control Measures'!H103</f>
        <v>0</v>
      </c>
      <c r="N401" s="15">
        <f>'Input Lighting Control Measures'!H103</f>
        <v>0</v>
      </c>
      <c r="O401" s="31" t="str">
        <f t="shared" si="12"/>
        <v>Version 4.1 - 2026</v>
      </c>
      <c r="P401" s="89">
        <f>'Input Lighting Control Measures'!E103</f>
        <v>0</v>
      </c>
      <c r="Q401" s="42" t="str">
        <f>'Input Lighting Control Measures'!L103</f>
        <v/>
      </c>
    </row>
    <row r="402" spans="1:17" x14ac:dyDescent="0.2">
      <c r="A402" s="15" t="s">
        <v>6294</v>
      </c>
      <c r="B402" s="14">
        <f t="shared" si="11"/>
        <v>0</v>
      </c>
      <c r="C402" s="14">
        <f>'Input Lighting Control Measures'!B104</f>
        <v>100</v>
      </c>
      <c r="D402" s="14" t="str">
        <f>'Input Lighting Control Measures'!C104</f>
        <v/>
      </c>
      <c r="E402" s="14" t="s">
        <v>6295</v>
      </c>
      <c r="F402" s="16">
        <f>1</f>
        <v>1</v>
      </c>
      <c r="G402" s="16" t="str">
        <f>'Input Lighting Control Measures'!M104</f>
        <v/>
      </c>
      <c r="H402" s="104" t="str">
        <f>'Input Lighting Control Measures'!N104</f>
        <v/>
      </c>
      <c r="I402" s="45" t="str">
        <f>IFERROR(Q402*MIN(Table_Measure_Caps[[#Totals],[Estimated Raw Incentive Total]], Table_Measure_Caps[[#Totals],[Gross Measure Cost Total]], Value_Project_CAP)/Table_Measure_Caps[[#Totals],[Estimated Raw Incentive Total]], "")</f>
        <v/>
      </c>
      <c r="J402" s="45">
        <f>'Input Lighting Control Measures'!I104</f>
        <v>0</v>
      </c>
      <c r="K402" s="14">
        <f>'Input Lighting Control Measures'!J104</f>
        <v>0</v>
      </c>
      <c r="L402" s="15" t="e">
        <f>'Input Lighting Control Measures'!W104</f>
        <v>#N/A</v>
      </c>
      <c r="M402" s="17">
        <f>'Input Lighting Control Measures'!H104</f>
        <v>0</v>
      </c>
      <c r="N402" s="15">
        <f>'Input Lighting Control Measures'!H104</f>
        <v>0</v>
      </c>
      <c r="O402" s="31" t="str">
        <f t="shared" si="12"/>
        <v>Version 4.1 - 2026</v>
      </c>
      <c r="P402" s="89">
        <f>'Input Lighting Control Measures'!E104</f>
        <v>0</v>
      </c>
      <c r="Q402" s="42" t="str">
        <f>'Input Lighting Control Measures'!L104</f>
        <v/>
      </c>
    </row>
    <row r="403" spans="1:17" x14ac:dyDescent="0.2">
      <c r="A403" s="15" t="s">
        <v>6294</v>
      </c>
      <c r="B403" s="14">
        <f t="shared" si="11"/>
        <v>0</v>
      </c>
      <c r="C403" s="14">
        <f>'Input Lighting Control Measures'!B105</f>
        <v>101</v>
      </c>
      <c r="D403" s="14" t="str">
        <f>'Input Lighting Control Measures'!C105</f>
        <v/>
      </c>
      <c r="E403" s="14" t="s">
        <v>6295</v>
      </c>
      <c r="F403" s="16">
        <f>1</f>
        <v>1</v>
      </c>
      <c r="G403" s="16" t="str">
        <f>'Input Lighting Control Measures'!M105</f>
        <v/>
      </c>
      <c r="H403" s="104" t="str">
        <f>'Input Lighting Control Measures'!N105</f>
        <v/>
      </c>
      <c r="I403" s="45" t="str">
        <f>IFERROR(Q403*MIN(Table_Measure_Caps[[#Totals],[Estimated Raw Incentive Total]], Table_Measure_Caps[[#Totals],[Gross Measure Cost Total]], Value_Project_CAP)/Table_Measure_Caps[[#Totals],[Estimated Raw Incentive Total]], "")</f>
        <v/>
      </c>
      <c r="J403" s="45">
        <f>'Input Lighting Control Measures'!I105</f>
        <v>0</v>
      </c>
      <c r="K403" s="14">
        <f>'Input Lighting Control Measures'!J105</f>
        <v>0</v>
      </c>
      <c r="L403" s="15" t="e">
        <f>'Input Lighting Control Measures'!W105</f>
        <v>#N/A</v>
      </c>
      <c r="M403" s="17">
        <f>'Input Lighting Control Measures'!H105</f>
        <v>0</v>
      </c>
      <c r="N403" s="15">
        <f>'Input Lighting Control Measures'!H105</f>
        <v>0</v>
      </c>
      <c r="O403" s="31" t="str">
        <f t="shared" si="12"/>
        <v>Version 4.1 - 2026</v>
      </c>
      <c r="P403" s="89">
        <f>'Input Lighting Control Measures'!E105</f>
        <v>0</v>
      </c>
      <c r="Q403" s="42" t="str">
        <f>'Input Lighting Control Measures'!L105</f>
        <v/>
      </c>
    </row>
    <row r="404" spans="1:17" x14ac:dyDescent="0.2">
      <c r="A404" s="15" t="s">
        <v>6294</v>
      </c>
      <c r="B404" s="14">
        <f t="shared" si="11"/>
        <v>0</v>
      </c>
      <c r="C404" s="14">
        <f>'Input Lighting Control Measures'!B106</f>
        <v>102</v>
      </c>
      <c r="D404" s="14" t="str">
        <f>'Input Lighting Control Measures'!C106</f>
        <v/>
      </c>
      <c r="E404" s="14" t="s">
        <v>6295</v>
      </c>
      <c r="F404" s="16">
        <f>1</f>
        <v>1</v>
      </c>
      <c r="G404" s="16" t="str">
        <f>'Input Lighting Control Measures'!M106</f>
        <v/>
      </c>
      <c r="H404" s="104" t="str">
        <f>'Input Lighting Control Measures'!N106</f>
        <v/>
      </c>
      <c r="I404" s="45" t="str">
        <f>IFERROR(Q404*MIN(Table_Measure_Caps[[#Totals],[Estimated Raw Incentive Total]], Table_Measure_Caps[[#Totals],[Gross Measure Cost Total]], Value_Project_CAP)/Table_Measure_Caps[[#Totals],[Estimated Raw Incentive Total]], "")</f>
        <v/>
      </c>
      <c r="J404" s="45">
        <f>'Input Lighting Control Measures'!I106</f>
        <v>0</v>
      </c>
      <c r="K404" s="14">
        <f>'Input Lighting Control Measures'!J106</f>
        <v>0</v>
      </c>
      <c r="L404" s="15" t="e">
        <f>'Input Lighting Control Measures'!W106</f>
        <v>#N/A</v>
      </c>
      <c r="M404" s="17">
        <f>'Input Lighting Control Measures'!H106</f>
        <v>0</v>
      </c>
      <c r="N404" s="15">
        <f>'Input Lighting Control Measures'!H106</f>
        <v>0</v>
      </c>
      <c r="O404" s="31" t="str">
        <f t="shared" si="12"/>
        <v>Version 4.1 - 2026</v>
      </c>
      <c r="P404" s="89">
        <f>'Input Lighting Control Measures'!E106</f>
        <v>0</v>
      </c>
      <c r="Q404" s="42" t="str">
        <f>'Input Lighting Control Measures'!L106</f>
        <v/>
      </c>
    </row>
    <row r="405" spans="1:17" x14ac:dyDescent="0.2">
      <c r="A405" s="15" t="s">
        <v>6294</v>
      </c>
      <c r="B405" s="14">
        <f t="shared" si="11"/>
        <v>0</v>
      </c>
      <c r="C405" s="14">
        <f>'Input Lighting Control Measures'!B107</f>
        <v>103</v>
      </c>
      <c r="D405" s="14" t="str">
        <f>'Input Lighting Control Measures'!C107</f>
        <v/>
      </c>
      <c r="E405" s="14" t="s">
        <v>6295</v>
      </c>
      <c r="F405" s="16">
        <f>1</f>
        <v>1</v>
      </c>
      <c r="G405" s="16" t="str">
        <f>'Input Lighting Control Measures'!M107</f>
        <v/>
      </c>
      <c r="H405" s="104" t="str">
        <f>'Input Lighting Control Measures'!N107</f>
        <v/>
      </c>
      <c r="I405" s="45" t="str">
        <f>IFERROR(Q405*MIN(Table_Measure_Caps[[#Totals],[Estimated Raw Incentive Total]], Table_Measure_Caps[[#Totals],[Gross Measure Cost Total]], Value_Project_CAP)/Table_Measure_Caps[[#Totals],[Estimated Raw Incentive Total]], "")</f>
        <v/>
      </c>
      <c r="J405" s="45">
        <f>'Input Lighting Control Measures'!I107</f>
        <v>0</v>
      </c>
      <c r="K405" s="14">
        <f>'Input Lighting Control Measures'!J107</f>
        <v>0</v>
      </c>
      <c r="L405" s="15" t="e">
        <f>'Input Lighting Control Measures'!W107</f>
        <v>#N/A</v>
      </c>
      <c r="M405" s="17">
        <f>'Input Lighting Control Measures'!H107</f>
        <v>0</v>
      </c>
      <c r="N405" s="15">
        <f>'Input Lighting Control Measures'!H107</f>
        <v>0</v>
      </c>
      <c r="O405" s="31" t="str">
        <f t="shared" si="12"/>
        <v>Version 4.1 - 2026</v>
      </c>
      <c r="P405" s="89">
        <f>'Input Lighting Control Measures'!E107</f>
        <v>0</v>
      </c>
      <c r="Q405" s="42" t="str">
        <f>'Input Lighting Control Measures'!L107</f>
        <v/>
      </c>
    </row>
    <row r="406" spans="1:17" x14ac:dyDescent="0.2">
      <c r="A406" s="15" t="s">
        <v>6294</v>
      </c>
      <c r="B406" s="14">
        <f t="shared" si="11"/>
        <v>0</v>
      </c>
      <c r="C406" s="14">
        <f>'Input Lighting Control Measures'!B108</f>
        <v>104</v>
      </c>
      <c r="D406" s="14" t="str">
        <f>'Input Lighting Control Measures'!C108</f>
        <v/>
      </c>
      <c r="E406" s="14" t="s">
        <v>6295</v>
      </c>
      <c r="F406" s="16">
        <f>1</f>
        <v>1</v>
      </c>
      <c r="G406" s="16" t="str">
        <f>'Input Lighting Control Measures'!M108</f>
        <v/>
      </c>
      <c r="H406" s="104" t="str">
        <f>'Input Lighting Control Measures'!N108</f>
        <v/>
      </c>
      <c r="I406" s="45" t="str">
        <f>IFERROR(Q406*MIN(Table_Measure_Caps[[#Totals],[Estimated Raw Incentive Total]], Table_Measure_Caps[[#Totals],[Gross Measure Cost Total]], Value_Project_CAP)/Table_Measure_Caps[[#Totals],[Estimated Raw Incentive Total]], "")</f>
        <v/>
      </c>
      <c r="J406" s="45">
        <f>'Input Lighting Control Measures'!I108</f>
        <v>0</v>
      </c>
      <c r="K406" s="14">
        <f>'Input Lighting Control Measures'!J108</f>
        <v>0</v>
      </c>
      <c r="L406" s="15" t="e">
        <f>'Input Lighting Control Measures'!W108</f>
        <v>#N/A</v>
      </c>
      <c r="M406" s="17">
        <f>'Input Lighting Control Measures'!H108</f>
        <v>0</v>
      </c>
      <c r="N406" s="15">
        <f>'Input Lighting Control Measures'!H108</f>
        <v>0</v>
      </c>
      <c r="O406" s="31" t="str">
        <f t="shared" si="12"/>
        <v>Version 4.1 - 2026</v>
      </c>
      <c r="P406" s="89">
        <f>'Input Lighting Control Measures'!E108</f>
        <v>0</v>
      </c>
      <c r="Q406" s="42" t="str">
        <f>'Input Lighting Control Measures'!L108</f>
        <v/>
      </c>
    </row>
    <row r="407" spans="1:17" x14ac:dyDescent="0.2">
      <c r="A407" s="15" t="s">
        <v>6294</v>
      </c>
      <c r="B407" s="14">
        <f t="shared" si="11"/>
        <v>0</v>
      </c>
      <c r="C407" s="14">
        <f>'Input Lighting Control Measures'!B109</f>
        <v>105</v>
      </c>
      <c r="D407" s="14" t="str">
        <f>'Input Lighting Control Measures'!C109</f>
        <v/>
      </c>
      <c r="E407" s="14" t="s">
        <v>6295</v>
      </c>
      <c r="F407" s="16">
        <f>1</f>
        <v>1</v>
      </c>
      <c r="G407" s="16" t="str">
        <f>'Input Lighting Control Measures'!M109</f>
        <v/>
      </c>
      <c r="H407" s="104" t="str">
        <f>'Input Lighting Control Measures'!N109</f>
        <v/>
      </c>
      <c r="I407" s="45" t="str">
        <f>IFERROR(Q407*MIN(Table_Measure_Caps[[#Totals],[Estimated Raw Incentive Total]], Table_Measure_Caps[[#Totals],[Gross Measure Cost Total]], Value_Project_CAP)/Table_Measure_Caps[[#Totals],[Estimated Raw Incentive Total]], "")</f>
        <v/>
      </c>
      <c r="J407" s="45">
        <f>'Input Lighting Control Measures'!I109</f>
        <v>0</v>
      </c>
      <c r="K407" s="14">
        <f>'Input Lighting Control Measures'!J109</f>
        <v>0</v>
      </c>
      <c r="L407" s="15" t="e">
        <f>'Input Lighting Control Measures'!W109</f>
        <v>#N/A</v>
      </c>
      <c r="M407" s="17">
        <f>'Input Lighting Control Measures'!H109</f>
        <v>0</v>
      </c>
      <c r="N407" s="15">
        <f>'Input Lighting Control Measures'!H109</f>
        <v>0</v>
      </c>
      <c r="O407" s="31" t="str">
        <f t="shared" si="12"/>
        <v>Version 4.1 - 2026</v>
      </c>
      <c r="P407" s="89">
        <f>'Input Lighting Control Measures'!E109</f>
        <v>0</v>
      </c>
      <c r="Q407" s="42" t="str">
        <f>'Input Lighting Control Measures'!L109</f>
        <v/>
      </c>
    </row>
    <row r="408" spans="1:17" x14ac:dyDescent="0.2">
      <c r="A408" s="15" t="s">
        <v>6294</v>
      </c>
      <c r="B408" s="14">
        <f t="shared" si="11"/>
        <v>0</v>
      </c>
      <c r="C408" s="14">
        <f>'Input Lighting Control Measures'!B110</f>
        <v>106</v>
      </c>
      <c r="D408" s="14" t="str">
        <f>'Input Lighting Control Measures'!C110</f>
        <v/>
      </c>
      <c r="E408" s="14" t="s">
        <v>6295</v>
      </c>
      <c r="F408" s="16">
        <f>1</f>
        <v>1</v>
      </c>
      <c r="G408" s="16" t="str">
        <f>'Input Lighting Control Measures'!M110</f>
        <v/>
      </c>
      <c r="H408" s="104" t="str">
        <f>'Input Lighting Control Measures'!N110</f>
        <v/>
      </c>
      <c r="I408" s="45" t="str">
        <f>IFERROR(Q408*MIN(Table_Measure_Caps[[#Totals],[Estimated Raw Incentive Total]], Table_Measure_Caps[[#Totals],[Gross Measure Cost Total]], Value_Project_CAP)/Table_Measure_Caps[[#Totals],[Estimated Raw Incentive Total]], "")</f>
        <v/>
      </c>
      <c r="J408" s="45">
        <f>'Input Lighting Control Measures'!I110</f>
        <v>0</v>
      </c>
      <c r="K408" s="14">
        <f>'Input Lighting Control Measures'!J110</f>
        <v>0</v>
      </c>
      <c r="L408" s="15" t="e">
        <f>'Input Lighting Control Measures'!W110</f>
        <v>#N/A</v>
      </c>
      <c r="M408" s="17">
        <f>'Input Lighting Control Measures'!H110</f>
        <v>0</v>
      </c>
      <c r="N408" s="15">
        <f>'Input Lighting Control Measures'!H110</f>
        <v>0</v>
      </c>
      <c r="O408" s="31" t="str">
        <f t="shared" si="12"/>
        <v>Version 4.1 - 2026</v>
      </c>
      <c r="P408" s="89">
        <f>'Input Lighting Control Measures'!E110</f>
        <v>0</v>
      </c>
      <c r="Q408" s="42" t="str">
        <f>'Input Lighting Control Measures'!L110</f>
        <v/>
      </c>
    </row>
    <row r="409" spans="1:17" x14ac:dyDescent="0.2">
      <c r="A409" s="15" t="s">
        <v>6294</v>
      </c>
      <c r="B409" s="14">
        <f t="shared" si="11"/>
        <v>0</v>
      </c>
      <c r="C409" s="14">
        <f>'Input Lighting Control Measures'!B111</f>
        <v>107</v>
      </c>
      <c r="D409" s="14" t="str">
        <f>'Input Lighting Control Measures'!C111</f>
        <v/>
      </c>
      <c r="E409" s="14" t="s">
        <v>6295</v>
      </c>
      <c r="F409" s="16">
        <f>1</f>
        <v>1</v>
      </c>
      <c r="G409" s="16" t="str">
        <f>'Input Lighting Control Measures'!M111</f>
        <v/>
      </c>
      <c r="H409" s="104" t="str">
        <f>'Input Lighting Control Measures'!N111</f>
        <v/>
      </c>
      <c r="I409" s="45" t="str">
        <f>IFERROR(Q409*MIN(Table_Measure_Caps[[#Totals],[Estimated Raw Incentive Total]], Table_Measure_Caps[[#Totals],[Gross Measure Cost Total]], Value_Project_CAP)/Table_Measure_Caps[[#Totals],[Estimated Raw Incentive Total]], "")</f>
        <v/>
      </c>
      <c r="J409" s="45">
        <f>'Input Lighting Control Measures'!I111</f>
        <v>0</v>
      </c>
      <c r="K409" s="14">
        <f>'Input Lighting Control Measures'!J111</f>
        <v>0</v>
      </c>
      <c r="L409" s="15" t="e">
        <f>'Input Lighting Control Measures'!W111</f>
        <v>#N/A</v>
      </c>
      <c r="M409" s="17">
        <f>'Input Lighting Control Measures'!H111</f>
        <v>0</v>
      </c>
      <c r="N409" s="15">
        <f>'Input Lighting Control Measures'!H111</f>
        <v>0</v>
      </c>
      <c r="O409" s="31" t="str">
        <f t="shared" si="12"/>
        <v>Version 4.1 - 2026</v>
      </c>
      <c r="P409" s="89">
        <f>'Input Lighting Control Measures'!E111</f>
        <v>0</v>
      </c>
      <c r="Q409" s="42" t="str">
        <f>'Input Lighting Control Measures'!L111</f>
        <v/>
      </c>
    </row>
    <row r="410" spans="1:17" x14ac:dyDescent="0.2">
      <c r="A410" s="15" t="s">
        <v>6294</v>
      </c>
      <c r="B410" s="14">
        <f t="shared" si="11"/>
        <v>0</v>
      </c>
      <c r="C410" s="14">
        <f>'Input Lighting Control Measures'!B112</f>
        <v>108</v>
      </c>
      <c r="D410" s="14" t="str">
        <f>'Input Lighting Control Measures'!C112</f>
        <v/>
      </c>
      <c r="E410" s="14" t="s">
        <v>6295</v>
      </c>
      <c r="F410" s="16">
        <f>1</f>
        <v>1</v>
      </c>
      <c r="G410" s="16" t="str">
        <f>'Input Lighting Control Measures'!M112</f>
        <v/>
      </c>
      <c r="H410" s="104" t="str">
        <f>'Input Lighting Control Measures'!N112</f>
        <v/>
      </c>
      <c r="I410" s="45" t="str">
        <f>IFERROR(Q410*MIN(Table_Measure_Caps[[#Totals],[Estimated Raw Incentive Total]], Table_Measure_Caps[[#Totals],[Gross Measure Cost Total]], Value_Project_CAP)/Table_Measure_Caps[[#Totals],[Estimated Raw Incentive Total]], "")</f>
        <v/>
      </c>
      <c r="J410" s="45">
        <f>'Input Lighting Control Measures'!I112</f>
        <v>0</v>
      </c>
      <c r="K410" s="14">
        <f>'Input Lighting Control Measures'!J112</f>
        <v>0</v>
      </c>
      <c r="L410" s="15" t="e">
        <f>'Input Lighting Control Measures'!W112</f>
        <v>#N/A</v>
      </c>
      <c r="M410" s="17">
        <f>'Input Lighting Control Measures'!H112</f>
        <v>0</v>
      </c>
      <c r="N410" s="15">
        <f>'Input Lighting Control Measures'!H112</f>
        <v>0</v>
      </c>
      <c r="O410" s="31" t="str">
        <f t="shared" si="12"/>
        <v>Version 4.1 - 2026</v>
      </c>
      <c r="P410" s="89">
        <f>'Input Lighting Control Measures'!E112</f>
        <v>0</v>
      </c>
      <c r="Q410" s="42" t="str">
        <f>'Input Lighting Control Measures'!L112</f>
        <v/>
      </c>
    </row>
    <row r="411" spans="1:17" x14ac:dyDescent="0.2">
      <c r="A411" s="15" t="s">
        <v>6294</v>
      </c>
      <c r="B411" s="14">
        <f t="shared" si="11"/>
        <v>0</v>
      </c>
      <c r="C411" s="14">
        <f>'Input Lighting Control Measures'!B113</f>
        <v>109</v>
      </c>
      <c r="D411" s="14" t="str">
        <f>'Input Lighting Control Measures'!C113</f>
        <v/>
      </c>
      <c r="E411" s="14" t="s">
        <v>6295</v>
      </c>
      <c r="F411" s="16">
        <f>1</f>
        <v>1</v>
      </c>
      <c r="G411" s="16" t="str">
        <f>'Input Lighting Control Measures'!M113</f>
        <v/>
      </c>
      <c r="H411" s="104" t="str">
        <f>'Input Lighting Control Measures'!N113</f>
        <v/>
      </c>
      <c r="I411" s="45" t="str">
        <f>IFERROR(Q411*MIN(Table_Measure_Caps[[#Totals],[Estimated Raw Incentive Total]], Table_Measure_Caps[[#Totals],[Gross Measure Cost Total]], Value_Project_CAP)/Table_Measure_Caps[[#Totals],[Estimated Raw Incentive Total]], "")</f>
        <v/>
      </c>
      <c r="J411" s="45">
        <f>'Input Lighting Control Measures'!I113</f>
        <v>0</v>
      </c>
      <c r="K411" s="14">
        <f>'Input Lighting Control Measures'!J113</f>
        <v>0</v>
      </c>
      <c r="L411" s="15" t="e">
        <f>'Input Lighting Control Measures'!W113</f>
        <v>#N/A</v>
      </c>
      <c r="M411" s="17">
        <f>'Input Lighting Control Measures'!H113</f>
        <v>0</v>
      </c>
      <c r="N411" s="15">
        <f>'Input Lighting Control Measures'!H113</f>
        <v>0</v>
      </c>
      <c r="O411" s="31" t="str">
        <f t="shared" si="12"/>
        <v>Version 4.1 - 2026</v>
      </c>
      <c r="P411" s="89">
        <f>'Input Lighting Control Measures'!E113</f>
        <v>0</v>
      </c>
      <c r="Q411" s="42" t="str">
        <f>'Input Lighting Control Measures'!L113</f>
        <v/>
      </c>
    </row>
    <row r="412" spans="1:17" x14ac:dyDescent="0.2">
      <c r="A412" s="15" t="s">
        <v>6294</v>
      </c>
      <c r="B412" s="14">
        <f t="shared" si="11"/>
        <v>0</v>
      </c>
      <c r="C412" s="14">
        <f>'Input Lighting Control Measures'!B114</f>
        <v>110</v>
      </c>
      <c r="D412" s="14" t="str">
        <f>'Input Lighting Control Measures'!C114</f>
        <v/>
      </c>
      <c r="E412" s="14" t="s">
        <v>6295</v>
      </c>
      <c r="F412" s="16">
        <f>1</f>
        <v>1</v>
      </c>
      <c r="G412" s="16" t="str">
        <f>'Input Lighting Control Measures'!M114</f>
        <v/>
      </c>
      <c r="H412" s="104" t="str">
        <f>'Input Lighting Control Measures'!N114</f>
        <v/>
      </c>
      <c r="I412" s="45" t="str">
        <f>IFERROR(Q412*MIN(Table_Measure_Caps[[#Totals],[Estimated Raw Incentive Total]], Table_Measure_Caps[[#Totals],[Gross Measure Cost Total]], Value_Project_CAP)/Table_Measure_Caps[[#Totals],[Estimated Raw Incentive Total]], "")</f>
        <v/>
      </c>
      <c r="J412" s="45">
        <f>'Input Lighting Control Measures'!I114</f>
        <v>0</v>
      </c>
      <c r="K412" s="14">
        <f>'Input Lighting Control Measures'!J114</f>
        <v>0</v>
      </c>
      <c r="L412" s="15" t="e">
        <f>'Input Lighting Control Measures'!W114</f>
        <v>#N/A</v>
      </c>
      <c r="M412" s="17">
        <f>'Input Lighting Control Measures'!H114</f>
        <v>0</v>
      </c>
      <c r="N412" s="15">
        <f>'Input Lighting Control Measures'!H114</f>
        <v>0</v>
      </c>
      <c r="O412" s="31" t="str">
        <f t="shared" si="12"/>
        <v>Version 4.1 - 2026</v>
      </c>
      <c r="P412" s="89">
        <f>'Input Lighting Control Measures'!E114</f>
        <v>0</v>
      </c>
      <c r="Q412" s="42" t="str">
        <f>'Input Lighting Control Measures'!L114</f>
        <v/>
      </c>
    </row>
    <row r="413" spans="1:17" x14ac:dyDescent="0.2">
      <c r="A413" s="15" t="s">
        <v>6294</v>
      </c>
      <c r="B413" s="14">
        <f t="shared" si="11"/>
        <v>0</v>
      </c>
      <c r="C413" s="14">
        <f>'Input Lighting Control Measures'!B115</f>
        <v>111</v>
      </c>
      <c r="D413" s="14" t="str">
        <f>'Input Lighting Control Measures'!C115</f>
        <v/>
      </c>
      <c r="E413" s="14" t="s">
        <v>6295</v>
      </c>
      <c r="F413" s="16">
        <f>1</f>
        <v>1</v>
      </c>
      <c r="G413" s="16" t="str">
        <f>'Input Lighting Control Measures'!M115</f>
        <v/>
      </c>
      <c r="H413" s="104" t="str">
        <f>'Input Lighting Control Measures'!N115</f>
        <v/>
      </c>
      <c r="I413" s="45" t="str">
        <f>IFERROR(Q413*MIN(Table_Measure_Caps[[#Totals],[Estimated Raw Incentive Total]], Table_Measure_Caps[[#Totals],[Gross Measure Cost Total]], Value_Project_CAP)/Table_Measure_Caps[[#Totals],[Estimated Raw Incentive Total]], "")</f>
        <v/>
      </c>
      <c r="J413" s="45">
        <f>'Input Lighting Control Measures'!I115</f>
        <v>0</v>
      </c>
      <c r="K413" s="14">
        <f>'Input Lighting Control Measures'!J115</f>
        <v>0</v>
      </c>
      <c r="L413" s="15" t="e">
        <f>'Input Lighting Control Measures'!W115</f>
        <v>#N/A</v>
      </c>
      <c r="M413" s="17">
        <f>'Input Lighting Control Measures'!H115</f>
        <v>0</v>
      </c>
      <c r="N413" s="15">
        <f>'Input Lighting Control Measures'!H115</f>
        <v>0</v>
      </c>
      <c r="O413" s="31" t="str">
        <f t="shared" si="12"/>
        <v>Version 4.1 - 2026</v>
      </c>
      <c r="P413" s="89">
        <f>'Input Lighting Control Measures'!E115</f>
        <v>0</v>
      </c>
      <c r="Q413" s="42" t="str">
        <f>'Input Lighting Control Measures'!L115</f>
        <v/>
      </c>
    </row>
    <row r="414" spans="1:17" x14ac:dyDescent="0.2">
      <c r="A414" s="15" t="s">
        <v>6294</v>
      </c>
      <c r="B414" s="14">
        <f t="shared" si="11"/>
        <v>0</v>
      </c>
      <c r="C414" s="14">
        <f>'Input Lighting Control Measures'!B116</f>
        <v>112</v>
      </c>
      <c r="D414" s="14" t="str">
        <f>'Input Lighting Control Measures'!C116</f>
        <v/>
      </c>
      <c r="E414" s="14" t="s">
        <v>6295</v>
      </c>
      <c r="F414" s="16">
        <f>1</f>
        <v>1</v>
      </c>
      <c r="G414" s="16" t="str">
        <f>'Input Lighting Control Measures'!M116</f>
        <v/>
      </c>
      <c r="H414" s="104" t="str">
        <f>'Input Lighting Control Measures'!N116</f>
        <v/>
      </c>
      <c r="I414" s="45" t="str">
        <f>IFERROR(Q414*MIN(Table_Measure_Caps[[#Totals],[Estimated Raw Incentive Total]], Table_Measure_Caps[[#Totals],[Gross Measure Cost Total]], Value_Project_CAP)/Table_Measure_Caps[[#Totals],[Estimated Raw Incentive Total]], "")</f>
        <v/>
      </c>
      <c r="J414" s="45">
        <f>'Input Lighting Control Measures'!I116</f>
        <v>0</v>
      </c>
      <c r="K414" s="14">
        <f>'Input Lighting Control Measures'!J116</f>
        <v>0</v>
      </c>
      <c r="L414" s="15" t="e">
        <f>'Input Lighting Control Measures'!W116</f>
        <v>#N/A</v>
      </c>
      <c r="M414" s="17">
        <f>'Input Lighting Control Measures'!H116</f>
        <v>0</v>
      </c>
      <c r="N414" s="15">
        <f>'Input Lighting Control Measures'!H116</f>
        <v>0</v>
      </c>
      <c r="O414" s="31" t="str">
        <f t="shared" si="12"/>
        <v>Version 4.1 - 2026</v>
      </c>
      <c r="P414" s="89">
        <f>'Input Lighting Control Measures'!E116</f>
        <v>0</v>
      </c>
      <c r="Q414" s="42" t="str">
        <f>'Input Lighting Control Measures'!L116</f>
        <v/>
      </c>
    </row>
    <row r="415" spans="1:17" x14ac:dyDescent="0.2">
      <c r="A415" s="15" t="s">
        <v>6294</v>
      </c>
      <c r="B415" s="14">
        <f t="shared" si="11"/>
        <v>0</v>
      </c>
      <c r="C415" s="14">
        <f>'Input Lighting Control Measures'!B117</f>
        <v>113</v>
      </c>
      <c r="D415" s="14" t="str">
        <f>'Input Lighting Control Measures'!C117</f>
        <v/>
      </c>
      <c r="E415" s="14" t="s">
        <v>6295</v>
      </c>
      <c r="F415" s="16">
        <f>1</f>
        <v>1</v>
      </c>
      <c r="G415" s="16" t="str">
        <f>'Input Lighting Control Measures'!M117</f>
        <v/>
      </c>
      <c r="H415" s="104" t="str">
        <f>'Input Lighting Control Measures'!N117</f>
        <v/>
      </c>
      <c r="I415" s="45" t="str">
        <f>IFERROR(Q415*MIN(Table_Measure_Caps[[#Totals],[Estimated Raw Incentive Total]], Table_Measure_Caps[[#Totals],[Gross Measure Cost Total]], Value_Project_CAP)/Table_Measure_Caps[[#Totals],[Estimated Raw Incentive Total]], "")</f>
        <v/>
      </c>
      <c r="J415" s="45">
        <f>'Input Lighting Control Measures'!I117</f>
        <v>0</v>
      </c>
      <c r="K415" s="14">
        <f>'Input Lighting Control Measures'!J117</f>
        <v>0</v>
      </c>
      <c r="L415" s="15" t="e">
        <f>'Input Lighting Control Measures'!W117</f>
        <v>#N/A</v>
      </c>
      <c r="M415" s="17">
        <f>'Input Lighting Control Measures'!H117</f>
        <v>0</v>
      </c>
      <c r="N415" s="15">
        <f>'Input Lighting Control Measures'!H117</f>
        <v>0</v>
      </c>
      <c r="O415" s="31" t="str">
        <f t="shared" si="12"/>
        <v>Version 4.1 - 2026</v>
      </c>
      <c r="P415" s="89">
        <f>'Input Lighting Control Measures'!E117</f>
        <v>0</v>
      </c>
      <c r="Q415" s="42" t="str">
        <f>'Input Lighting Control Measures'!L117</f>
        <v/>
      </c>
    </row>
    <row r="416" spans="1:17" x14ac:dyDescent="0.2">
      <c r="A416" s="15" t="s">
        <v>6294</v>
      </c>
      <c r="B416" s="14">
        <f t="shared" si="11"/>
        <v>0</v>
      </c>
      <c r="C416" s="14">
        <f>'Input Lighting Control Measures'!B118</f>
        <v>114</v>
      </c>
      <c r="D416" s="14" t="str">
        <f>'Input Lighting Control Measures'!C118</f>
        <v/>
      </c>
      <c r="E416" s="14" t="s">
        <v>6295</v>
      </c>
      <c r="F416" s="16">
        <f>1</f>
        <v>1</v>
      </c>
      <c r="G416" s="16" t="str">
        <f>'Input Lighting Control Measures'!M118</f>
        <v/>
      </c>
      <c r="H416" s="104" t="str">
        <f>'Input Lighting Control Measures'!N118</f>
        <v/>
      </c>
      <c r="I416" s="45" t="str">
        <f>IFERROR(Q416*MIN(Table_Measure_Caps[[#Totals],[Estimated Raw Incentive Total]], Table_Measure_Caps[[#Totals],[Gross Measure Cost Total]], Value_Project_CAP)/Table_Measure_Caps[[#Totals],[Estimated Raw Incentive Total]], "")</f>
        <v/>
      </c>
      <c r="J416" s="45">
        <f>'Input Lighting Control Measures'!I118</f>
        <v>0</v>
      </c>
      <c r="K416" s="14">
        <f>'Input Lighting Control Measures'!J118</f>
        <v>0</v>
      </c>
      <c r="L416" s="15" t="e">
        <f>'Input Lighting Control Measures'!W118</f>
        <v>#N/A</v>
      </c>
      <c r="M416" s="17">
        <f>'Input Lighting Control Measures'!H118</f>
        <v>0</v>
      </c>
      <c r="N416" s="15">
        <f>'Input Lighting Control Measures'!H118</f>
        <v>0</v>
      </c>
      <c r="O416" s="31" t="str">
        <f t="shared" si="12"/>
        <v>Version 4.1 - 2026</v>
      </c>
      <c r="P416" s="89">
        <f>'Input Lighting Control Measures'!E118</f>
        <v>0</v>
      </c>
      <c r="Q416" s="42" t="str">
        <f>'Input Lighting Control Measures'!L118</f>
        <v/>
      </c>
    </row>
    <row r="417" spans="1:17" x14ac:dyDescent="0.2">
      <c r="A417" s="15" t="s">
        <v>6294</v>
      </c>
      <c r="B417" s="14">
        <f t="shared" si="11"/>
        <v>0</v>
      </c>
      <c r="C417" s="14">
        <f>'Input Lighting Control Measures'!B119</f>
        <v>115</v>
      </c>
      <c r="D417" s="14" t="str">
        <f>'Input Lighting Control Measures'!C119</f>
        <v/>
      </c>
      <c r="E417" s="14" t="s">
        <v>6295</v>
      </c>
      <c r="F417" s="16">
        <f>1</f>
        <v>1</v>
      </c>
      <c r="G417" s="16" t="str">
        <f>'Input Lighting Control Measures'!M119</f>
        <v/>
      </c>
      <c r="H417" s="104" t="str">
        <f>'Input Lighting Control Measures'!N119</f>
        <v/>
      </c>
      <c r="I417" s="45" t="str">
        <f>IFERROR(Q417*MIN(Table_Measure_Caps[[#Totals],[Estimated Raw Incentive Total]], Table_Measure_Caps[[#Totals],[Gross Measure Cost Total]], Value_Project_CAP)/Table_Measure_Caps[[#Totals],[Estimated Raw Incentive Total]], "")</f>
        <v/>
      </c>
      <c r="J417" s="45">
        <f>'Input Lighting Control Measures'!I119</f>
        <v>0</v>
      </c>
      <c r="K417" s="14">
        <f>'Input Lighting Control Measures'!J119</f>
        <v>0</v>
      </c>
      <c r="L417" s="15" t="e">
        <f>'Input Lighting Control Measures'!W119</f>
        <v>#N/A</v>
      </c>
      <c r="M417" s="17">
        <f>'Input Lighting Control Measures'!H119</f>
        <v>0</v>
      </c>
      <c r="N417" s="15">
        <f>'Input Lighting Control Measures'!H119</f>
        <v>0</v>
      </c>
      <c r="O417" s="31" t="str">
        <f t="shared" si="12"/>
        <v>Version 4.1 - 2026</v>
      </c>
      <c r="P417" s="89">
        <f>'Input Lighting Control Measures'!E119</f>
        <v>0</v>
      </c>
      <c r="Q417" s="42" t="str">
        <f>'Input Lighting Control Measures'!L119</f>
        <v/>
      </c>
    </row>
    <row r="418" spans="1:17" x14ac:dyDescent="0.2">
      <c r="A418" s="15" t="s">
        <v>6294</v>
      </c>
      <c r="B418" s="14">
        <f t="shared" si="11"/>
        <v>0</v>
      </c>
      <c r="C418" s="14">
        <f>'Input Lighting Control Measures'!B120</f>
        <v>116</v>
      </c>
      <c r="D418" s="14" t="str">
        <f>'Input Lighting Control Measures'!C120</f>
        <v/>
      </c>
      <c r="E418" s="14" t="s">
        <v>6295</v>
      </c>
      <c r="F418" s="16">
        <f>1</f>
        <v>1</v>
      </c>
      <c r="G418" s="16" t="str">
        <f>'Input Lighting Control Measures'!M120</f>
        <v/>
      </c>
      <c r="H418" s="104" t="str">
        <f>'Input Lighting Control Measures'!N120</f>
        <v/>
      </c>
      <c r="I418" s="45" t="str">
        <f>IFERROR(Q418*MIN(Table_Measure_Caps[[#Totals],[Estimated Raw Incentive Total]], Table_Measure_Caps[[#Totals],[Gross Measure Cost Total]], Value_Project_CAP)/Table_Measure_Caps[[#Totals],[Estimated Raw Incentive Total]], "")</f>
        <v/>
      </c>
      <c r="J418" s="45">
        <f>'Input Lighting Control Measures'!I120</f>
        <v>0</v>
      </c>
      <c r="K418" s="14">
        <f>'Input Lighting Control Measures'!J120</f>
        <v>0</v>
      </c>
      <c r="L418" s="15" t="e">
        <f>'Input Lighting Control Measures'!W120</f>
        <v>#N/A</v>
      </c>
      <c r="M418" s="17">
        <f>'Input Lighting Control Measures'!H120</f>
        <v>0</v>
      </c>
      <c r="N418" s="15">
        <f>'Input Lighting Control Measures'!H120</f>
        <v>0</v>
      </c>
      <c r="O418" s="31" t="str">
        <f t="shared" si="12"/>
        <v>Version 4.1 - 2026</v>
      </c>
      <c r="P418" s="89">
        <f>'Input Lighting Control Measures'!E120</f>
        <v>0</v>
      </c>
      <c r="Q418" s="42" t="str">
        <f>'Input Lighting Control Measures'!L120</f>
        <v/>
      </c>
    </row>
    <row r="419" spans="1:17" x14ac:dyDescent="0.2">
      <c r="A419" s="15" t="s">
        <v>6294</v>
      </c>
      <c r="B419" s="14">
        <f t="shared" si="11"/>
        <v>0</v>
      </c>
      <c r="C419" s="14">
        <f>'Input Lighting Control Measures'!B121</f>
        <v>117</v>
      </c>
      <c r="D419" s="14" t="str">
        <f>'Input Lighting Control Measures'!C121</f>
        <v/>
      </c>
      <c r="E419" s="14" t="s">
        <v>6295</v>
      </c>
      <c r="F419" s="16">
        <f>1</f>
        <v>1</v>
      </c>
      <c r="G419" s="16" t="str">
        <f>'Input Lighting Control Measures'!M121</f>
        <v/>
      </c>
      <c r="H419" s="104" t="str">
        <f>'Input Lighting Control Measures'!N121</f>
        <v/>
      </c>
      <c r="I419" s="45" t="str">
        <f>IFERROR(Q419*MIN(Table_Measure_Caps[[#Totals],[Estimated Raw Incentive Total]], Table_Measure_Caps[[#Totals],[Gross Measure Cost Total]], Value_Project_CAP)/Table_Measure_Caps[[#Totals],[Estimated Raw Incentive Total]], "")</f>
        <v/>
      </c>
      <c r="J419" s="45">
        <f>'Input Lighting Control Measures'!I121</f>
        <v>0</v>
      </c>
      <c r="K419" s="14">
        <f>'Input Lighting Control Measures'!J121</f>
        <v>0</v>
      </c>
      <c r="L419" s="15" t="e">
        <f>'Input Lighting Control Measures'!W121</f>
        <v>#N/A</v>
      </c>
      <c r="M419" s="17">
        <f>'Input Lighting Control Measures'!H121</f>
        <v>0</v>
      </c>
      <c r="N419" s="15">
        <f>'Input Lighting Control Measures'!H121</f>
        <v>0</v>
      </c>
      <c r="O419" s="31" t="str">
        <f t="shared" si="12"/>
        <v>Version 4.1 - 2026</v>
      </c>
      <c r="P419" s="89">
        <f>'Input Lighting Control Measures'!E121</f>
        <v>0</v>
      </c>
      <c r="Q419" s="42" t="str">
        <f>'Input Lighting Control Measures'!L121</f>
        <v/>
      </c>
    </row>
    <row r="420" spans="1:17" x14ac:dyDescent="0.2">
      <c r="A420" s="15" t="s">
        <v>6294</v>
      </c>
      <c r="B420" s="14">
        <f t="shared" si="11"/>
        <v>0</v>
      </c>
      <c r="C420" s="14">
        <f>'Input Lighting Control Measures'!B122</f>
        <v>118</v>
      </c>
      <c r="D420" s="14" t="str">
        <f>'Input Lighting Control Measures'!C122</f>
        <v/>
      </c>
      <c r="E420" s="14" t="s">
        <v>6295</v>
      </c>
      <c r="F420" s="16">
        <f>1</f>
        <v>1</v>
      </c>
      <c r="G420" s="16" t="str">
        <f>'Input Lighting Control Measures'!M122</f>
        <v/>
      </c>
      <c r="H420" s="104" t="str">
        <f>'Input Lighting Control Measures'!N122</f>
        <v/>
      </c>
      <c r="I420" s="45" t="str">
        <f>IFERROR(Q420*MIN(Table_Measure_Caps[[#Totals],[Estimated Raw Incentive Total]], Table_Measure_Caps[[#Totals],[Gross Measure Cost Total]], Value_Project_CAP)/Table_Measure_Caps[[#Totals],[Estimated Raw Incentive Total]], "")</f>
        <v/>
      </c>
      <c r="J420" s="45">
        <f>'Input Lighting Control Measures'!I122</f>
        <v>0</v>
      </c>
      <c r="K420" s="14">
        <f>'Input Lighting Control Measures'!J122</f>
        <v>0</v>
      </c>
      <c r="L420" s="15" t="e">
        <f>'Input Lighting Control Measures'!W122</f>
        <v>#N/A</v>
      </c>
      <c r="M420" s="17">
        <f>'Input Lighting Control Measures'!H122</f>
        <v>0</v>
      </c>
      <c r="N420" s="15">
        <f>'Input Lighting Control Measures'!H122</f>
        <v>0</v>
      </c>
      <c r="O420" s="31" t="str">
        <f t="shared" si="12"/>
        <v>Version 4.1 - 2026</v>
      </c>
      <c r="P420" s="89">
        <f>'Input Lighting Control Measures'!E122</f>
        <v>0</v>
      </c>
      <c r="Q420" s="42" t="str">
        <f>'Input Lighting Control Measures'!L122</f>
        <v/>
      </c>
    </row>
    <row r="421" spans="1:17" x14ac:dyDescent="0.2">
      <c r="A421" s="15" t="s">
        <v>6294</v>
      </c>
      <c r="B421" s="14">
        <f t="shared" si="11"/>
        <v>0</v>
      </c>
      <c r="C421" s="14">
        <f>'Input Lighting Control Measures'!B123</f>
        <v>119</v>
      </c>
      <c r="D421" s="14" t="str">
        <f>'Input Lighting Control Measures'!C123</f>
        <v/>
      </c>
      <c r="E421" s="14" t="s">
        <v>6295</v>
      </c>
      <c r="F421" s="16">
        <f>1</f>
        <v>1</v>
      </c>
      <c r="G421" s="16" t="str">
        <f>'Input Lighting Control Measures'!M123</f>
        <v/>
      </c>
      <c r="H421" s="104" t="str">
        <f>'Input Lighting Control Measures'!N123</f>
        <v/>
      </c>
      <c r="I421" s="45" t="str">
        <f>IFERROR(Q421*MIN(Table_Measure_Caps[[#Totals],[Estimated Raw Incentive Total]], Table_Measure_Caps[[#Totals],[Gross Measure Cost Total]], Value_Project_CAP)/Table_Measure_Caps[[#Totals],[Estimated Raw Incentive Total]], "")</f>
        <v/>
      </c>
      <c r="J421" s="45">
        <f>'Input Lighting Control Measures'!I123</f>
        <v>0</v>
      </c>
      <c r="K421" s="14">
        <f>'Input Lighting Control Measures'!J123</f>
        <v>0</v>
      </c>
      <c r="L421" s="15" t="e">
        <f>'Input Lighting Control Measures'!W123</f>
        <v>#N/A</v>
      </c>
      <c r="M421" s="17">
        <f>'Input Lighting Control Measures'!H123</f>
        <v>0</v>
      </c>
      <c r="N421" s="15">
        <f>'Input Lighting Control Measures'!H123</f>
        <v>0</v>
      </c>
      <c r="O421" s="31" t="str">
        <f t="shared" si="12"/>
        <v>Version 4.1 - 2026</v>
      </c>
      <c r="P421" s="89">
        <f>'Input Lighting Control Measures'!E123</f>
        <v>0</v>
      </c>
      <c r="Q421" s="42" t="str">
        <f>'Input Lighting Control Measures'!L123</f>
        <v/>
      </c>
    </row>
    <row r="422" spans="1:17" x14ac:dyDescent="0.2">
      <c r="A422" s="15" t="s">
        <v>6294</v>
      </c>
      <c r="B422" s="14">
        <f t="shared" si="11"/>
        <v>0</v>
      </c>
      <c r="C422" s="14">
        <f>'Input Lighting Control Measures'!B124</f>
        <v>120</v>
      </c>
      <c r="D422" s="14" t="str">
        <f>'Input Lighting Control Measures'!C124</f>
        <v/>
      </c>
      <c r="E422" s="14" t="s">
        <v>6295</v>
      </c>
      <c r="F422" s="16">
        <f>1</f>
        <v>1</v>
      </c>
      <c r="G422" s="16" t="str">
        <f>'Input Lighting Control Measures'!M124</f>
        <v/>
      </c>
      <c r="H422" s="104" t="str">
        <f>'Input Lighting Control Measures'!N124</f>
        <v/>
      </c>
      <c r="I422" s="45" t="str">
        <f>IFERROR(Q422*MIN(Table_Measure_Caps[[#Totals],[Estimated Raw Incentive Total]], Table_Measure_Caps[[#Totals],[Gross Measure Cost Total]], Value_Project_CAP)/Table_Measure_Caps[[#Totals],[Estimated Raw Incentive Total]], "")</f>
        <v/>
      </c>
      <c r="J422" s="45">
        <f>'Input Lighting Control Measures'!I124</f>
        <v>0</v>
      </c>
      <c r="K422" s="14">
        <f>'Input Lighting Control Measures'!J124</f>
        <v>0</v>
      </c>
      <c r="L422" s="15" t="e">
        <f>'Input Lighting Control Measures'!W124</f>
        <v>#N/A</v>
      </c>
      <c r="M422" s="17">
        <f>'Input Lighting Control Measures'!H124</f>
        <v>0</v>
      </c>
      <c r="N422" s="15">
        <f>'Input Lighting Control Measures'!H124</f>
        <v>0</v>
      </c>
      <c r="O422" s="31" t="str">
        <f t="shared" si="12"/>
        <v>Version 4.1 - 2026</v>
      </c>
      <c r="P422" s="89">
        <f>'Input Lighting Control Measures'!E124</f>
        <v>0</v>
      </c>
      <c r="Q422" s="42" t="str">
        <f>'Input Lighting Control Measures'!L124</f>
        <v/>
      </c>
    </row>
    <row r="423" spans="1:17" x14ac:dyDescent="0.2">
      <c r="A423" s="15" t="s">
        <v>6294</v>
      </c>
      <c r="B423" s="14">
        <f t="shared" si="11"/>
        <v>0</v>
      </c>
      <c r="C423" s="14">
        <f>'Input Lighting Control Measures'!B125</f>
        <v>121</v>
      </c>
      <c r="D423" s="14" t="str">
        <f>'Input Lighting Control Measures'!C125</f>
        <v/>
      </c>
      <c r="E423" s="14" t="s">
        <v>6295</v>
      </c>
      <c r="F423" s="16">
        <f>1</f>
        <v>1</v>
      </c>
      <c r="G423" s="16" t="str">
        <f>'Input Lighting Control Measures'!M125</f>
        <v/>
      </c>
      <c r="H423" s="104" t="str">
        <f>'Input Lighting Control Measures'!N125</f>
        <v/>
      </c>
      <c r="I423" s="45" t="str">
        <f>IFERROR(Q423*MIN(Table_Measure_Caps[[#Totals],[Estimated Raw Incentive Total]], Table_Measure_Caps[[#Totals],[Gross Measure Cost Total]], Value_Project_CAP)/Table_Measure_Caps[[#Totals],[Estimated Raw Incentive Total]], "")</f>
        <v/>
      </c>
      <c r="J423" s="45">
        <f>'Input Lighting Control Measures'!I125</f>
        <v>0</v>
      </c>
      <c r="K423" s="14">
        <f>'Input Lighting Control Measures'!J125</f>
        <v>0</v>
      </c>
      <c r="L423" s="15" t="e">
        <f>'Input Lighting Control Measures'!W125</f>
        <v>#N/A</v>
      </c>
      <c r="M423" s="17">
        <f>'Input Lighting Control Measures'!H125</f>
        <v>0</v>
      </c>
      <c r="N423" s="15">
        <f>'Input Lighting Control Measures'!H125</f>
        <v>0</v>
      </c>
      <c r="O423" s="31" t="str">
        <f t="shared" si="12"/>
        <v>Version 4.1 - 2026</v>
      </c>
      <c r="P423" s="89">
        <f>'Input Lighting Control Measures'!E125</f>
        <v>0</v>
      </c>
      <c r="Q423" s="42" t="str">
        <f>'Input Lighting Control Measures'!L125</f>
        <v/>
      </c>
    </row>
    <row r="424" spans="1:17" x14ac:dyDescent="0.2">
      <c r="A424" s="15" t="s">
        <v>6294</v>
      </c>
      <c r="B424" s="14">
        <f t="shared" si="11"/>
        <v>0</v>
      </c>
      <c r="C424" s="14">
        <f>'Input Lighting Control Measures'!B126</f>
        <v>122</v>
      </c>
      <c r="D424" s="14" t="str">
        <f>'Input Lighting Control Measures'!C126</f>
        <v/>
      </c>
      <c r="E424" s="14" t="s">
        <v>6295</v>
      </c>
      <c r="F424" s="16">
        <f>1</f>
        <v>1</v>
      </c>
      <c r="G424" s="16" t="str">
        <f>'Input Lighting Control Measures'!M126</f>
        <v/>
      </c>
      <c r="H424" s="104" t="str">
        <f>'Input Lighting Control Measures'!N126</f>
        <v/>
      </c>
      <c r="I424" s="45" t="str">
        <f>IFERROR(Q424*MIN(Table_Measure_Caps[[#Totals],[Estimated Raw Incentive Total]], Table_Measure_Caps[[#Totals],[Gross Measure Cost Total]], Value_Project_CAP)/Table_Measure_Caps[[#Totals],[Estimated Raw Incentive Total]], "")</f>
        <v/>
      </c>
      <c r="J424" s="45">
        <f>'Input Lighting Control Measures'!I126</f>
        <v>0</v>
      </c>
      <c r="K424" s="14">
        <f>'Input Lighting Control Measures'!J126</f>
        <v>0</v>
      </c>
      <c r="L424" s="15" t="e">
        <f>'Input Lighting Control Measures'!W126</f>
        <v>#N/A</v>
      </c>
      <c r="M424" s="17">
        <f>'Input Lighting Control Measures'!H126</f>
        <v>0</v>
      </c>
      <c r="N424" s="15">
        <f>'Input Lighting Control Measures'!H126</f>
        <v>0</v>
      </c>
      <c r="O424" s="31" t="str">
        <f t="shared" si="12"/>
        <v>Version 4.1 - 2026</v>
      </c>
      <c r="P424" s="89">
        <f>'Input Lighting Control Measures'!E126</f>
        <v>0</v>
      </c>
      <c r="Q424" s="42" t="str">
        <f>'Input Lighting Control Measures'!L126</f>
        <v/>
      </c>
    </row>
    <row r="425" spans="1:17" x14ac:dyDescent="0.2">
      <c r="A425" s="15" t="s">
        <v>6294</v>
      </c>
      <c r="B425" s="14">
        <f t="shared" si="11"/>
        <v>0</v>
      </c>
      <c r="C425" s="14">
        <f>'Input Lighting Control Measures'!B127</f>
        <v>123</v>
      </c>
      <c r="D425" s="14" t="str">
        <f>'Input Lighting Control Measures'!C127</f>
        <v/>
      </c>
      <c r="E425" s="14" t="s">
        <v>6295</v>
      </c>
      <c r="F425" s="16">
        <f>1</f>
        <v>1</v>
      </c>
      <c r="G425" s="16" t="str">
        <f>'Input Lighting Control Measures'!M127</f>
        <v/>
      </c>
      <c r="H425" s="104" t="str">
        <f>'Input Lighting Control Measures'!N127</f>
        <v/>
      </c>
      <c r="I425" s="45" t="str">
        <f>IFERROR(Q425*MIN(Table_Measure_Caps[[#Totals],[Estimated Raw Incentive Total]], Table_Measure_Caps[[#Totals],[Gross Measure Cost Total]], Value_Project_CAP)/Table_Measure_Caps[[#Totals],[Estimated Raw Incentive Total]], "")</f>
        <v/>
      </c>
      <c r="J425" s="45">
        <f>'Input Lighting Control Measures'!I127</f>
        <v>0</v>
      </c>
      <c r="K425" s="14">
        <f>'Input Lighting Control Measures'!J127</f>
        <v>0</v>
      </c>
      <c r="L425" s="15" t="e">
        <f>'Input Lighting Control Measures'!W127</f>
        <v>#N/A</v>
      </c>
      <c r="M425" s="17">
        <f>'Input Lighting Control Measures'!H127</f>
        <v>0</v>
      </c>
      <c r="N425" s="15">
        <f>'Input Lighting Control Measures'!H127</f>
        <v>0</v>
      </c>
      <c r="O425" s="31" t="str">
        <f t="shared" si="12"/>
        <v>Version 4.1 - 2026</v>
      </c>
      <c r="P425" s="89">
        <f>'Input Lighting Control Measures'!E127</f>
        <v>0</v>
      </c>
      <c r="Q425" s="42" t="str">
        <f>'Input Lighting Control Measures'!L127</f>
        <v/>
      </c>
    </row>
    <row r="426" spans="1:17" x14ac:dyDescent="0.2">
      <c r="A426" s="15" t="s">
        <v>6294</v>
      </c>
      <c r="B426" s="14">
        <f t="shared" si="11"/>
        <v>0</v>
      </c>
      <c r="C426" s="14">
        <f>'Input Lighting Control Measures'!B128</f>
        <v>124</v>
      </c>
      <c r="D426" s="14" t="str">
        <f>'Input Lighting Control Measures'!C128</f>
        <v/>
      </c>
      <c r="E426" s="14" t="s">
        <v>6295</v>
      </c>
      <c r="F426" s="16">
        <f>1</f>
        <v>1</v>
      </c>
      <c r="G426" s="16" t="str">
        <f>'Input Lighting Control Measures'!M128</f>
        <v/>
      </c>
      <c r="H426" s="104" t="str">
        <f>'Input Lighting Control Measures'!N128</f>
        <v/>
      </c>
      <c r="I426" s="45" t="str">
        <f>IFERROR(Q426*MIN(Table_Measure_Caps[[#Totals],[Estimated Raw Incentive Total]], Table_Measure_Caps[[#Totals],[Gross Measure Cost Total]], Value_Project_CAP)/Table_Measure_Caps[[#Totals],[Estimated Raw Incentive Total]], "")</f>
        <v/>
      </c>
      <c r="J426" s="45">
        <f>'Input Lighting Control Measures'!I128</f>
        <v>0</v>
      </c>
      <c r="K426" s="14">
        <f>'Input Lighting Control Measures'!J128</f>
        <v>0</v>
      </c>
      <c r="L426" s="15" t="e">
        <f>'Input Lighting Control Measures'!W128</f>
        <v>#N/A</v>
      </c>
      <c r="M426" s="17">
        <f>'Input Lighting Control Measures'!H128</f>
        <v>0</v>
      </c>
      <c r="N426" s="15">
        <f>'Input Lighting Control Measures'!H128</f>
        <v>0</v>
      </c>
      <c r="O426" s="31" t="str">
        <f t="shared" si="12"/>
        <v>Version 4.1 - 2026</v>
      </c>
      <c r="P426" s="89">
        <f>'Input Lighting Control Measures'!E128</f>
        <v>0</v>
      </c>
      <c r="Q426" s="42" t="str">
        <f>'Input Lighting Control Measures'!L128</f>
        <v/>
      </c>
    </row>
    <row r="427" spans="1:17" x14ac:dyDescent="0.2">
      <c r="A427" s="15" t="s">
        <v>6294</v>
      </c>
      <c r="B427" s="14">
        <f t="shared" si="11"/>
        <v>0</v>
      </c>
      <c r="C427" s="14">
        <f>'Input Lighting Control Measures'!B129</f>
        <v>125</v>
      </c>
      <c r="D427" s="14" t="str">
        <f>'Input Lighting Control Measures'!C129</f>
        <v/>
      </c>
      <c r="E427" s="14" t="s">
        <v>6295</v>
      </c>
      <c r="F427" s="16">
        <f>1</f>
        <v>1</v>
      </c>
      <c r="G427" s="16" t="str">
        <f>'Input Lighting Control Measures'!M129</f>
        <v/>
      </c>
      <c r="H427" s="104" t="str">
        <f>'Input Lighting Control Measures'!N129</f>
        <v/>
      </c>
      <c r="I427" s="45" t="str">
        <f>IFERROR(Q427*MIN(Table_Measure_Caps[[#Totals],[Estimated Raw Incentive Total]], Table_Measure_Caps[[#Totals],[Gross Measure Cost Total]], Value_Project_CAP)/Table_Measure_Caps[[#Totals],[Estimated Raw Incentive Total]], "")</f>
        <v/>
      </c>
      <c r="J427" s="45">
        <f>'Input Lighting Control Measures'!I129</f>
        <v>0</v>
      </c>
      <c r="K427" s="14">
        <f>'Input Lighting Control Measures'!J129</f>
        <v>0</v>
      </c>
      <c r="L427" s="15" t="e">
        <f>'Input Lighting Control Measures'!W129</f>
        <v>#N/A</v>
      </c>
      <c r="M427" s="17">
        <f>'Input Lighting Control Measures'!H129</f>
        <v>0</v>
      </c>
      <c r="N427" s="15">
        <f>'Input Lighting Control Measures'!H129</f>
        <v>0</v>
      </c>
      <c r="O427" s="31" t="str">
        <f t="shared" si="12"/>
        <v>Version 4.1 - 2026</v>
      </c>
      <c r="P427" s="89">
        <f>'Input Lighting Control Measures'!E129</f>
        <v>0</v>
      </c>
      <c r="Q427" s="42" t="str">
        <f>'Input Lighting Control Measures'!L129</f>
        <v/>
      </c>
    </row>
    <row r="428" spans="1:17" x14ac:dyDescent="0.2">
      <c r="A428" s="15" t="s">
        <v>6294</v>
      </c>
      <c r="B428" s="14">
        <f t="shared" si="11"/>
        <v>0</v>
      </c>
      <c r="C428" s="14">
        <f>'Input Lighting Control Measures'!B130</f>
        <v>126</v>
      </c>
      <c r="D428" s="14" t="str">
        <f>'Input Lighting Control Measures'!C130</f>
        <v/>
      </c>
      <c r="E428" s="14" t="s">
        <v>6295</v>
      </c>
      <c r="F428" s="16">
        <f>1</f>
        <v>1</v>
      </c>
      <c r="G428" s="16" t="str">
        <f>'Input Lighting Control Measures'!M130</f>
        <v/>
      </c>
      <c r="H428" s="104" t="str">
        <f>'Input Lighting Control Measures'!N130</f>
        <v/>
      </c>
      <c r="I428" s="45" t="str">
        <f>IFERROR(Q428*MIN(Table_Measure_Caps[[#Totals],[Estimated Raw Incentive Total]], Table_Measure_Caps[[#Totals],[Gross Measure Cost Total]], Value_Project_CAP)/Table_Measure_Caps[[#Totals],[Estimated Raw Incentive Total]], "")</f>
        <v/>
      </c>
      <c r="J428" s="45">
        <f>'Input Lighting Control Measures'!I130</f>
        <v>0</v>
      </c>
      <c r="K428" s="14">
        <f>'Input Lighting Control Measures'!J130</f>
        <v>0</v>
      </c>
      <c r="L428" s="15" t="e">
        <f>'Input Lighting Control Measures'!W130</f>
        <v>#N/A</v>
      </c>
      <c r="M428" s="17">
        <f>'Input Lighting Control Measures'!H130</f>
        <v>0</v>
      </c>
      <c r="N428" s="15">
        <f>'Input Lighting Control Measures'!H130</f>
        <v>0</v>
      </c>
      <c r="O428" s="31" t="str">
        <f t="shared" si="12"/>
        <v>Version 4.1 - 2026</v>
      </c>
      <c r="P428" s="89">
        <f>'Input Lighting Control Measures'!E130</f>
        <v>0</v>
      </c>
      <c r="Q428" s="42" t="str">
        <f>'Input Lighting Control Measures'!L130</f>
        <v/>
      </c>
    </row>
    <row r="429" spans="1:17" x14ac:dyDescent="0.2">
      <c r="A429" s="15" t="s">
        <v>6294</v>
      </c>
      <c r="B429" s="14">
        <f t="shared" si="11"/>
        <v>0</v>
      </c>
      <c r="C429" s="14">
        <f>'Input Lighting Control Measures'!B131</f>
        <v>127</v>
      </c>
      <c r="D429" s="14" t="str">
        <f>'Input Lighting Control Measures'!C131</f>
        <v/>
      </c>
      <c r="E429" s="14" t="s">
        <v>6295</v>
      </c>
      <c r="F429" s="16">
        <f>1</f>
        <v>1</v>
      </c>
      <c r="G429" s="16" t="str">
        <f>'Input Lighting Control Measures'!M131</f>
        <v/>
      </c>
      <c r="H429" s="104" t="str">
        <f>'Input Lighting Control Measures'!N131</f>
        <v/>
      </c>
      <c r="I429" s="45" t="str">
        <f>IFERROR(Q429*MIN(Table_Measure_Caps[[#Totals],[Estimated Raw Incentive Total]], Table_Measure_Caps[[#Totals],[Gross Measure Cost Total]], Value_Project_CAP)/Table_Measure_Caps[[#Totals],[Estimated Raw Incentive Total]], "")</f>
        <v/>
      </c>
      <c r="J429" s="45">
        <f>'Input Lighting Control Measures'!I131</f>
        <v>0</v>
      </c>
      <c r="K429" s="14">
        <f>'Input Lighting Control Measures'!J131</f>
        <v>0</v>
      </c>
      <c r="L429" s="15" t="e">
        <f>'Input Lighting Control Measures'!W131</f>
        <v>#N/A</v>
      </c>
      <c r="M429" s="17">
        <f>'Input Lighting Control Measures'!H131</f>
        <v>0</v>
      </c>
      <c r="N429" s="15">
        <f>'Input Lighting Control Measures'!H131</f>
        <v>0</v>
      </c>
      <c r="O429" s="31" t="str">
        <f t="shared" si="12"/>
        <v>Version 4.1 - 2026</v>
      </c>
      <c r="P429" s="89">
        <f>'Input Lighting Control Measures'!E131</f>
        <v>0</v>
      </c>
      <c r="Q429" s="42" t="str">
        <f>'Input Lighting Control Measures'!L131</f>
        <v/>
      </c>
    </row>
    <row r="430" spans="1:17" x14ac:dyDescent="0.2">
      <c r="A430" s="15" t="s">
        <v>6294</v>
      </c>
      <c r="B430" s="14">
        <f t="shared" si="11"/>
        <v>0</v>
      </c>
      <c r="C430" s="14">
        <f>'Input Lighting Control Measures'!B132</f>
        <v>128</v>
      </c>
      <c r="D430" s="14" t="str">
        <f>'Input Lighting Control Measures'!C132</f>
        <v/>
      </c>
      <c r="E430" s="14" t="s">
        <v>6295</v>
      </c>
      <c r="F430" s="16">
        <f>1</f>
        <v>1</v>
      </c>
      <c r="G430" s="16" t="str">
        <f>'Input Lighting Control Measures'!M132</f>
        <v/>
      </c>
      <c r="H430" s="104" t="str">
        <f>'Input Lighting Control Measures'!N132</f>
        <v/>
      </c>
      <c r="I430" s="45" t="str">
        <f>IFERROR(Q430*MIN(Table_Measure_Caps[[#Totals],[Estimated Raw Incentive Total]], Table_Measure_Caps[[#Totals],[Gross Measure Cost Total]], Value_Project_CAP)/Table_Measure_Caps[[#Totals],[Estimated Raw Incentive Total]], "")</f>
        <v/>
      </c>
      <c r="J430" s="45">
        <f>'Input Lighting Control Measures'!I132</f>
        <v>0</v>
      </c>
      <c r="K430" s="14">
        <f>'Input Lighting Control Measures'!J132</f>
        <v>0</v>
      </c>
      <c r="L430" s="15" t="e">
        <f>'Input Lighting Control Measures'!W132</f>
        <v>#N/A</v>
      </c>
      <c r="M430" s="17">
        <f>'Input Lighting Control Measures'!H132</f>
        <v>0</v>
      </c>
      <c r="N430" s="15">
        <f>'Input Lighting Control Measures'!H132</f>
        <v>0</v>
      </c>
      <c r="O430" s="31" t="str">
        <f t="shared" si="12"/>
        <v>Version 4.1 - 2026</v>
      </c>
      <c r="P430" s="89">
        <f>'Input Lighting Control Measures'!E132</f>
        <v>0</v>
      </c>
      <c r="Q430" s="42" t="str">
        <f>'Input Lighting Control Measures'!L132</f>
        <v/>
      </c>
    </row>
    <row r="431" spans="1:17" x14ac:dyDescent="0.2">
      <c r="A431" s="15" t="s">
        <v>6294</v>
      </c>
      <c r="B431" s="14">
        <f t="shared" si="11"/>
        <v>0</v>
      </c>
      <c r="C431" s="14">
        <f>'Input Lighting Control Measures'!B133</f>
        <v>129</v>
      </c>
      <c r="D431" s="14" t="str">
        <f>'Input Lighting Control Measures'!C133</f>
        <v/>
      </c>
      <c r="E431" s="14" t="s">
        <v>6295</v>
      </c>
      <c r="F431" s="16">
        <f>1</f>
        <v>1</v>
      </c>
      <c r="G431" s="16" t="str">
        <f>'Input Lighting Control Measures'!M133</f>
        <v/>
      </c>
      <c r="H431" s="104" t="str">
        <f>'Input Lighting Control Measures'!N133</f>
        <v/>
      </c>
      <c r="I431" s="45" t="str">
        <f>IFERROR(Q431*MIN(Table_Measure_Caps[[#Totals],[Estimated Raw Incentive Total]], Table_Measure_Caps[[#Totals],[Gross Measure Cost Total]], Value_Project_CAP)/Table_Measure_Caps[[#Totals],[Estimated Raw Incentive Total]], "")</f>
        <v/>
      </c>
      <c r="J431" s="45">
        <f>'Input Lighting Control Measures'!I133</f>
        <v>0</v>
      </c>
      <c r="K431" s="14">
        <f>'Input Lighting Control Measures'!J133</f>
        <v>0</v>
      </c>
      <c r="L431" s="15" t="e">
        <f>'Input Lighting Control Measures'!W133</f>
        <v>#N/A</v>
      </c>
      <c r="M431" s="17">
        <f>'Input Lighting Control Measures'!H133</f>
        <v>0</v>
      </c>
      <c r="N431" s="15">
        <f>'Input Lighting Control Measures'!H133</f>
        <v>0</v>
      </c>
      <c r="O431" s="31" t="str">
        <f t="shared" si="12"/>
        <v>Version 4.1 - 2026</v>
      </c>
      <c r="P431" s="89">
        <f>'Input Lighting Control Measures'!E133</f>
        <v>0</v>
      </c>
      <c r="Q431" s="42" t="str">
        <f>'Input Lighting Control Measures'!L133</f>
        <v/>
      </c>
    </row>
    <row r="432" spans="1:17" x14ac:dyDescent="0.2">
      <c r="A432" s="15" t="s">
        <v>6294</v>
      </c>
      <c r="B432" s="14">
        <f t="shared" si="11"/>
        <v>0</v>
      </c>
      <c r="C432" s="14">
        <f>'Input Lighting Control Measures'!B134</f>
        <v>130</v>
      </c>
      <c r="D432" s="14" t="str">
        <f>'Input Lighting Control Measures'!C134</f>
        <v/>
      </c>
      <c r="E432" s="14" t="s">
        <v>6295</v>
      </c>
      <c r="F432" s="16">
        <f>1</f>
        <v>1</v>
      </c>
      <c r="G432" s="16" t="str">
        <f>'Input Lighting Control Measures'!M134</f>
        <v/>
      </c>
      <c r="H432" s="104" t="str">
        <f>'Input Lighting Control Measures'!N134</f>
        <v/>
      </c>
      <c r="I432" s="45" t="str">
        <f>IFERROR(Q432*MIN(Table_Measure_Caps[[#Totals],[Estimated Raw Incentive Total]], Table_Measure_Caps[[#Totals],[Gross Measure Cost Total]], Value_Project_CAP)/Table_Measure_Caps[[#Totals],[Estimated Raw Incentive Total]], "")</f>
        <v/>
      </c>
      <c r="J432" s="45">
        <f>'Input Lighting Control Measures'!I134</f>
        <v>0</v>
      </c>
      <c r="K432" s="14">
        <f>'Input Lighting Control Measures'!J134</f>
        <v>0</v>
      </c>
      <c r="L432" s="15" t="e">
        <f>'Input Lighting Control Measures'!W134</f>
        <v>#N/A</v>
      </c>
      <c r="M432" s="17">
        <f>'Input Lighting Control Measures'!H134</f>
        <v>0</v>
      </c>
      <c r="N432" s="15">
        <f>'Input Lighting Control Measures'!H134</f>
        <v>0</v>
      </c>
      <c r="O432" s="31" t="str">
        <f t="shared" si="12"/>
        <v>Version 4.1 - 2026</v>
      </c>
      <c r="P432" s="89">
        <f>'Input Lighting Control Measures'!E134</f>
        <v>0</v>
      </c>
      <c r="Q432" s="42" t="str">
        <f>'Input Lighting Control Measures'!L134</f>
        <v/>
      </c>
    </row>
    <row r="433" spans="1:17" x14ac:dyDescent="0.2">
      <c r="A433" s="15" t="s">
        <v>6294</v>
      </c>
      <c r="B433" s="14">
        <f t="shared" ref="B433:B496" si="13">Input_ProjectNumber</f>
        <v>0</v>
      </c>
      <c r="C433" s="14">
        <f>'Input Lighting Control Measures'!B135</f>
        <v>131</v>
      </c>
      <c r="D433" s="14" t="str">
        <f>'Input Lighting Control Measures'!C135</f>
        <v/>
      </c>
      <c r="E433" s="14" t="s">
        <v>6295</v>
      </c>
      <c r="F433" s="16">
        <f>1</f>
        <v>1</v>
      </c>
      <c r="G433" s="16" t="str">
        <f>'Input Lighting Control Measures'!M135</f>
        <v/>
      </c>
      <c r="H433" s="104" t="str">
        <f>'Input Lighting Control Measures'!N135</f>
        <v/>
      </c>
      <c r="I433" s="45" t="str">
        <f>IFERROR(Q433*MIN(Table_Measure_Caps[[#Totals],[Estimated Raw Incentive Total]], Table_Measure_Caps[[#Totals],[Gross Measure Cost Total]], Value_Project_CAP)/Table_Measure_Caps[[#Totals],[Estimated Raw Incentive Total]], "")</f>
        <v/>
      </c>
      <c r="J433" s="45">
        <f>'Input Lighting Control Measures'!I135</f>
        <v>0</v>
      </c>
      <c r="K433" s="14">
        <f>'Input Lighting Control Measures'!J135</f>
        <v>0</v>
      </c>
      <c r="L433" s="15" t="e">
        <f>'Input Lighting Control Measures'!W135</f>
        <v>#N/A</v>
      </c>
      <c r="M433" s="17">
        <f>'Input Lighting Control Measures'!H135</f>
        <v>0</v>
      </c>
      <c r="N433" s="15">
        <f>'Input Lighting Control Measures'!H135</f>
        <v>0</v>
      </c>
      <c r="O433" s="31" t="str">
        <f t="shared" si="12"/>
        <v>Version 4.1 - 2026</v>
      </c>
      <c r="P433" s="89">
        <f>'Input Lighting Control Measures'!E135</f>
        <v>0</v>
      </c>
      <c r="Q433" s="42" t="str">
        <f>'Input Lighting Control Measures'!L135</f>
        <v/>
      </c>
    </row>
    <row r="434" spans="1:17" x14ac:dyDescent="0.2">
      <c r="A434" s="15" t="s">
        <v>6294</v>
      </c>
      <c r="B434" s="14">
        <f t="shared" si="13"/>
        <v>0</v>
      </c>
      <c r="C434" s="14">
        <f>'Input Lighting Control Measures'!B136</f>
        <v>132</v>
      </c>
      <c r="D434" s="14" t="str">
        <f>'Input Lighting Control Measures'!C136</f>
        <v/>
      </c>
      <c r="E434" s="14" t="s">
        <v>6295</v>
      </c>
      <c r="F434" s="16">
        <f>1</f>
        <v>1</v>
      </c>
      <c r="G434" s="16" t="str">
        <f>'Input Lighting Control Measures'!M136</f>
        <v/>
      </c>
      <c r="H434" s="104" t="str">
        <f>'Input Lighting Control Measures'!N136</f>
        <v/>
      </c>
      <c r="I434" s="45" t="str">
        <f>IFERROR(Q434*MIN(Table_Measure_Caps[[#Totals],[Estimated Raw Incentive Total]], Table_Measure_Caps[[#Totals],[Gross Measure Cost Total]], Value_Project_CAP)/Table_Measure_Caps[[#Totals],[Estimated Raw Incentive Total]], "")</f>
        <v/>
      </c>
      <c r="J434" s="45">
        <f>'Input Lighting Control Measures'!I136</f>
        <v>0</v>
      </c>
      <c r="K434" s="14">
        <f>'Input Lighting Control Measures'!J136</f>
        <v>0</v>
      </c>
      <c r="L434" s="15" t="e">
        <f>'Input Lighting Control Measures'!W136</f>
        <v>#N/A</v>
      </c>
      <c r="M434" s="17">
        <f>'Input Lighting Control Measures'!H136</f>
        <v>0</v>
      </c>
      <c r="N434" s="15">
        <f>'Input Lighting Control Measures'!H136</f>
        <v>0</v>
      </c>
      <c r="O434" s="31" t="str">
        <f t="shared" si="12"/>
        <v>Version 4.1 - 2026</v>
      </c>
      <c r="P434" s="89">
        <f>'Input Lighting Control Measures'!E136</f>
        <v>0</v>
      </c>
      <c r="Q434" s="42" t="str">
        <f>'Input Lighting Control Measures'!L136</f>
        <v/>
      </c>
    </row>
    <row r="435" spans="1:17" x14ac:dyDescent="0.2">
      <c r="A435" s="15" t="s">
        <v>6294</v>
      </c>
      <c r="B435" s="14">
        <f t="shared" si="13"/>
        <v>0</v>
      </c>
      <c r="C435" s="14">
        <f>'Input Lighting Control Measures'!B137</f>
        <v>133</v>
      </c>
      <c r="D435" s="14" t="str">
        <f>'Input Lighting Control Measures'!C137</f>
        <v/>
      </c>
      <c r="E435" s="14" t="s">
        <v>6295</v>
      </c>
      <c r="F435" s="16">
        <f>1</f>
        <v>1</v>
      </c>
      <c r="G435" s="16" t="str">
        <f>'Input Lighting Control Measures'!M137</f>
        <v/>
      </c>
      <c r="H435" s="104" t="str">
        <f>'Input Lighting Control Measures'!N137</f>
        <v/>
      </c>
      <c r="I435" s="45" t="str">
        <f>IFERROR(Q435*MIN(Table_Measure_Caps[[#Totals],[Estimated Raw Incentive Total]], Table_Measure_Caps[[#Totals],[Gross Measure Cost Total]], Value_Project_CAP)/Table_Measure_Caps[[#Totals],[Estimated Raw Incentive Total]], "")</f>
        <v/>
      </c>
      <c r="J435" s="45">
        <f>'Input Lighting Control Measures'!I137</f>
        <v>0</v>
      </c>
      <c r="K435" s="14">
        <f>'Input Lighting Control Measures'!J137</f>
        <v>0</v>
      </c>
      <c r="L435" s="15" t="e">
        <f>'Input Lighting Control Measures'!W137</f>
        <v>#N/A</v>
      </c>
      <c r="M435" s="17">
        <f>'Input Lighting Control Measures'!H137</f>
        <v>0</v>
      </c>
      <c r="N435" s="15">
        <f>'Input Lighting Control Measures'!H137</f>
        <v>0</v>
      </c>
      <c r="O435" s="31" t="str">
        <f t="shared" si="12"/>
        <v>Version 4.1 - 2026</v>
      </c>
      <c r="P435" s="89">
        <f>'Input Lighting Control Measures'!E137</f>
        <v>0</v>
      </c>
      <c r="Q435" s="42" t="str">
        <f>'Input Lighting Control Measures'!L137</f>
        <v/>
      </c>
    </row>
    <row r="436" spans="1:17" x14ac:dyDescent="0.2">
      <c r="A436" s="15" t="s">
        <v>6294</v>
      </c>
      <c r="B436" s="14">
        <f t="shared" si="13"/>
        <v>0</v>
      </c>
      <c r="C436" s="14">
        <f>'Input Lighting Control Measures'!B138</f>
        <v>134</v>
      </c>
      <c r="D436" s="14" t="str">
        <f>'Input Lighting Control Measures'!C138</f>
        <v/>
      </c>
      <c r="E436" s="14" t="s">
        <v>6295</v>
      </c>
      <c r="F436" s="16">
        <f>1</f>
        <v>1</v>
      </c>
      <c r="G436" s="16" t="str">
        <f>'Input Lighting Control Measures'!M138</f>
        <v/>
      </c>
      <c r="H436" s="104" t="str">
        <f>'Input Lighting Control Measures'!N138</f>
        <v/>
      </c>
      <c r="I436" s="45" t="str">
        <f>IFERROR(Q436*MIN(Table_Measure_Caps[[#Totals],[Estimated Raw Incentive Total]], Table_Measure_Caps[[#Totals],[Gross Measure Cost Total]], Value_Project_CAP)/Table_Measure_Caps[[#Totals],[Estimated Raw Incentive Total]], "")</f>
        <v/>
      </c>
      <c r="J436" s="45">
        <f>'Input Lighting Control Measures'!I138</f>
        <v>0</v>
      </c>
      <c r="K436" s="14">
        <f>'Input Lighting Control Measures'!J138</f>
        <v>0</v>
      </c>
      <c r="L436" s="15" t="e">
        <f>'Input Lighting Control Measures'!W138</f>
        <v>#N/A</v>
      </c>
      <c r="M436" s="17">
        <f>'Input Lighting Control Measures'!H138</f>
        <v>0</v>
      </c>
      <c r="N436" s="15">
        <f>'Input Lighting Control Measures'!H138</f>
        <v>0</v>
      </c>
      <c r="O436" s="31" t="str">
        <f t="shared" si="12"/>
        <v>Version 4.1 - 2026</v>
      </c>
      <c r="P436" s="89">
        <f>'Input Lighting Control Measures'!E138</f>
        <v>0</v>
      </c>
      <c r="Q436" s="42" t="str">
        <f>'Input Lighting Control Measures'!L138</f>
        <v/>
      </c>
    </row>
    <row r="437" spans="1:17" x14ac:dyDescent="0.2">
      <c r="A437" s="15" t="s">
        <v>6294</v>
      </c>
      <c r="B437" s="14">
        <f t="shared" si="13"/>
        <v>0</v>
      </c>
      <c r="C437" s="14">
        <f>'Input Lighting Control Measures'!B139</f>
        <v>135</v>
      </c>
      <c r="D437" s="14" t="str">
        <f>'Input Lighting Control Measures'!C139</f>
        <v/>
      </c>
      <c r="E437" s="14" t="s">
        <v>6295</v>
      </c>
      <c r="F437" s="16">
        <f>1</f>
        <v>1</v>
      </c>
      <c r="G437" s="16" t="str">
        <f>'Input Lighting Control Measures'!M139</f>
        <v/>
      </c>
      <c r="H437" s="104" t="str">
        <f>'Input Lighting Control Measures'!N139</f>
        <v/>
      </c>
      <c r="I437" s="45" t="str">
        <f>IFERROR(Q437*MIN(Table_Measure_Caps[[#Totals],[Estimated Raw Incentive Total]], Table_Measure_Caps[[#Totals],[Gross Measure Cost Total]], Value_Project_CAP)/Table_Measure_Caps[[#Totals],[Estimated Raw Incentive Total]], "")</f>
        <v/>
      </c>
      <c r="J437" s="45">
        <f>'Input Lighting Control Measures'!I139</f>
        <v>0</v>
      </c>
      <c r="K437" s="14">
        <f>'Input Lighting Control Measures'!J139</f>
        <v>0</v>
      </c>
      <c r="L437" s="15" t="e">
        <f>'Input Lighting Control Measures'!W139</f>
        <v>#N/A</v>
      </c>
      <c r="M437" s="17">
        <f>'Input Lighting Control Measures'!H139</f>
        <v>0</v>
      </c>
      <c r="N437" s="15">
        <f>'Input Lighting Control Measures'!H139</f>
        <v>0</v>
      </c>
      <c r="O437" s="31" t="str">
        <f t="shared" si="12"/>
        <v>Version 4.1 - 2026</v>
      </c>
      <c r="P437" s="89">
        <f>'Input Lighting Control Measures'!E139</f>
        <v>0</v>
      </c>
      <c r="Q437" s="42" t="str">
        <f>'Input Lighting Control Measures'!L139</f>
        <v/>
      </c>
    </row>
    <row r="438" spans="1:17" x14ac:dyDescent="0.2">
      <c r="A438" s="15" t="s">
        <v>6294</v>
      </c>
      <c r="B438" s="14">
        <f t="shared" si="13"/>
        <v>0</v>
      </c>
      <c r="C438" s="14">
        <f>'Input Lighting Control Measures'!B140</f>
        <v>136</v>
      </c>
      <c r="D438" s="14" t="str">
        <f>'Input Lighting Control Measures'!C140</f>
        <v/>
      </c>
      <c r="E438" s="14" t="s">
        <v>6295</v>
      </c>
      <c r="F438" s="16">
        <f>1</f>
        <v>1</v>
      </c>
      <c r="G438" s="16" t="str">
        <f>'Input Lighting Control Measures'!M140</f>
        <v/>
      </c>
      <c r="H438" s="104" t="str">
        <f>'Input Lighting Control Measures'!N140</f>
        <v/>
      </c>
      <c r="I438" s="45" t="str">
        <f>IFERROR(Q438*MIN(Table_Measure_Caps[[#Totals],[Estimated Raw Incentive Total]], Table_Measure_Caps[[#Totals],[Gross Measure Cost Total]], Value_Project_CAP)/Table_Measure_Caps[[#Totals],[Estimated Raw Incentive Total]], "")</f>
        <v/>
      </c>
      <c r="J438" s="45">
        <f>'Input Lighting Control Measures'!I140</f>
        <v>0</v>
      </c>
      <c r="K438" s="14">
        <f>'Input Lighting Control Measures'!J140</f>
        <v>0</v>
      </c>
      <c r="L438" s="15" t="e">
        <f>'Input Lighting Control Measures'!W140</f>
        <v>#N/A</v>
      </c>
      <c r="M438" s="17">
        <f>'Input Lighting Control Measures'!H140</f>
        <v>0</v>
      </c>
      <c r="N438" s="15">
        <f>'Input Lighting Control Measures'!H140</f>
        <v>0</v>
      </c>
      <c r="O438" s="31" t="str">
        <f t="shared" si="12"/>
        <v>Version 4.1 - 2026</v>
      </c>
      <c r="P438" s="89">
        <f>'Input Lighting Control Measures'!E140</f>
        <v>0</v>
      </c>
      <c r="Q438" s="42" t="str">
        <f>'Input Lighting Control Measures'!L140</f>
        <v/>
      </c>
    </row>
    <row r="439" spans="1:17" x14ac:dyDescent="0.2">
      <c r="A439" s="15" t="s">
        <v>6294</v>
      </c>
      <c r="B439" s="14">
        <f t="shared" si="13"/>
        <v>0</v>
      </c>
      <c r="C439" s="14">
        <f>'Input Lighting Control Measures'!B141</f>
        <v>137</v>
      </c>
      <c r="D439" s="14" t="str">
        <f>'Input Lighting Control Measures'!C141</f>
        <v/>
      </c>
      <c r="E439" s="14" t="s">
        <v>6295</v>
      </c>
      <c r="F439" s="16">
        <f>1</f>
        <v>1</v>
      </c>
      <c r="G439" s="16" t="str">
        <f>'Input Lighting Control Measures'!M141</f>
        <v/>
      </c>
      <c r="H439" s="104" t="str">
        <f>'Input Lighting Control Measures'!N141</f>
        <v/>
      </c>
      <c r="I439" s="45" t="str">
        <f>IFERROR(Q439*MIN(Table_Measure_Caps[[#Totals],[Estimated Raw Incentive Total]], Table_Measure_Caps[[#Totals],[Gross Measure Cost Total]], Value_Project_CAP)/Table_Measure_Caps[[#Totals],[Estimated Raw Incentive Total]], "")</f>
        <v/>
      </c>
      <c r="J439" s="45">
        <f>'Input Lighting Control Measures'!I141</f>
        <v>0</v>
      </c>
      <c r="K439" s="14">
        <f>'Input Lighting Control Measures'!J141</f>
        <v>0</v>
      </c>
      <c r="L439" s="15" t="e">
        <f>'Input Lighting Control Measures'!W141</f>
        <v>#N/A</v>
      </c>
      <c r="M439" s="17">
        <f>'Input Lighting Control Measures'!H141</f>
        <v>0</v>
      </c>
      <c r="N439" s="15">
        <f>'Input Lighting Control Measures'!H141</f>
        <v>0</v>
      </c>
      <c r="O439" s="31" t="str">
        <f t="shared" si="12"/>
        <v>Version 4.1 - 2026</v>
      </c>
      <c r="P439" s="89">
        <f>'Input Lighting Control Measures'!E141</f>
        <v>0</v>
      </c>
      <c r="Q439" s="42" t="str">
        <f>'Input Lighting Control Measures'!L141</f>
        <v/>
      </c>
    </row>
    <row r="440" spans="1:17" x14ac:dyDescent="0.2">
      <c r="A440" s="15" t="s">
        <v>6294</v>
      </c>
      <c r="B440" s="14">
        <f t="shared" si="13"/>
        <v>0</v>
      </c>
      <c r="C440" s="14">
        <f>'Input Lighting Control Measures'!B142</f>
        <v>138</v>
      </c>
      <c r="D440" s="14" t="str">
        <f>'Input Lighting Control Measures'!C142</f>
        <v/>
      </c>
      <c r="E440" s="14" t="s">
        <v>6295</v>
      </c>
      <c r="F440" s="16">
        <f>1</f>
        <v>1</v>
      </c>
      <c r="G440" s="16" t="str">
        <f>'Input Lighting Control Measures'!M142</f>
        <v/>
      </c>
      <c r="H440" s="104" t="str">
        <f>'Input Lighting Control Measures'!N142</f>
        <v/>
      </c>
      <c r="I440" s="45" t="str">
        <f>IFERROR(Q440*MIN(Table_Measure_Caps[[#Totals],[Estimated Raw Incentive Total]], Table_Measure_Caps[[#Totals],[Gross Measure Cost Total]], Value_Project_CAP)/Table_Measure_Caps[[#Totals],[Estimated Raw Incentive Total]], "")</f>
        <v/>
      </c>
      <c r="J440" s="45">
        <f>'Input Lighting Control Measures'!I142</f>
        <v>0</v>
      </c>
      <c r="K440" s="14">
        <f>'Input Lighting Control Measures'!J142</f>
        <v>0</v>
      </c>
      <c r="L440" s="15" t="e">
        <f>'Input Lighting Control Measures'!W142</f>
        <v>#N/A</v>
      </c>
      <c r="M440" s="17">
        <f>'Input Lighting Control Measures'!H142</f>
        <v>0</v>
      </c>
      <c r="N440" s="15">
        <f>'Input Lighting Control Measures'!H142</f>
        <v>0</v>
      </c>
      <c r="O440" s="31" t="str">
        <f t="shared" si="12"/>
        <v>Version 4.1 - 2026</v>
      </c>
      <c r="P440" s="89">
        <f>'Input Lighting Control Measures'!E142</f>
        <v>0</v>
      </c>
      <c r="Q440" s="42" t="str">
        <f>'Input Lighting Control Measures'!L142</f>
        <v/>
      </c>
    </row>
    <row r="441" spans="1:17" x14ac:dyDescent="0.2">
      <c r="A441" s="15" t="s">
        <v>6294</v>
      </c>
      <c r="B441" s="14">
        <f t="shared" si="13"/>
        <v>0</v>
      </c>
      <c r="C441" s="14">
        <f>'Input Lighting Control Measures'!B143</f>
        <v>139</v>
      </c>
      <c r="D441" s="14" t="str">
        <f>'Input Lighting Control Measures'!C143</f>
        <v/>
      </c>
      <c r="E441" s="14" t="s">
        <v>6295</v>
      </c>
      <c r="F441" s="16">
        <f>1</f>
        <v>1</v>
      </c>
      <c r="G441" s="16" t="str">
        <f>'Input Lighting Control Measures'!M143</f>
        <v/>
      </c>
      <c r="H441" s="104" t="str">
        <f>'Input Lighting Control Measures'!N143</f>
        <v/>
      </c>
      <c r="I441" s="45" t="str">
        <f>IFERROR(Q441*MIN(Table_Measure_Caps[[#Totals],[Estimated Raw Incentive Total]], Table_Measure_Caps[[#Totals],[Gross Measure Cost Total]], Value_Project_CAP)/Table_Measure_Caps[[#Totals],[Estimated Raw Incentive Total]], "")</f>
        <v/>
      </c>
      <c r="J441" s="45">
        <f>'Input Lighting Control Measures'!I143</f>
        <v>0</v>
      </c>
      <c r="K441" s="14">
        <f>'Input Lighting Control Measures'!J143</f>
        <v>0</v>
      </c>
      <c r="L441" s="15" t="e">
        <f>'Input Lighting Control Measures'!W143</f>
        <v>#N/A</v>
      </c>
      <c r="M441" s="17">
        <f>'Input Lighting Control Measures'!H143</f>
        <v>0</v>
      </c>
      <c r="N441" s="15">
        <f>'Input Lighting Control Measures'!H143</f>
        <v>0</v>
      </c>
      <c r="O441" s="31" t="str">
        <f t="shared" si="12"/>
        <v>Version 4.1 - 2026</v>
      </c>
      <c r="P441" s="89">
        <f>'Input Lighting Control Measures'!E143</f>
        <v>0</v>
      </c>
      <c r="Q441" s="42" t="str">
        <f>'Input Lighting Control Measures'!L143</f>
        <v/>
      </c>
    </row>
    <row r="442" spans="1:17" x14ac:dyDescent="0.2">
      <c r="A442" s="15" t="s">
        <v>6294</v>
      </c>
      <c r="B442" s="14">
        <f t="shared" si="13"/>
        <v>0</v>
      </c>
      <c r="C442" s="14">
        <f>'Input Lighting Control Measures'!B144</f>
        <v>140</v>
      </c>
      <c r="D442" s="14" t="str">
        <f>'Input Lighting Control Measures'!C144</f>
        <v/>
      </c>
      <c r="E442" s="14" t="s">
        <v>6295</v>
      </c>
      <c r="F442" s="16">
        <f>1</f>
        <v>1</v>
      </c>
      <c r="G442" s="16" t="str">
        <f>'Input Lighting Control Measures'!M144</f>
        <v/>
      </c>
      <c r="H442" s="104" t="str">
        <f>'Input Lighting Control Measures'!N144</f>
        <v/>
      </c>
      <c r="I442" s="45" t="str">
        <f>IFERROR(Q442*MIN(Table_Measure_Caps[[#Totals],[Estimated Raw Incentive Total]], Table_Measure_Caps[[#Totals],[Gross Measure Cost Total]], Value_Project_CAP)/Table_Measure_Caps[[#Totals],[Estimated Raw Incentive Total]], "")</f>
        <v/>
      </c>
      <c r="J442" s="45">
        <f>'Input Lighting Control Measures'!I144</f>
        <v>0</v>
      </c>
      <c r="K442" s="14">
        <f>'Input Lighting Control Measures'!J144</f>
        <v>0</v>
      </c>
      <c r="L442" s="15" t="e">
        <f>'Input Lighting Control Measures'!W144</f>
        <v>#N/A</v>
      </c>
      <c r="M442" s="17">
        <f>'Input Lighting Control Measures'!H144</f>
        <v>0</v>
      </c>
      <c r="N442" s="15">
        <f>'Input Lighting Control Measures'!H144</f>
        <v>0</v>
      </c>
      <c r="O442" s="31" t="str">
        <f t="shared" si="12"/>
        <v>Version 4.1 - 2026</v>
      </c>
      <c r="P442" s="89">
        <f>'Input Lighting Control Measures'!E144</f>
        <v>0</v>
      </c>
      <c r="Q442" s="42" t="str">
        <f>'Input Lighting Control Measures'!L144</f>
        <v/>
      </c>
    </row>
    <row r="443" spans="1:17" x14ac:dyDescent="0.2">
      <c r="A443" s="15" t="s">
        <v>6294</v>
      </c>
      <c r="B443" s="14">
        <f t="shared" si="13"/>
        <v>0</v>
      </c>
      <c r="C443" s="14">
        <f>'Input Lighting Control Measures'!B145</f>
        <v>141</v>
      </c>
      <c r="D443" s="14" t="str">
        <f>'Input Lighting Control Measures'!C145</f>
        <v/>
      </c>
      <c r="E443" s="14" t="s">
        <v>6295</v>
      </c>
      <c r="F443" s="16">
        <f>1</f>
        <v>1</v>
      </c>
      <c r="G443" s="16" t="str">
        <f>'Input Lighting Control Measures'!M145</f>
        <v/>
      </c>
      <c r="H443" s="104" t="str">
        <f>'Input Lighting Control Measures'!N145</f>
        <v/>
      </c>
      <c r="I443" s="45" t="str">
        <f>IFERROR(Q443*MIN(Table_Measure_Caps[[#Totals],[Estimated Raw Incentive Total]], Table_Measure_Caps[[#Totals],[Gross Measure Cost Total]], Value_Project_CAP)/Table_Measure_Caps[[#Totals],[Estimated Raw Incentive Total]], "")</f>
        <v/>
      </c>
      <c r="J443" s="45">
        <f>'Input Lighting Control Measures'!I145</f>
        <v>0</v>
      </c>
      <c r="K443" s="14">
        <f>'Input Lighting Control Measures'!J145</f>
        <v>0</v>
      </c>
      <c r="L443" s="15" t="e">
        <f>'Input Lighting Control Measures'!W145</f>
        <v>#N/A</v>
      </c>
      <c r="M443" s="17">
        <f>'Input Lighting Control Measures'!H145</f>
        <v>0</v>
      </c>
      <c r="N443" s="15">
        <f>'Input Lighting Control Measures'!H145</f>
        <v>0</v>
      </c>
      <c r="O443" s="31" t="str">
        <f t="shared" si="12"/>
        <v>Version 4.1 - 2026</v>
      </c>
      <c r="P443" s="89">
        <f>'Input Lighting Control Measures'!E145</f>
        <v>0</v>
      </c>
      <c r="Q443" s="42" t="str">
        <f>'Input Lighting Control Measures'!L145</f>
        <v/>
      </c>
    </row>
    <row r="444" spans="1:17" x14ac:dyDescent="0.2">
      <c r="A444" s="15" t="s">
        <v>6294</v>
      </c>
      <c r="B444" s="14">
        <f t="shared" si="13"/>
        <v>0</v>
      </c>
      <c r="C444" s="14">
        <f>'Input Lighting Control Measures'!B146</f>
        <v>142</v>
      </c>
      <c r="D444" s="14" t="str">
        <f>'Input Lighting Control Measures'!C146</f>
        <v/>
      </c>
      <c r="E444" s="14" t="s">
        <v>6295</v>
      </c>
      <c r="F444" s="16">
        <f>1</f>
        <v>1</v>
      </c>
      <c r="G444" s="16" t="str">
        <f>'Input Lighting Control Measures'!M146</f>
        <v/>
      </c>
      <c r="H444" s="104" t="str">
        <f>'Input Lighting Control Measures'!N146</f>
        <v/>
      </c>
      <c r="I444" s="45" t="str">
        <f>IFERROR(Q444*MIN(Table_Measure_Caps[[#Totals],[Estimated Raw Incentive Total]], Table_Measure_Caps[[#Totals],[Gross Measure Cost Total]], Value_Project_CAP)/Table_Measure_Caps[[#Totals],[Estimated Raw Incentive Total]], "")</f>
        <v/>
      </c>
      <c r="J444" s="45">
        <f>'Input Lighting Control Measures'!I146</f>
        <v>0</v>
      </c>
      <c r="K444" s="14">
        <f>'Input Lighting Control Measures'!J146</f>
        <v>0</v>
      </c>
      <c r="L444" s="15" t="e">
        <f>'Input Lighting Control Measures'!W146</f>
        <v>#N/A</v>
      </c>
      <c r="M444" s="17">
        <f>'Input Lighting Control Measures'!H146</f>
        <v>0</v>
      </c>
      <c r="N444" s="15">
        <f>'Input Lighting Control Measures'!H146</f>
        <v>0</v>
      </c>
      <c r="O444" s="31" t="str">
        <f t="shared" si="12"/>
        <v>Version 4.1 - 2026</v>
      </c>
      <c r="P444" s="89">
        <f>'Input Lighting Control Measures'!E146</f>
        <v>0</v>
      </c>
      <c r="Q444" s="42" t="str">
        <f>'Input Lighting Control Measures'!L146</f>
        <v/>
      </c>
    </row>
    <row r="445" spans="1:17" x14ac:dyDescent="0.2">
      <c r="A445" s="15" t="s">
        <v>6294</v>
      </c>
      <c r="B445" s="14">
        <f t="shared" si="13"/>
        <v>0</v>
      </c>
      <c r="C445" s="14">
        <f>'Input Lighting Control Measures'!B147</f>
        <v>143</v>
      </c>
      <c r="D445" s="14" t="str">
        <f>'Input Lighting Control Measures'!C147</f>
        <v/>
      </c>
      <c r="E445" s="14" t="s">
        <v>6295</v>
      </c>
      <c r="F445" s="16">
        <f>1</f>
        <v>1</v>
      </c>
      <c r="G445" s="16" t="str">
        <f>'Input Lighting Control Measures'!M147</f>
        <v/>
      </c>
      <c r="H445" s="104" t="str">
        <f>'Input Lighting Control Measures'!N147</f>
        <v/>
      </c>
      <c r="I445" s="45" t="str">
        <f>IFERROR(Q445*MIN(Table_Measure_Caps[[#Totals],[Estimated Raw Incentive Total]], Table_Measure_Caps[[#Totals],[Gross Measure Cost Total]], Value_Project_CAP)/Table_Measure_Caps[[#Totals],[Estimated Raw Incentive Total]], "")</f>
        <v/>
      </c>
      <c r="J445" s="45">
        <f>'Input Lighting Control Measures'!I147</f>
        <v>0</v>
      </c>
      <c r="K445" s="14">
        <f>'Input Lighting Control Measures'!J147</f>
        <v>0</v>
      </c>
      <c r="L445" s="15" t="e">
        <f>'Input Lighting Control Measures'!W147</f>
        <v>#N/A</v>
      </c>
      <c r="M445" s="17">
        <f>'Input Lighting Control Measures'!H147</f>
        <v>0</v>
      </c>
      <c r="N445" s="15">
        <f>'Input Lighting Control Measures'!H147</f>
        <v>0</v>
      </c>
      <c r="O445" s="31" t="str">
        <f t="shared" si="12"/>
        <v>Version 4.1 - 2026</v>
      </c>
      <c r="P445" s="89">
        <f>'Input Lighting Control Measures'!E147</f>
        <v>0</v>
      </c>
      <c r="Q445" s="42" t="str">
        <f>'Input Lighting Control Measures'!L147</f>
        <v/>
      </c>
    </row>
    <row r="446" spans="1:17" x14ac:dyDescent="0.2">
      <c r="A446" s="15" t="s">
        <v>6294</v>
      </c>
      <c r="B446" s="14">
        <f t="shared" si="13"/>
        <v>0</v>
      </c>
      <c r="C446" s="14">
        <f>'Input Lighting Control Measures'!B148</f>
        <v>144</v>
      </c>
      <c r="D446" s="14" t="str">
        <f>'Input Lighting Control Measures'!C148</f>
        <v/>
      </c>
      <c r="E446" s="14" t="s">
        <v>6295</v>
      </c>
      <c r="F446" s="16">
        <f>1</f>
        <v>1</v>
      </c>
      <c r="G446" s="16" t="str">
        <f>'Input Lighting Control Measures'!M148</f>
        <v/>
      </c>
      <c r="H446" s="104" t="str">
        <f>'Input Lighting Control Measures'!N148</f>
        <v/>
      </c>
      <c r="I446" s="45" t="str">
        <f>IFERROR(Q446*MIN(Table_Measure_Caps[[#Totals],[Estimated Raw Incentive Total]], Table_Measure_Caps[[#Totals],[Gross Measure Cost Total]], Value_Project_CAP)/Table_Measure_Caps[[#Totals],[Estimated Raw Incentive Total]], "")</f>
        <v/>
      </c>
      <c r="J446" s="45">
        <f>'Input Lighting Control Measures'!I148</f>
        <v>0</v>
      </c>
      <c r="K446" s="14">
        <f>'Input Lighting Control Measures'!J148</f>
        <v>0</v>
      </c>
      <c r="L446" s="15" t="e">
        <f>'Input Lighting Control Measures'!W148</f>
        <v>#N/A</v>
      </c>
      <c r="M446" s="17">
        <f>'Input Lighting Control Measures'!H148</f>
        <v>0</v>
      </c>
      <c r="N446" s="15">
        <f>'Input Lighting Control Measures'!H148</f>
        <v>0</v>
      </c>
      <c r="O446" s="31" t="str">
        <f t="shared" si="12"/>
        <v>Version 4.1 - 2026</v>
      </c>
      <c r="P446" s="89">
        <f>'Input Lighting Control Measures'!E148</f>
        <v>0</v>
      </c>
      <c r="Q446" s="42" t="str">
        <f>'Input Lighting Control Measures'!L148</f>
        <v/>
      </c>
    </row>
    <row r="447" spans="1:17" x14ac:dyDescent="0.2">
      <c r="A447" s="15" t="s">
        <v>6294</v>
      </c>
      <c r="B447" s="14">
        <f t="shared" si="13"/>
        <v>0</v>
      </c>
      <c r="C447" s="14">
        <f>'Input Lighting Control Measures'!B149</f>
        <v>145</v>
      </c>
      <c r="D447" s="14" t="str">
        <f>'Input Lighting Control Measures'!C149</f>
        <v/>
      </c>
      <c r="E447" s="14" t="s">
        <v>6295</v>
      </c>
      <c r="F447" s="16">
        <f>1</f>
        <v>1</v>
      </c>
      <c r="G447" s="16" t="str">
        <f>'Input Lighting Control Measures'!M149</f>
        <v/>
      </c>
      <c r="H447" s="104" t="str">
        <f>'Input Lighting Control Measures'!N149</f>
        <v/>
      </c>
      <c r="I447" s="45" t="str">
        <f>IFERROR(Q447*MIN(Table_Measure_Caps[[#Totals],[Estimated Raw Incentive Total]], Table_Measure_Caps[[#Totals],[Gross Measure Cost Total]], Value_Project_CAP)/Table_Measure_Caps[[#Totals],[Estimated Raw Incentive Total]], "")</f>
        <v/>
      </c>
      <c r="J447" s="45">
        <f>'Input Lighting Control Measures'!I149</f>
        <v>0</v>
      </c>
      <c r="K447" s="14">
        <f>'Input Lighting Control Measures'!J149</f>
        <v>0</v>
      </c>
      <c r="L447" s="15" t="e">
        <f>'Input Lighting Control Measures'!W149</f>
        <v>#N/A</v>
      </c>
      <c r="M447" s="17">
        <f>'Input Lighting Control Measures'!H149</f>
        <v>0</v>
      </c>
      <c r="N447" s="15">
        <f>'Input Lighting Control Measures'!H149</f>
        <v>0</v>
      </c>
      <c r="O447" s="31" t="str">
        <f t="shared" si="12"/>
        <v>Version 4.1 - 2026</v>
      </c>
      <c r="P447" s="89">
        <f>'Input Lighting Control Measures'!E149</f>
        <v>0</v>
      </c>
      <c r="Q447" s="42" t="str">
        <f>'Input Lighting Control Measures'!L149</f>
        <v/>
      </c>
    </row>
    <row r="448" spans="1:17" x14ac:dyDescent="0.2">
      <c r="A448" s="15" t="s">
        <v>6294</v>
      </c>
      <c r="B448" s="14">
        <f t="shared" si="13"/>
        <v>0</v>
      </c>
      <c r="C448" s="14">
        <f>'Input Lighting Control Measures'!B150</f>
        <v>146</v>
      </c>
      <c r="D448" s="14" t="str">
        <f>'Input Lighting Control Measures'!C150</f>
        <v/>
      </c>
      <c r="E448" s="14" t="s">
        <v>6295</v>
      </c>
      <c r="F448" s="16">
        <f>1</f>
        <v>1</v>
      </c>
      <c r="G448" s="16" t="str">
        <f>'Input Lighting Control Measures'!M150</f>
        <v/>
      </c>
      <c r="H448" s="104" t="str">
        <f>'Input Lighting Control Measures'!N150</f>
        <v/>
      </c>
      <c r="I448" s="45" t="str">
        <f>IFERROR(Q448*MIN(Table_Measure_Caps[[#Totals],[Estimated Raw Incentive Total]], Table_Measure_Caps[[#Totals],[Gross Measure Cost Total]], Value_Project_CAP)/Table_Measure_Caps[[#Totals],[Estimated Raw Incentive Total]], "")</f>
        <v/>
      </c>
      <c r="J448" s="45">
        <f>'Input Lighting Control Measures'!I150</f>
        <v>0</v>
      </c>
      <c r="K448" s="14">
        <f>'Input Lighting Control Measures'!J150</f>
        <v>0</v>
      </c>
      <c r="L448" s="15" t="e">
        <f>'Input Lighting Control Measures'!W150</f>
        <v>#N/A</v>
      </c>
      <c r="M448" s="17">
        <f>'Input Lighting Control Measures'!H150</f>
        <v>0</v>
      </c>
      <c r="N448" s="15">
        <f>'Input Lighting Control Measures'!H150</f>
        <v>0</v>
      </c>
      <c r="O448" s="31" t="str">
        <f t="shared" si="12"/>
        <v>Version 4.1 - 2026</v>
      </c>
      <c r="P448" s="89">
        <f>'Input Lighting Control Measures'!E150</f>
        <v>0</v>
      </c>
      <c r="Q448" s="42" t="str">
        <f>'Input Lighting Control Measures'!L150</f>
        <v/>
      </c>
    </row>
    <row r="449" spans="1:17" x14ac:dyDescent="0.2">
      <c r="A449" s="15" t="s">
        <v>6294</v>
      </c>
      <c r="B449" s="14">
        <f t="shared" si="13"/>
        <v>0</v>
      </c>
      <c r="C449" s="14">
        <f>'Input Lighting Control Measures'!B151</f>
        <v>147</v>
      </c>
      <c r="D449" s="14" t="str">
        <f>'Input Lighting Control Measures'!C151</f>
        <v/>
      </c>
      <c r="E449" s="14" t="s">
        <v>6295</v>
      </c>
      <c r="F449" s="16">
        <f>1</f>
        <v>1</v>
      </c>
      <c r="G449" s="16" t="str">
        <f>'Input Lighting Control Measures'!M151</f>
        <v/>
      </c>
      <c r="H449" s="104" t="str">
        <f>'Input Lighting Control Measures'!N151</f>
        <v/>
      </c>
      <c r="I449" s="45" t="str">
        <f>IFERROR(Q449*MIN(Table_Measure_Caps[[#Totals],[Estimated Raw Incentive Total]], Table_Measure_Caps[[#Totals],[Gross Measure Cost Total]], Value_Project_CAP)/Table_Measure_Caps[[#Totals],[Estimated Raw Incentive Total]], "")</f>
        <v/>
      </c>
      <c r="J449" s="45">
        <f>'Input Lighting Control Measures'!I151</f>
        <v>0</v>
      </c>
      <c r="K449" s="14">
        <f>'Input Lighting Control Measures'!J151</f>
        <v>0</v>
      </c>
      <c r="L449" s="15" t="e">
        <f>'Input Lighting Control Measures'!W151</f>
        <v>#N/A</v>
      </c>
      <c r="M449" s="17">
        <f>'Input Lighting Control Measures'!H151</f>
        <v>0</v>
      </c>
      <c r="N449" s="15">
        <f>'Input Lighting Control Measures'!H151</f>
        <v>0</v>
      </c>
      <c r="O449" s="31" t="str">
        <f t="shared" si="12"/>
        <v>Version 4.1 - 2026</v>
      </c>
      <c r="P449" s="89">
        <f>'Input Lighting Control Measures'!E151</f>
        <v>0</v>
      </c>
      <c r="Q449" s="42" t="str">
        <f>'Input Lighting Control Measures'!L151</f>
        <v/>
      </c>
    </row>
    <row r="450" spans="1:17" x14ac:dyDescent="0.2">
      <c r="A450" s="15" t="s">
        <v>6294</v>
      </c>
      <c r="B450" s="14">
        <f t="shared" si="13"/>
        <v>0</v>
      </c>
      <c r="C450" s="14">
        <f>'Input Lighting Control Measures'!B152</f>
        <v>148</v>
      </c>
      <c r="D450" s="14" t="str">
        <f>'Input Lighting Control Measures'!C152</f>
        <v/>
      </c>
      <c r="E450" s="14" t="s">
        <v>6295</v>
      </c>
      <c r="F450" s="16">
        <f>1</f>
        <v>1</v>
      </c>
      <c r="G450" s="16" t="str">
        <f>'Input Lighting Control Measures'!M152</f>
        <v/>
      </c>
      <c r="H450" s="104" t="str">
        <f>'Input Lighting Control Measures'!N152</f>
        <v/>
      </c>
      <c r="I450" s="45" t="str">
        <f>IFERROR(Q450*MIN(Table_Measure_Caps[[#Totals],[Estimated Raw Incentive Total]], Table_Measure_Caps[[#Totals],[Gross Measure Cost Total]], Value_Project_CAP)/Table_Measure_Caps[[#Totals],[Estimated Raw Incentive Total]], "")</f>
        <v/>
      </c>
      <c r="J450" s="45">
        <f>'Input Lighting Control Measures'!I152</f>
        <v>0</v>
      </c>
      <c r="K450" s="14">
        <f>'Input Lighting Control Measures'!J152</f>
        <v>0</v>
      </c>
      <c r="L450" s="15" t="e">
        <f>'Input Lighting Control Measures'!W152</f>
        <v>#N/A</v>
      </c>
      <c r="M450" s="17">
        <f>'Input Lighting Control Measures'!H152</f>
        <v>0</v>
      </c>
      <c r="N450" s="15">
        <f>'Input Lighting Control Measures'!H152</f>
        <v>0</v>
      </c>
      <c r="O450" s="31" t="str">
        <f t="shared" ref="O450:O502" si="14">Value_Application_Version</f>
        <v>Version 4.1 - 2026</v>
      </c>
      <c r="P450" s="89">
        <f>'Input Lighting Control Measures'!E152</f>
        <v>0</v>
      </c>
      <c r="Q450" s="42" t="str">
        <f>'Input Lighting Control Measures'!L152</f>
        <v/>
      </c>
    </row>
    <row r="451" spans="1:17" x14ac:dyDescent="0.2">
      <c r="A451" s="15" t="s">
        <v>6294</v>
      </c>
      <c r="B451" s="14">
        <f t="shared" si="13"/>
        <v>0</v>
      </c>
      <c r="C451" s="14">
        <f>'Input Lighting Control Measures'!B153</f>
        <v>149</v>
      </c>
      <c r="D451" s="14" t="str">
        <f>'Input Lighting Control Measures'!C153</f>
        <v/>
      </c>
      <c r="E451" s="14" t="s">
        <v>6295</v>
      </c>
      <c r="F451" s="16">
        <f>1</f>
        <v>1</v>
      </c>
      <c r="G451" s="16" t="str">
        <f>'Input Lighting Control Measures'!M153</f>
        <v/>
      </c>
      <c r="H451" s="104" t="str">
        <f>'Input Lighting Control Measures'!N153</f>
        <v/>
      </c>
      <c r="I451" s="45" t="str">
        <f>IFERROR(Q451*MIN(Table_Measure_Caps[[#Totals],[Estimated Raw Incentive Total]], Table_Measure_Caps[[#Totals],[Gross Measure Cost Total]], Value_Project_CAP)/Table_Measure_Caps[[#Totals],[Estimated Raw Incentive Total]], "")</f>
        <v/>
      </c>
      <c r="J451" s="45">
        <f>'Input Lighting Control Measures'!I153</f>
        <v>0</v>
      </c>
      <c r="K451" s="14">
        <f>'Input Lighting Control Measures'!J153</f>
        <v>0</v>
      </c>
      <c r="L451" s="15" t="e">
        <f>'Input Lighting Control Measures'!W153</f>
        <v>#N/A</v>
      </c>
      <c r="M451" s="17">
        <f>'Input Lighting Control Measures'!H153</f>
        <v>0</v>
      </c>
      <c r="N451" s="15">
        <f>'Input Lighting Control Measures'!H153</f>
        <v>0</v>
      </c>
      <c r="O451" s="31" t="str">
        <f t="shared" si="14"/>
        <v>Version 4.1 - 2026</v>
      </c>
      <c r="P451" s="89">
        <f>'Input Lighting Control Measures'!E153</f>
        <v>0</v>
      </c>
      <c r="Q451" s="42" t="str">
        <f>'Input Lighting Control Measures'!L153</f>
        <v/>
      </c>
    </row>
    <row r="452" spans="1:17" x14ac:dyDescent="0.2">
      <c r="A452" s="15" t="s">
        <v>6294</v>
      </c>
      <c r="B452" s="14">
        <f t="shared" si="13"/>
        <v>0</v>
      </c>
      <c r="C452" s="14">
        <f>'Input Lighting Control Measures'!B154</f>
        <v>150</v>
      </c>
      <c r="D452" s="14" t="str">
        <f>'Input Lighting Control Measures'!C154</f>
        <v/>
      </c>
      <c r="E452" s="14" t="s">
        <v>6295</v>
      </c>
      <c r="F452" s="16">
        <f>1</f>
        <v>1</v>
      </c>
      <c r="G452" s="16" t="str">
        <f>'Input Lighting Control Measures'!M154</f>
        <v/>
      </c>
      <c r="H452" s="104" t="str">
        <f>'Input Lighting Control Measures'!N154</f>
        <v/>
      </c>
      <c r="I452" s="45" t="str">
        <f>IFERROR(Q452*MIN(Table_Measure_Caps[[#Totals],[Estimated Raw Incentive Total]], Table_Measure_Caps[[#Totals],[Gross Measure Cost Total]], Value_Project_CAP)/Table_Measure_Caps[[#Totals],[Estimated Raw Incentive Total]], "")</f>
        <v/>
      </c>
      <c r="J452" s="45">
        <f>'Input Lighting Control Measures'!I154</f>
        <v>0</v>
      </c>
      <c r="K452" s="14">
        <f>'Input Lighting Control Measures'!J154</f>
        <v>0</v>
      </c>
      <c r="L452" s="15" t="e">
        <f>'Input Lighting Control Measures'!W154</f>
        <v>#N/A</v>
      </c>
      <c r="M452" s="17">
        <f>'Input Lighting Control Measures'!H154</f>
        <v>0</v>
      </c>
      <c r="N452" s="15">
        <f>'Input Lighting Control Measures'!H154</f>
        <v>0</v>
      </c>
      <c r="O452" s="31" t="str">
        <f t="shared" si="14"/>
        <v>Version 4.1 - 2026</v>
      </c>
      <c r="P452" s="89">
        <f>'Input Lighting Control Measures'!E154</f>
        <v>0</v>
      </c>
      <c r="Q452" s="42" t="str">
        <f>'Input Lighting Control Measures'!L154</f>
        <v/>
      </c>
    </row>
    <row r="453" spans="1:17" x14ac:dyDescent="0.2">
      <c r="A453" s="15" t="s">
        <v>6294</v>
      </c>
      <c r="B453" s="14">
        <f t="shared" si="13"/>
        <v>0</v>
      </c>
      <c r="C453" s="14">
        <f>'Input Lighting Control Measures'!B155</f>
        <v>151</v>
      </c>
      <c r="D453" s="14" t="str">
        <f>'Input Lighting Control Measures'!C155</f>
        <v/>
      </c>
      <c r="E453" s="14" t="s">
        <v>6295</v>
      </c>
      <c r="F453" s="16">
        <f>1</f>
        <v>1</v>
      </c>
      <c r="G453" s="16" t="str">
        <f>'Input Lighting Control Measures'!M155</f>
        <v/>
      </c>
      <c r="H453" s="104" t="str">
        <f>'Input Lighting Control Measures'!N155</f>
        <v/>
      </c>
      <c r="I453" s="45" t="str">
        <f>IFERROR(Q453*MIN(Table_Measure_Caps[[#Totals],[Estimated Raw Incentive Total]], Table_Measure_Caps[[#Totals],[Gross Measure Cost Total]], Value_Project_CAP)/Table_Measure_Caps[[#Totals],[Estimated Raw Incentive Total]], "")</f>
        <v/>
      </c>
      <c r="J453" s="45">
        <f>'Input Lighting Control Measures'!I155</f>
        <v>0</v>
      </c>
      <c r="K453" s="14">
        <f>'Input Lighting Control Measures'!J155</f>
        <v>0</v>
      </c>
      <c r="L453" s="15" t="e">
        <f>'Input Lighting Control Measures'!W155</f>
        <v>#N/A</v>
      </c>
      <c r="M453" s="17">
        <f>'Input Lighting Control Measures'!H155</f>
        <v>0</v>
      </c>
      <c r="N453" s="15">
        <f>'Input Lighting Control Measures'!H155</f>
        <v>0</v>
      </c>
      <c r="O453" s="31" t="str">
        <f t="shared" si="14"/>
        <v>Version 4.1 - 2026</v>
      </c>
      <c r="P453" s="89">
        <f>'Input Lighting Control Measures'!E155</f>
        <v>0</v>
      </c>
      <c r="Q453" s="42" t="str">
        <f>'Input Lighting Control Measures'!L155</f>
        <v/>
      </c>
    </row>
    <row r="454" spans="1:17" x14ac:dyDescent="0.2">
      <c r="A454" s="15" t="s">
        <v>6294</v>
      </c>
      <c r="B454" s="14">
        <f t="shared" si="13"/>
        <v>0</v>
      </c>
      <c r="C454" s="14">
        <f>'Input Lighting Control Measures'!B156</f>
        <v>152</v>
      </c>
      <c r="D454" s="14" t="str">
        <f>'Input Lighting Control Measures'!C156</f>
        <v/>
      </c>
      <c r="E454" s="14" t="s">
        <v>6295</v>
      </c>
      <c r="F454" s="16">
        <f>1</f>
        <v>1</v>
      </c>
      <c r="G454" s="16" t="str">
        <f>'Input Lighting Control Measures'!M156</f>
        <v/>
      </c>
      <c r="H454" s="104" t="str">
        <f>'Input Lighting Control Measures'!N156</f>
        <v/>
      </c>
      <c r="I454" s="45" t="str">
        <f>IFERROR(Q454*MIN(Table_Measure_Caps[[#Totals],[Estimated Raw Incentive Total]], Table_Measure_Caps[[#Totals],[Gross Measure Cost Total]], Value_Project_CAP)/Table_Measure_Caps[[#Totals],[Estimated Raw Incentive Total]], "")</f>
        <v/>
      </c>
      <c r="J454" s="45">
        <f>'Input Lighting Control Measures'!I156</f>
        <v>0</v>
      </c>
      <c r="K454" s="14">
        <f>'Input Lighting Control Measures'!J156</f>
        <v>0</v>
      </c>
      <c r="L454" s="15" t="e">
        <f>'Input Lighting Control Measures'!W156</f>
        <v>#N/A</v>
      </c>
      <c r="M454" s="17">
        <f>'Input Lighting Control Measures'!H156</f>
        <v>0</v>
      </c>
      <c r="N454" s="15">
        <f>'Input Lighting Control Measures'!H156</f>
        <v>0</v>
      </c>
      <c r="O454" s="31" t="str">
        <f t="shared" si="14"/>
        <v>Version 4.1 - 2026</v>
      </c>
      <c r="P454" s="89">
        <f>'Input Lighting Control Measures'!E156</f>
        <v>0</v>
      </c>
      <c r="Q454" s="42" t="str">
        <f>'Input Lighting Control Measures'!L156</f>
        <v/>
      </c>
    </row>
    <row r="455" spans="1:17" x14ac:dyDescent="0.2">
      <c r="A455" s="15" t="s">
        <v>6294</v>
      </c>
      <c r="B455" s="14">
        <f t="shared" si="13"/>
        <v>0</v>
      </c>
      <c r="C455" s="14">
        <f>'Input Lighting Control Measures'!B157</f>
        <v>153</v>
      </c>
      <c r="D455" s="14" t="str">
        <f>'Input Lighting Control Measures'!C157</f>
        <v/>
      </c>
      <c r="E455" s="14" t="s">
        <v>6295</v>
      </c>
      <c r="F455" s="16">
        <f>1</f>
        <v>1</v>
      </c>
      <c r="G455" s="16" t="str">
        <f>'Input Lighting Control Measures'!M157</f>
        <v/>
      </c>
      <c r="H455" s="104" t="str">
        <f>'Input Lighting Control Measures'!N157</f>
        <v/>
      </c>
      <c r="I455" s="45" t="str">
        <f>IFERROR(Q455*MIN(Table_Measure_Caps[[#Totals],[Estimated Raw Incentive Total]], Table_Measure_Caps[[#Totals],[Gross Measure Cost Total]], Value_Project_CAP)/Table_Measure_Caps[[#Totals],[Estimated Raw Incentive Total]], "")</f>
        <v/>
      </c>
      <c r="J455" s="45">
        <f>'Input Lighting Control Measures'!I157</f>
        <v>0</v>
      </c>
      <c r="K455" s="14">
        <f>'Input Lighting Control Measures'!J157</f>
        <v>0</v>
      </c>
      <c r="L455" s="15" t="e">
        <f>'Input Lighting Control Measures'!W157</f>
        <v>#N/A</v>
      </c>
      <c r="M455" s="17">
        <f>'Input Lighting Control Measures'!H157</f>
        <v>0</v>
      </c>
      <c r="N455" s="15">
        <f>'Input Lighting Control Measures'!H157</f>
        <v>0</v>
      </c>
      <c r="O455" s="31" t="str">
        <f t="shared" si="14"/>
        <v>Version 4.1 - 2026</v>
      </c>
      <c r="P455" s="89">
        <f>'Input Lighting Control Measures'!E157</f>
        <v>0</v>
      </c>
      <c r="Q455" s="42" t="str">
        <f>'Input Lighting Control Measures'!L157</f>
        <v/>
      </c>
    </row>
    <row r="456" spans="1:17" x14ac:dyDescent="0.2">
      <c r="A456" s="15" t="s">
        <v>6294</v>
      </c>
      <c r="B456" s="14">
        <f t="shared" si="13"/>
        <v>0</v>
      </c>
      <c r="C456" s="14">
        <f>'Input Lighting Control Measures'!B158</f>
        <v>154</v>
      </c>
      <c r="D456" s="14" t="str">
        <f>'Input Lighting Control Measures'!C158</f>
        <v/>
      </c>
      <c r="E456" s="14" t="s">
        <v>6295</v>
      </c>
      <c r="F456" s="16">
        <f>1</f>
        <v>1</v>
      </c>
      <c r="G456" s="16" t="str">
        <f>'Input Lighting Control Measures'!M158</f>
        <v/>
      </c>
      <c r="H456" s="104" t="str">
        <f>'Input Lighting Control Measures'!N158</f>
        <v/>
      </c>
      <c r="I456" s="45" t="str">
        <f>IFERROR(Q456*MIN(Table_Measure_Caps[[#Totals],[Estimated Raw Incentive Total]], Table_Measure_Caps[[#Totals],[Gross Measure Cost Total]], Value_Project_CAP)/Table_Measure_Caps[[#Totals],[Estimated Raw Incentive Total]], "")</f>
        <v/>
      </c>
      <c r="J456" s="45">
        <f>'Input Lighting Control Measures'!I158</f>
        <v>0</v>
      </c>
      <c r="K456" s="14">
        <f>'Input Lighting Control Measures'!J158</f>
        <v>0</v>
      </c>
      <c r="L456" s="15" t="e">
        <f>'Input Lighting Control Measures'!W158</f>
        <v>#N/A</v>
      </c>
      <c r="M456" s="17">
        <f>'Input Lighting Control Measures'!H158</f>
        <v>0</v>
      </c>
      <c r="N456" s="15">
        <f>'Input Lighting Control Measures'!H158</f>
        <v>0</v>
      </c>
      <c r="O456" s="31" t="str">
        <f t="shared" si="14"/>
        <v>Version 4.1 - 2026</v>
      </c>
      <c r="P456" s="89">
        <f>'Input Lighting Control Measures'!E158</f>
        <v>0</v>
      </c>
      <c r="Q456" s="42" t="str">
        <f>'Input Lighting Control Measures'!L158</f>
        <v/>
      </c>
    </row>
    <row r="457" spans="1:17" x14ac:dyDescent="0.2">
      <c r="A457" s="15" t="s">
        <v>6294</v>
      </c>
      <c r="B457" s="14">
        <f t="shared" si="13"/>
        <v>0</v>
      </c>
      <c r="C457" s="14">
        <f>'Input Lighting Control Measures'!B159</f>
        <v>155</v>
      </c>
      <c r="D457" s="14" t="str">
        <f>'Input Lighting Control Measures'!C159</f>
        <v/>
      </c>
      <c r="E457" s="14" t="s">
        <v>6295</v>
      </c>
      <c r="F457" s="16">
        <f>1</f>
        <v>1</v>
      </c>
      <c r="G457" s="16" t="str">
        <f>'Input Lighting Control Measures'!M159</f>
        <v/>
      </c>
      <c r="H457" s="104" t="str">
        <f>'Input Lighting Control Measures'!N159</f>
        <v/>
      </c>
      <c r="I457" s="45" t="str">
        <f>IFERROR(Q457*MIN(Table_Measure_Caps[[#Totals],[Estimated Raw Incentive Total]], Table_Measure_Caps[[#Totals],[Gross Measure Cost Total]], Value_Project_CAP)/Table_Measure_Caps[[#Totals],[Estimated Raw Incentive Total]], "")</f>
        <v/>
      </c>
      <c r="J457" s="45">
        <f>'Input Lighting Control Measures'!I159</f>
        <v>0</v>
      </c>
      <c r="K457" s="14">
        <f>'Input Lighting Control Measures'!J159</f>
        <v>0</v>
      </c>
      <c r="L457" s="15" t="e">
        <f>'Input Lighting Control Measures'!W159</f>
        <v>#N/A</v>
      </c>
      <c r="M457" s="17">
        <f>'Input Lighting Control Measures'!H159</f>
        <v>0</v>
      </c>
      <c r="N457" s="15">
        <f>'Input Lighting Control Measures'!H159</f>
        <v>0</v>
      </c>
      <c r="O457" s="31" t="str">
        <f t="shared" si="14"/>
        <v>Version 4.1 - 2026</v>
      </c>
      <c r="P457" s="89">
        <f>'Input Lighting Control Measures'!E159</f>
        <v>0</v>
      </c>
      <c r="Q457" s="42" t="str">
        <f>'Input Lighting Control Measures'!L159</f>
        <v/>
      </c>
    </row>
    <row r="458" spans="1:17" x14ac:dyDescent="0.2">
      <c r="A458" s="15" t="s">
        <v>6294</v>
      </c>
      <c r="B458" s="14">
        <f t="shared" si="13"/>
        <v>0</v>
      </c>
      <c r="C458" s="14">
        <f>'Input Lighting Control Measures'!B160</f>
        <v>156</v>
      </c>
      <c r="D458" s="14" t="str">
        <f>'Input Lighting Control Measures'!C160</f>
        <v/>
      </c>
      <c r="E458" s="14" t="s">
        <v>6295</v>
      </c>
      <c r="F458" s="16">
        <f>1</f>
        <v>1</v>
      </c>
      <c r="G458" s="16" t="str">
        <f>'Input Lighting Control Measures'!M160</f>
        <v/>
      </c>
      <c r="H458" s="104" t="str">
        <f>'Input Lighting Control Measures'!N160</f>
        <v/>
      </c>
      <c r="I458" s="45" t="str">
        <f>IFERROR(Q458*MIN(Table_Measure_Caps[[#Totals],[Estimated Raw Incentive Total]], Table_Measure_Caps[[#Totals],[Gross Measure Cost Total]], Value_Project_CAP)/Table_Measure_Caps[[#Totals],[Estimated Raw Incentive Total]], "")</f>
        <v/>
      </c>
      <c r="J458" s="45">
        <f>'Input Lighting Control Measures'!I160</f>
        <v>0</v>
      </c>
      <c r="K458" s="14">
        <f>'Input Lighting Control Measures'!J160</f>
        <v>0</v>
      </c>
      <c r="L458" s="15" t="e">
        <f>'Input Lighting Control Measures'!W160</f>
        <v>#N/A</v>
      </c>
      <c r="M458" s="17">
        <f>'Input Lighting Control Measures'!H160</f>
        <v>0</v>
      </c>
      <c r="N458" s="15">
        <f>'Input Lighting Control Measures'!H160</f>
        <v>0</v>
      </c>
      <c r="O458" s="31" t="str">
        <f t="shared" si="14"/>
        <v>Version 4.1 - 2026</v>
      </c>
      <c r="P458" s="89">
        <f>'Input Lighting Control Measures'!E160</f>
        <v>0</v>
      </c>
      <c r="Q458" s="42" t="str">
        <f>'Input Lighting Control Measures'!L160</f>
        <v/>
      </c>
    </row>
    <row r="459" spans="1:17" x14ac:dyDescent="0.2">
      <c r="A459" s="15" t="s">
        <v>6294</v>
      </c>
      <c r="B459" s="14">
        <f t="shared" si="13"/>
        <v>0</v>
      </c>
      <c r="C459" s="14">
        <f>'Input Lighting Control Measures'!B161</f>
        <v>157</v>
      </c>
      <c r="D459" s="14" t="str">
        <f>'Input Lighting Control Measures'!C161</f>
        <v/>
      </c>
      <c r="E459" s="14" t="s">
        <v>6295</v>
      </c>
      <c r="F459" s="16">
        <f>1</f>
        <v>1</v>
      </c>
      <c r="G459" s="16" t="str">
        <f>'Input Lighting Control Measures'!M161</f>
        <v/>
      </c>
      <c r="H459" s="104" t="str">
        <f>'Input Lighting Control Measures'!N161</f>
        <v/>
      </c>
      <c r="I459" s="45" t="str">
        <f>IFERROR(Q459*MIN(Table_Measure_Caps[[#Totals],[Estimated Raw Incentive Total]], Table_Measure_Caps[[#Totals],[Gross Measure Cost Total]], Value_Project_CAP)/Table_Measure_Caps[[#Totals],[Estimated Raw Incentive Total]], "")</f>
        <v/>
      </c>
      <c r="J459" s="45">
        <f>'Input Lighting Control Measures'!I161</f>
        <v>0</v>
      </c>
      <c r="K459" s="14">
        <f>'Input Lighting Control Measures'!J161</f>
        <v>0</v>
      </c>
      <c r="L459" s="15" t="e">
        <f>'Input Lighting Control Measures'!W161</f>
        <v>#N/A</v>
      </c>
      <c r="M459" s="17">
        <f>'Input Lighting Control Measures'!H161</f>
        <v>0</v>
      </c>
      <c r="N459" s="15">
        <f>'Input Lighting Control Measures'!H161</f>
        <v>0</v>
      </c>
      <c r="O459" s="31" t="str">
        <f t="shared" si="14"/>
        <v>Version 4.1 - 2026</v>
      </c>
      <c r="P459" s="89">
        <f>'Input Lighting Control Measures'!E161</f>
        <v>0</v>
      </c>
      <c r="Q459" s="42" t="str">
        <f>'Input Lighting Control Measures'!L161</f>
        <v/>
      </c>
    </row>
    <row r="460" spans="1:17" x14ac:dyDescent="0.2">
      <c r="A460" s="15" t="s">
        <v>6294</v>
      </c>
      <c r="B460" s="14">
        <f t="shared" si="13"/>
        <v>0</v>
      </c>
      <c r="C460" s="14">
        <f>'Input Lighting Control Measures'!B162</f>
        <v>158</v>
      </c>
      <c r="D460" s="14" t="str">
        <f>'Input Lighting Control Measures'!C162</f>
        <v/>
      </c>
      <c r="E460" s="14" t="s">
        <v>6295</v>
      </c>
      <c r="F460" s="16">
        <f>1</f>
        <v>1</v>
      </c>
      <c r="G460" s="16" t="str">
        <f>'Input Lighting Control Measures'!M162</f>
        <v/>
      </c>
      <c r="H460" s="104" t="str">
        <f>'Input Lighting Control Measures'!N162</f>
        <v/>
      </c>
      <c r="I460" s="45" t="str">
        <f>IFERROR(Q460*MIN(Table_Measure_Caps[[#Totals],[Estimated Raw Incentive Total]], Table_Measure_Caps[[#Totals],[Gross Measure Cost Total]], Value_Project_CAP)/Table_Measure_Caps[[#Totals],[Estimated Raw Incentive Total]], "")</f>
        <v/>
      </c>
      <c r="J460" s="45">
        <f>'Input Lighting Control Measures'!I162</f>
        <v>0</v>
      </c>
      <c r="K460" s="14">
        <f>'Input Lighting Control Measures'!J162</f>
        <v>0</v>
      </c>
      <c r="L460" s="15" t="e">
        <f>'Input Lighting Control Measures'!W162</f>
        <v>#N/A</v>
      </c>
      <c r="M460" s="17">
        <f>'Input Lighting Control Measures'!H162</f>
        <v>0</v>
      </c>
      <c r="N460" s="15">
        <f>'Input Lighting Control Measures'!H162</f>
        <v>0</v>
      </c>
      <c r="O460" s="31" t="str">
        <f t="shared" si="14"/>
        <v>Version 4.1 - 2026</v>
      </c>
      <c r="P460" s="89">
        <f>'Input Lighting Control Measures'!E162</f>
        <v>0</v>
      </c>
      <c r="Q460" s="42" t="str">
        <f>'Input Lighting Control Measures'!L162</f>
        <v/>
      </c>
    </row>
    <row r="461" spans="1:17" x14ac:dyDescent="0.2">
      <c r="A461" s="15" t="s">
        <v>6294</v>
      </c>
      <c r="B461" s="14">
        <f t="shared" si="13"/>
        <v>0</v>
      </c>
      <c r="C461" s="14">
        <f>'Input Lighting Control Measures'!B163</f>
        <v>159</v>
      </c>
      <c r="D461" s="14" t="str">
        <f>'Input Lighting Control Measures'!C163</f>
        <v/>
      </c>
      <c r="E461" s="14" t="s">
        <v>6295</v>
      </c>
      <c r="F461" s="16">
        <f>1</f>
        <v>1</v>
      </c>
      <c r="G461" s="16" t="str">
        <f>'Input Lighting Control Measures'!M163</f>
        <v/>
      </c>
      <c r="H461" s="104" t="str">
        <f>'Input Lighting Control Measures'!N163</f>
        <v/>
      </c>
      <c r="I461" s="45" t="str">
        <f>IFERROR(Q461*MIN(Table_Measure_Caps[[#Totals],[Estimated Raw Incentive Total]], Table_Measure_Caps[[#Totals],[Gross Measure Cost Total]], Value_Project_CAP)/Table_Measure_Caps[[#Totals],[Estimated Raw Incentive Total]], "")</f>
        <v/>
      </c>
      <c r="J461" s="45">
        <f>'Input Lighting Control Measures'!I163</f>
        <v>0</v>
      </c>
      <c r="K461" s="14">
        <f>'Input Lighting Control Measures'!J163</f>
        <v>0</v>
      </c>
      <c r="L461" s="15" t="e">
        <f>'Input Lighting Control Measures'!W163</f>
        <v>#N/A</v>
      </c>
      <c r="M461" s="17">
        <f>'Input Lighting Control Measures'!H163</f>
        <v>0</v>
      </c>
      <c r="N461" s="15">
        <f>'Input Lighting Control Measures'!H163</f>
        <v>0</v>
      </c>
      <c r="O461" s="31" t="str">
        <f t="shared" si="14"/>
        <v>Version 4.1 - 2026</v>
      </c>
      <c r="P461" s="89">
        <f>'Input Lighting Control Measures'!E163</f>
        <v>0</v>
      </c>
      <c r="Q461" s="42" t="str">
        <f>'Input Lighting Control Measures'!L163</f>
        <v/>
      </c>
    </row>
    <row r="462" spans="1:17" x14ac:dyDescent="0.2">
      <c r="A462" s="15" t="s">
        <v>6294</v>
      </c>
      <c r="B462" s="14">
        <f t="shared" si="13"/>
        <v>0</v>
      </c>
      <c r="C462" s="14">
        <f>'Input Lighting Control Measures'!B164</f>
        <v>160</v>
      </c>
      <c r="D462" s="14" t="str">
        <f>'Input Lighting Control Measures'!C164</f>
        <v/>
      </c>
      <c r="E462" s="14" t="s">
        <v>6295</v>
      </c>
      <c r="F462" s="16">
        <f>1</f>
        <v>1</v>
      </c>
      <c r="G462" s="16" t="str">
        <f>'Input Lighting Control Measures'!M164</f>
        <v/>
      </c>
      <c r="H462" s="104" t="str">
        <f>'Input Lighting Control Measures'!N164</f>
        <v/>
      </c>
      <c r="I462" s="45" t="str">
        <f>IFERROR(Q462*MIN(Table_Measure_Caps[[#Totals],[Estimated Raw Incentive Total]], Table_Measure_Caps[[#Totals],[Gross Measure Cost Total]], Value_Project_CAP)/Table_Measure_Caps[[#Totals],[Estimated Raw Incentive Total]], "")</f>
        <v/>
      </c>
      <c r="J462" s="45">
        <f>'Input Lighting Control Measures'!I164</f>
        <v>0</v>
      </c>
      <c r="K462" s="14">
        <f>'Input Lighting Control Measures'!J164</f>
        <v>0</v>
      </c>
      <c r="L462" s="15" t="e">
        <f>'Input Lighting Control Measures'!W164</f>
        <v>#N/A</v>
      </c>
      <c r="M462" s="17">
        <f>'Input Lighting Control Measures'!H164</f>
        <v>0</v>
      </c>
      <c r="N462" s="15">
        <f>'Input Lighting Control Measures'!H164</f>
        <v>0</v>
      </c>
      <c r="O462" s="31" t="str">
        <f t="shared" si="14"/>
        <v>Version 4.1 - 2026</v>
      </c>
      <c r="P462" s="89">
        <f>'Input Lighting Control Measures'!E164</f>
        <v>0</v>
      </c>
      <c r="Q462" s="42" t="str">
        <f>'Input Lighting Control Measures'!L164</f>
        <v/>
      </c>
    </row>
    <row r="463" spans="1:17" x14ac:dyDescent="0.2">
      <c r="A463" s="15" t="s">
        <v>6294</v>
      </c>
      <c r="B463" s="14">
        <f t="shared" si="13"/>
        <v>0</v>
      </c>
      <c r="C463" s="14">
        <f>'Input Lighting Control Measures'!B165</f>
        <v>161</v>
      </c>
      <c r="D463" s="14" t="str">
        <f>'Input Lighting Control Measures'!C165</f>
        <v/>
      </c>
      <c r="E463" s="14" t="s">
        <v>6295</v>
      </c>
      <c r="F463" s="16">
        <f>1</f>
        <v>1</v>
      </c>
      <c r="G463" s="16" t="str">
        <f>'Input Lighting Control Measures'!M165</f>
        <v/>
      </c>
      <c r="H463" s="104" t="str">
        <f>'Input Lighting Control Measures'!N165</f>
        <v/>
      </c>
      <c r="I463" s="45" t="str">
        <f>IFERROR(Q463*MIN(Table_Measure_Caps[[#Totals],[Estimated Raw Incentive Total]], Table_Measure_Caps[[#Totals],[Gross Measure Cost Total]], Value_Project_CAP)/Table_Measure_Caps[[#Totals],[Estimated Raw Incentive Total]], "")</f>
        <v/>
      </c>
      <c r="J463" s="45">
        <f>'Input Lighting Control Measures'!I165</f>
        <v>0</v>
      </c>
      <c r="K463" s="14">
        <f>'Input Lighting Control Measures'!J165</f>
        <v>0</v>
      </c>
      <c r="L463" s="15" t="e">
        <f>'Input Lighting Control Measures'!W165</f>
        <v>#N/A</v>
      </c>
      <c r="M463" s="17">
        <f>'Input Lighting Control Measures'!H165</f>
        <v>0</v>
      </c>
      <c r="N463" s="15">
        <f>'Input Lighting Control Measures'!H165</f>
        <v>0</v>
      </c>
      <c r="O463" s="31" t="str">
        <f t="shared" si="14"/>
        <v>Version 4.1 - 2026</v>
      </c>
      <c r="P463" s="89">
        <f>'Input Lighting Control Measures'!E165</f>
        <v>0</v>
      </c>
      <c r="Q463" s="42" t="str">
        <f>'Input Lighting Control Measures'!L165</f>
        <v/>
      </c>
    </row>
    <row r="464" spans="1:17" x14ac:dyDescent="0.2">
      <c r="A464" s="15" t="s">
        <v>6294</v>
      </c>
      <c r="B464" s="14">
        <f t="shared" si="13"/>
        <v>0</v>
      </c>
      <c r="C464" s="14">
        <f>'Input Lighting Control Measures'!B166</f>
        <v>162</v>
      </c>
      <c r="D464" s="14" t="str">
        <f>'Input Lighting Control Measures'!C166</f>
        <v/>
      </c>
      <c r="E464" s="14" t="s">
        <v>6295</v>
      </c>
      <c r="F464" s="16">
        <f>1</f>
        <v>1</v>
      </c>
      <c r="G464" s="16" t="str">
        <f>'Input Lighting Control Measures'!M166</f>
        <v/>
      </c>
      <c r="H464" s="104" t="str">
        <f>'Input Lighting Control Measures'!N166</f>
        <v/>
      </c>
      <c r="I464" s="45" t="str">
        <f>IFERROR(Q464*MIN(Table_Measure_Caps[[#Totals],[Estimated Raw Incentive Total]], Table_Measure_Caps[[#Totals],[Gross Measure Cost Total]], Value_Project_CAP)/Table_Measure_Caps[[#Totals],[Estimated Raw Incentive Total]], "")</f>
        <v/>
      </c>
      <c r="J464" s="45">
        <f>'Input Lighting Control Measures'!I166</f>
        <v>0</v>
      </c>
      <c r="K464" s="14">
        <f>'Input Lighting Control Measures'!J166</f>
        <v>0</v>
      </c>
      <c r="L464" s="15" t="e">
        <f>'Input Lighting Control Measures'!W166</f>
        <v>#N/A</v>
      </c>
      <c r="M464" s="17">
        <f>'Input Lighting Control Measures'!H166</f>
        <v>0</v>
      </c>
      <c r="N464" s="15">
        <f>'Input Lighting Control Measures'!H166</f>
        <v>0</v>
      </c>
      <c r="O464" s="31" t="str">
        <f t="shared" si="14"/>
        <v>Version 4.1 - 2026</v>
      </c>
      <c r="P464" s="89">
        <f>'Input Lighting Control Measures'!E166</f>
        <v>0</v>
      </c>
      <c r="Q464" s="42" t="str">
        <f>'Input Lighting Control Measures'!L166</f>
        <v/>
      </c>
    </row>
    <row r="465" spans="1:17" x14ac:dyDescent="0.2">
      <c r="A465" s="15" t="s">
        <v>6294</v>
      </c>
      <c r="B465" s="14">
        <f t="shared" si="13"/>
        <v>0</v>
      </c>
      <c r="C465" s="14">
        <f>'Input Lighting Control Measures'!B167</f>
        <v>163</v>
      </c>
      <c r="D465" s="14" t="str">
        <f>'Input Lighting Control Measures'!C167</f>
        <v/>
      </c>
      <c r="E465" s="14" t="s">
        <v>6295</v>
      </c>
      <c r="F465" s="16">
        <f>1</f>
        <v>1</v>
      </c>
      <c r="G465" s="16" t="str">
        <f>'Input Lighting Control Measures'!M167</f>
        <v/>
      </c>
      <c r="H465" s="104" t="str">
        <f>'Input Lighting Control Measures'!N167</f>
        <v/>
      </c>
      <c r="I465" s="45" t="str">
        <f>IFERROR(Q465*MIN(Table_Measure_Caps[[#Totals],[Estimated Raw Incentive Total]], Table_Measure_Caps[[#Totals],[Gross Measure Cost Total]], Value_Project_CAP)/Table_Measure_Caps[[#Totals],[Estimated Raw Incentive Total]], "")</f>
        <v/>
      </c>
      <c r="J465" s="45">
        <f>'Input Lighting Control Measures'!I167</f>
        <v>0</v>
      </c>
      <c r="K465" s="14">
        <f>'Input Lighting Control Measures'!J167</f>
        <v>0</v>
      </c>
      <c r="L465" s="15" t="e">
        <f>'Input Lighting Control Measures'!W167</f>
        <v>#N/A</v>
      </c>
      <c r="M465" s="17">
        <f>'Input Lighting Control Measures'!H167</f>
        <v>0</v>
      </c>
      <c r="N465" s="15">
        <f>'Input Lighting Control Measures'!H167</f>
        <v>0</v>
      </c>
      <c r="O465" s="31" t="str">
        <f t="shared" si="14"/>
        <v>Version 4.1 - 2026</v>
      </c>
      <c r="P465" s="89">
        <f>'Input Lighting Control Measures'!E167</f>
        <v>0</v>
      </c>
      <c r="Q465" s="42" t="str">
        <f>'Input Lighting Control Measures'!L167</f>
        <v/>
      </c>
    </row>
    <row r="466" spans="1:17" x14ac:dyDescent="0.2">
      <c r="A466" s="15" t="s">
        <v>6294</v>
      </c>
      <c r="B466" s="14">
        <f t="shared" si="13"/>
        <v>0</v>
      </c>
      <c r="C466" s="14">
        <f>'Input Lighting Control Measures'!B168</f>
        <v>164</v>
      </c>
      <c r="D466" s="14" t="str">
        <f>'Input Lighting Control Measures'!C168</f>
        <v/>
      </c>
      <c r="E466" s="14" t="s">
        <v>6295</v>
      </c>
      <c r="F466" s="16">
        <f>1</f>
        <v>1</v>
      </c>
      <c r="G466" s="16" t="str">
        <f>'Input Lighting Control Measures'!M168</f>
        <v/>
      </c>
      <c r="H466" s="104" t="str">
        <f>'Input Lighting Control Measures'!N168</f>
        <v/>
      </c>
      <c r="I466" s="45" t="str">
        <f>IFERROR(Q466*MIN(Table_Measure_Caps[[#Totals],[Estimated Raw Incentive Total]], Table_Measure_Caps[[#Totals],[Gross Measure Cost Total]], Value_Project_CAP)/Table_Measure_Caps[[#Totals],[Estimated Raw Incentive Total]], "")</f>
        <v/>
      </c>
      <c r="J466" s="45">
        <f>'Input Lighting Control Measures'!I168</f>
        <v>0</v>
      </c>
      <c r="K466" s="14">
        <f>'Input Lighting Control Measures'!J168</f>
        <v>0</v>
      </c>
      <c r="L466" s="15" t="e">
        <f>'Input Lighting Control Measures'!W168</f>
        <v>#N/A</v>
      </c>
      <c r="M466" s="17">
        <f>'Input Lighting Control Measures'!H168</f>
        <v>0</v>
      </c>
      <c r="N466" s="15">
        <f>'Input Lighting Control Measures'!H168</f>
        <v>0</v>
      </c>
      <c r="O466" s="31" t="str">
        <f t="shared" si="14"/>
        <v>Version 4.1 - 2026</v>
      </c>
      <c r="P466" s="89">
        <f>'Input Lighting Control Measures'!E168</f>
        <v>0</v>
      </c>
      <c r="Q466" s="42" t="str">
        <f>'Input Lighting Control Measures'!L168</f>
        <v/>
      </c>
    </row>
    <row r="467" spans="1:17" x14ac:dyDescent="0.2">
      <c r="A467" s="15" t="s">
        <v>6294</v>
      </c>
      <c r="B467" s="14">
        <f t="shared" si="13"/>
        <v>0</v>
      </c>
      <c r="C467" s="14">
        <f>'Input Lighting Control Measures'!B169</f>
        <v>165</v>
      </c>
      <c r="D467" s="14" t="str">
        <f>'Input Lighting Control Measures'!C169</f>
        <v/>
      </c>
      <c r="E467" s="14" t="s">
        <v>6295</v>
      </c>
      <c r="F467" s="16">
        <f>1</f>
        <v>1</v>
      </c>
      <c r="G467" s="16" t="str">
        <f>'Input Lighting Control Measures'!M169</f>
        <v/>
      </c>
      <c r="H467" s="104" t="str">
        <f>'Input Lighting Control Measures'!N169</f>
        <v/>
      </c>
      <c r="I467" s="45" t="str">
        <f>IFERROR(Q467*MIN(Table_Measure_Caps[[#Totals],[Estimated Raw Incentive Total]], Table_Measure_Caps[[#Totals],[Gross Measure Cost Total]], Value_Project_CAP)/Table_Measure_Caps[[#Totals],[Estimated Raw Incentive Total]], "")</f>
        <v/>
      </c>
      <c r="J467" s="45">
        <f>'Input Lighting Control Measures'!I169</f>
        <v>0</v>
      </c>
      <c r="K467" s="14">
        <f>'Input Lighting Control Measures'!J169</f>
        <v>0</v>
      </c>
      <c r="L467" s="15" t="e">
        <f>'Input Lighting Control Measures'!W169</f>
        <v>#N/A</v>
      </c>
      <c r="M467" s="17">
        <f>'Input Lighting Control Measures'!H169</f>
        <v>0</v>
      </c>
      <c r="N467" s="15">
        <f>'Input Lighting Control Measures'!H169</f>
        <v>0</v>
      </c>
      <c r="O467" s="31" t="str">
        <f t="shared" si="14"/>
        <v>Version 4.1 - 2026</v>
      </c>
      <c r="P467" s="89">
        <f>'Input Lighting Control Measures'!E169</f>
        <v>0</v>
      </c>
      <c r="Q467" s="42" t="str">
        <f>'Input Lighting Control Measures'!L169</f>
        <v/>
      </c>
    </row>
    <row r="468" spans="1:17" x14ac:dyDescent="0.2">
      <c r="A468" s="15" t="s">
        <v>6294</v>
      </c>
      <c r="B468" s="14">
        <f t="shared" si="13"/>
        <v>0</v>
      </c>
      <c r="C468" s="14">
        <f>'Input Lighting Control Measures'!B170</f>
        <v>166</v>
      </c>
      <c r="D468" s="14" t="str">
        <f>'Input Lighting Control Measures'!C170</f>
        <v/>
      </c>
      <c r="E468" s="14" t="s">
        <v>6295</v>
      </c>
      <c r="F468" s="16">
        <f>1</f>
        <v>1</v>
      </c>
      <c r="G468" s="16" t="str">
        <f>'Input Lighting Control Measures'!M170</f>
        <v/>
      </c>
      <c r="H468" s="104" t="str">
        <f>'Input Lighting Control Measures'!N170</f>
        <v/>
      </c>
      <c r="I468" s="45" t="str">
        <f>IFERROR(Q468*MIN(Table_Measure_Caps[[#Totals],[Estimated Raw Incentive Total]], Table_Measure_Caps[[#Totals],[Gross Measure Cost Total]], Value_Project_CAP)/Table_Measure_Caps[[#Totals],[Estimated Raw Incentive Total]], "")</f>
        <v/>
      </c>
      <c r="J468" s="45">
        <f>'Input Lighting Control Measures'!I170</f>
        <v>0</v>
      </c>
      <c r="K468" s="14">
        <f>'Input Lighting Control Measures'!J170</f>
        <v>0</v>
      </c>
      <c r="L468" s="15" t="e">
        <f>'Input Lighting Control Measures'!W170</f>
        <v>#N/A</v>
      </c>
      <c r="M468" s="17">
        <f>'Input Lighting Control Measures'!H170</f>
        <v>0</v>
      </c>
      <c r="N468" s="15">
        <f>'Input Lighting Control Measures'!H170</f>
        <v>0</v>
      </c>
      <c r="O468" s="31" t="str">
        <f t="shared" si="14"/>
        <v>Version 4.1 - 2026</v>
      </c>
      <c r="P468" s="89">
        <f>'Input Lighting Control Measures'!E170</f>
        <v>0</v>
      </c>
      <c r="Q468" s="42" t="str">
        <f>'Input Lighting Control Measures'!L170</f>
        <v/>
      </c>
    </row>
    <row r="469" spans="1:17" x14ac:dyDescent="0.2">
      <c r="A469" s="15" t="s">
        <v>6294</v>
      </c>
      <c r="B469" s="14">
        <f t="shared" si="13"/>
        <v>0</v>
      </c>
      <c r="C469" s="14">
        <f>'Input Lighting Control Measures'!B171</f>
        <v>167</v>
      </c>
      <c r="D469" s="14" t="str">
        <f>'Input Lighting Control Measures'!C171</f>
        <v/>
      </c>
      <c r="E469" s="14" t="s">
        <v>6295</v>
      </c>
      <c r="F469" s="16">
        <f>1</f>
        <v>1</v>
      </c>
      <c r="G469" s="16" t="str">
        <f>'Input Lighting Control Measures'!M171</f>
        <v/>
      </c>
      <c r="H469" s="104" t="str">
        <f>'Input Lighting Control Measures'!N171</f>
        <v/>
      </c>
      <c r="I469" s="45" t="str">
        <f>IFERROR(Q469*MIN(Table_Measure_Caps[[#Totals],[Estimated Raw Incentive Total]], Table_Measure_Caps[[#Totals],[Gross Measure Cost Total]], Value_Project_CAP)/Table_Measure_Caps[[#Totals],[Estimated Raw Incentive Total]], "")</f>
        <v/>
      </c>
      <c r="J469" s="45">
        <f>'Input Lighting Control Measures'!I171</f>
        <v>0</v>
      </c>
      <c r="K469" s="14">
        <f>'Input Lighting Control Measures'!J171</f>
        <v>0</v>
      </c>
      <c r="L469" s="15" t="e">
        <f>'Input Lighting Control Measures'!W171</f>
        <v>#N/A</v>
      </c>
      <c r="M469" s="17">
        <f>'Input Lighting Control Measures'!H171</f>
        <v>0</v>
      </c>
      <c r="N469" s="15">
        <f>'Input Lighting Control Measures'!H171</f>
        <v>0</v>
      </c>
      <c r="O469" s="31" t="str">
        <f t="shared" si="14"/>
        <v>Version 4.1 - 2026</v>
      </c>
      <c r="P469" s="89">
        <f>'Input Lighting Control Measures'!E171</f>
        <v>0</v>
      </c>
      <c r="Q469" s="42" t="str">
        <f>'Input Lighting Control Measures'!L171</f>
        <v/>
      </c>
    </row>
    <row r="470" spans="1:17" x14ac:dyDescent="0.2">
      <c r="A470" s="15" t="s">
        <v>6294</v>
      </c>
      <c r="B470" s="14">
        <f t="shared" si="13"/>
        <v>0</v>
      </c>
      <c r="C470" s="14">
        <f>'Input Lighting Control Measures'!B172</f>
        <v>168</v>
      </c>
      <c r="D470" s="14" t="str">
        <f>'Input Lighting Control Measures'!C172</f>
        <v/>
      </c>
      <c r="E470" s="14" t="s">
        <v>6295</v>
      </c>
      <c r="F470" s="16">
        <f>1</f>
        <v>1</v>
      </c>
      <c r="G470" s="16" t="str">
        <f>'Input Lighting Control Measures'!M172</f>
        <v/>
      </c>
      <c r="H470" s="104" t="str">
        <f>'Input Lighting Control Measures'!N172</f>
        <v/>
      </c>
      <c r="I470" s="45" t="str">
        <f>IFERROR(Q470*MIN(Table_Measure_Caps[[#Totals],[Estimated Raw Incentive Total]], Table_Measure_Caps[[#Totals],[Gross Measure Cost Total]], Value_Project_CAP)/Table_Measure_Caps[[#Totals],[Estimated Raw Incentive Total]], "")</f>
        <v/>
      </c>
      <c r="J470" s="45">
        <f>'Input Lighting Control Measures'!I172</f>
        <v>0</v>
      </c>
      <c r="K470" s="14">
        <f>'Input Lighting Control Measures'!J172</f>
        <v>0</v>
      </c>
      <c r="L470" s="15" t="e">
        <f>'Input Lighting Control Measures'!W172</f>
        <v>#N/A</v>
      </c>
      <c r="M470" s="17">
        <f>'Input Lighting Control Measures'!H172</f>
        <v>0</v>
      </c>
      <c r="N470" s="15">
        <f>'Input Lighting Control Measures'!H172</f>
        <v>0</v>
      </c>
      <c r="O470" s="31" t="str">
        <f t="shared" si="14"/>
        <v>Version 4.1 - 2026</v>
      </c>
      <c r="P470" s="89">
        <f>'Input Lighting Control Measures'!E172</f>
        <v>0</v>
      </c>
      <c r="Q470" s="42" t="str">
        <f>'Input Lighting Control Measures'!L172</f>
        <v/>
      </c>
    </row>
    <row r="471" spans="1:17" x14ac:dyDescent="0.2">
      <c r="A471" s="15" t="s">
        <v>6294</v>
      </c>
      <c r="B471" s="14">
        <f t="shared" si="13"/>
        <v>0</v>
      </c>
      <c r="C471" s="14">
        <f>'Input Lighting Control Measures'!B173</f>
        <v>169</v>
      </c>
      <c r="D471" s="14" t="str">
        <f>'Input Lighting Control Measures'!C173</f>
        <v/>
      </c>
      <c r="E471" s="14" t="s">
        <v>6295</v>
      </c>
      <c r="F471" s="16">
        <f>1</f>
        <v>1</v>
      </c>
      <c r="G471" s="16" t="str">
        <f>'Input Lighting Control Measures'!M173</f>
        <v/>
      </c>
      <c r="H471" s="104" t="str">
        <f>'Input Lighting Control Measures'!N173</f>
        <v/>
      </c>
      <c r="I471" s="45" t="str">
        <f>IFERROR(Q471*MIN(Table_Measure_Caps[[#Totals],[Estimated Raw Incentive Total]], Table_Measure_Caps[[#Totals],[Gross Measure Cost Total]], Value_Project_CAP)/Table_Measure_Caps[[#Totals],[Estimated Raw Incentive Total]], "")</f>
        <v/>
      </c>
      <c r="J471" s="45">
        <f>'Input Lighting Control Measures'!I173</f>
        <v>0</v>
      </c>
      <c r="K471" s="14">
        <f>'Input Lighting Control Measures'!J173</f>
        <v>0</v>
      </c>
      <c r="L471" s="15" t="e">
        <f>'Input Lighting Control Measures'!W173</f>
        <v>#N/A</v>
      </c>
      <c r="M471" s="17">
        <f>'Input Lighting Control Measures'!H173</f>
        <v>0</v>
      </c>
      <c r="N471" s="15">
        <f>'Input Lighting Control Measures'!H173</f>
        <v>0</v>
      </c>
      <c r="O471" s="31" t="str">
        <f t="shared" si="14"/>
        <v>Version 4.1 - 2026</v>
      </c>
      <c r="P471" s="89">
        <f>'Input Lighting Control Measures'!E173</f>
        <v>0</v>
      </c>
      <c r="Q471" s="42" t="str">
        <f>'Input Lighting Control Measures'!L173</f>
        <v/>
      </c>
    </row>
    <row r="472" spans="1:17" x14ac:dyDescent="0.2">
      <c r="A472" s="15" t="s">
        <v>6294</v>
      </c>
      <c r="B472" s="14">
        <f t="shared" si="13"/>
        <v>0</v>
      </c>
      <c r="C472" s="14">
        <f>'Input Lighting Control Measures'!B174</f>
        <v>170</v>
      </c>
      <c r="D472" s="14" t="str">
        <f>'Input Lighting Control Measures'!C174</f>
        <v/>
      </c>
      <c r="E472" s="14" t="s">
        <v>6295</v>
      </c>
      <c r="F472" s="16">
        <f>1</f>
        <v>1</v>
      </c>
      <c r="G472" s="16" t="str">
        <f>'Input Lighting Control Measures'!M174</f>
        <v/>
      </c>
      <c r="H472" s="104" t="str">
        <f>'Input Lighting Control Measures'!N174</f>
        <v/>
      </c>
      <c r="I472" s="45" t="str">
        <f>IFERROR(Q472*MIN(Table_Measure_Caps[[#Totals],[Estimated Raw Incentive Total]], Table_Measure_Caps[[#Totals],[Gross Measure Cost Total]], Value_Project_CAP)/Table_Measure_Caps[[#Totals],[Estimated Raw Incentive Total]], "")</f>
        <v/>
      </c>
      <c r="J472" s="45">
        <f>'Input Lighting Control Measures'!I174</f>
        <v>0</v>
      </c>
      <c r="K472" s="14">
        <f>'Input Lighting Control Measures'!J174</f>
        <v>0</v>
      </c>
      <c r="L472" s="15" t="e">
        <f>'Input Lighting Control Measures'!W174</f>
        <v>#N/A</v>
      </c>
      <c r="M472" s="17">
        <f>'Input Lighting Control Measures'!H174</f>
        <v>0</v>
      </c>
      <c r="N472" s="15">
        <f>'Input Lighting Control Measures'!H174</f>
        <v>0</v>
      </c>
      <c r="O472" s="31" t="str">
        <f t="shared" si="14"/>
        <v>Version 4.1 - 2026</v>
      </c>
      <c r="P472" s="89">
        <f>'Input Lighting Control Measures'!E174</f>
        <v>0</v>
      </c>
      <c r="Q472" s="42" t="str">
        <f>'Input Lighting Control Measures'!L174</f>
        <v/>
      </c>
    </row>
    <row r="473" spans="1:17" x14ac:dyDescent="0.2">
      <c r="A473" s="15" t="s">
        <v>6294</v>
      </c>
      <c r="B473" s="14">
        <f t="shared" si="13"/>
        <v>0</v>
      </c>
      <c r="C473" s="14">
        <f>'Input Lighting Control Measures'!B175</f>
        <v>171</v>
      </c>
      <c r="D473" s="14" t="str">
        <f>'Input Lighting Control Measures'!C175</f>
        <v/>
      </c>
      <c r="E473" s="14" t="s">
        <v>6295</v>
      </c>
      <c r="F473" s="16">
        <f>1</f>
        <v>1</v>
      </c>
      <c r="G473" s="16" t="str">
        <f>'Input Lighting Control Measures'!M175</f>
        <v/>
      </c>
      <c r="H473" s="104" t="str">
        <f>'Input Lighting Control Measures'!N175</f>
        <v/>
      </c>
      <c r="I473" s="45" t="str">
        <f>IFERROR(Q473*MIN(Table_Measure_Caps[[#Totals],[Estimated Raw Incentive Total]], Table_Measure_Caps[[#Totals],[Gross Measure Cost Total]], Value_Project_CAP)/Table_Measure_Caps[[#Totals],[Estimated Raw Incentive Total]], "")</f>
        <v/>
      </c>
      <c r="J473" s="45">
        <f>'Input Lighting Control Measures'!I175</f>
        <v>0</v>
      </c>
      <c r="K473" s="14">
        <f>'Input Lighting Control Measures'!J175</f>
        <v>0</v>
      </c>
      <c r="L473" s="15" t="e">
        <f>'Input Lighting Control Measures'!W175</f>
        <v>#N/A</v>
      </c>
      <c r="M473" s="17">
        <f>'Input Lighting Control Measures'!H175</f>
        <v>0</v>
      </c>
      <c r="N473" s="15">
        <f>'Input Lighting Control Measures'!H175</f>
        <v>0</v>
      </c>
      <c r="O473" s="31" t="str">
        <f t="shared" si="14"/>
        <v>Version 4.1 - 2026</v>
      </c>
      <c r="P473" s="89">
        <f>'Input Lighting Control Measures'!E175</f>
        <v>0</v>
      </c>
      <c r="Q473" s="42" t="str">
        <f>'Input Lighting Control Measures'!L175</f>
        <v/>
      </c>
    </row>
    <row r="474" spans="1:17" x14ac:dyDescent="0.2">
      <c r="A474" s="15" t="s">
        <v>6294</v>
      </c>
      <c r="B474" s="14">
        <f t="shared" si="13"/>
        <v>0</v>
      </c>
      <c r="C474" s="14">
        <f>'Input Lighting Control Measures'!B176</f>
        <v>172</v>
      </c>
      <c r="D474" s="14" t="str">
        <f>'Input Lighting Control Measures'!C176</f>
        <v/>
      </c>
      <c r="E474" s="14" t="s">
        <v>6295</v>
      </c>
      <c r="F474" s="16">
        <f>1</f>
        <v>1</v>
      </c>
      <c r="G474" s="16" t="str">
        <f>'Input Lighting Control Measures'!M176</f>
        <v/>
      </c>
      <c r="H474" s="104" t="str">
        <f>'Input Lighting Control Measures'!N176</f>
        <v/>
      </c>
      <c r="I474" s="45" t="str">
        <f>IFERROR(Q474*MIN(Table_Measure_Caps[[#Totals],[Estimated Raw Incentive Total]], Table_Measure_Caps[[#Totals],[Gross Measure Cost Total]], Value_Project_CAP)/Table_Measure_Caps[[#Totals],[Estimated Raw Incentive Total]], "")</f>
        <v/>
      </c>
      <c r="J474" s="45">
        <f>'Input Lighting Control Measures'!I176</f>
        <v>0</v>
      </c>
      <c r="K474" s="14">
        <f>'Input Lighting Control Measures'!J176</f>
        <v>0</v>
      </c>
      <c r="L474" s="15" t="e">
        <f>'Input Lighting Control Measures'!W176</f>
        <v>#N/A</v>
      </c>
      <c r="M474" s="17">
        <f>'Input Lighting Control Measures'!H176</f>
        <v>0</v>
      </c>
      <c r="N474" s="15">
        <f>'Input Lighting Control Measures'!H176</f>
        <v>0</v>
      </c>
      <c r="O474" s="31" t="str">
        <f t="shared" si="14"/>
        <v>Version 4.1 - 2026</v>
      </c>
      <c r="P474" s="89">
        <f>'Input Lighting Control Measures'!E176</f>
        <v>0</v>
      </c>
      <c r="Q474" s="42" t="str">
        <f>'Input Lighting Control Measures'!L176</f>
        <v/>
      </c>
    </row>
    <row r="475" spans="1:17" x14ac:dyDescent="0.2">
      <c r="A475" s="15" t="s">
        <v>6294</v>
      </c>
      <c r="B475" s="14">
        <f t="shared" si="13"/>
        <v>0</v>
      </c>
      <c r="C475" s="14">
        <f>'Input Lighting Control Measures'!B177</f>
        <v>173</v>
      </c>
      <c r="D475" s="14" t="str">
        <f>'Input Lighting Control Measures'!C177</f>
        <v/>
      </c>
      <c r="E475" s="14" t="s">
        <v>6295</v>
      </c>
      <c r="F475" s="16">
        <f>1</f>
        <v>1</v>
      </c>
      <c r="G475" s="16" t="str">
        <f>'Input Lighting Control Measures'!M177</f>
        <v/>
      </c>
      <c r="H475" s="104" t="str">
        <f>'Input Lighting Control Measures'!N177</f>
        <v/>
      </c>
      <c r="I475" s="45" t="str">
        <f>IFERROR(Q475*MIN(Table_Measure_Caps[[#Totals],[Estimated Raw Incentive Total]], Table_Measure_Caps[[#Totals],[Gross Measure Cost Total]], Value_Project_CAP)/Table_Measure_Caps[[#Totals],[Estimated Raw Incentive Total]], "")</f>
        <v/>
      </c>
      <c r="J475" s="45">
        <f>'Input Lighting Control Measures'!I177</f>
        <v>0</v>
      </c>
      <c r="K475" s="14">
        <f>'Input Lighting Control Measures'!J177</f>
        <v>0</v>
      </c>
      <c r="L475" s="15" t="e">
        <f>'Input Lighting Control Measures'!W177</f>
        <v>#N/A</v>
      </c>
      <c r="M475" s="17">
        <f>'Input Lighting Control Measures'!H177</f>
        <v>0</v>
      </c>
      <c r="N475" s="15">
        <f>'Input Lighting Control Measures'!H177</f>
        <v>0</v>
      </c>
      <c r="O475" s="31" t="str">
        <f t="shared" si="14"/>
        <v>Version 4.1 - 2026</v>
      </c>
      <c r="P475" s="89">
        <f>'Input Lighting Control Measures'!E177</f>
        <v>0</v>
      </c>
      <c r="Q475" s="42" t="str">
        <f>'Input Lighting Control Measures'!L177</f>
        <v/>
      </c>
    </row>
    <row r="476" spans="1:17" x14ac:dyDescent="0.2">
      <c r="A476" s="15" t="s">
        <v>6294</v>
      </c>
      <c r="B476" s="14">
        <f t="shared" si="13"/>
        <v>0</v>
      </c>
      <c r="C476" s="14">
        <f>'Input Lighting Control Measures'!B178</f>
        <v>174</v>
      </c>
      <c r="D476" s="14" t="str">
        <f>'Input Lighting Control Measures'!C178</f>
        <v/>
      </c>
      <c r="E476" s="14" t="s">
        <v>6295</v>
      </c>
      <c r="F476" s="16">
        <f>1</f>
        <v>1</v>
      </c>
      <c r="G476" s="16" t="str">
        <f>'Input Lighting Control Measures'!M178</f>
        <v/>
      </c>
      <c r="H476" s="104" t="str">
        <f>'Input Lighting Control Measures'!N178</f>
        <v/>
      </c>
      <c r="I476" s="45" t="str">
        <f>IFERROR(Q476*MIN(Table_Measure_Caps[[#Totals],[Estimated Raw Incentive Total]], Table_Measure_Caps[[#Totals],[Gross Measure Cost Total]], Value_Project_CAP)/Table_Measure_Caps[[#Totals],[Estimated Raw Incentive Total]], "")</f>
        <v/>
      </c>
      <c r="J476" s="45">
        <f>'Input Lighting Control Measures'!I178</f>
        <v>0</v>
      </c>
      <c r="K476" s="14">
        <f>'Input Lighting Control Measures'!J178</f>
        <v>0</v>
      </c>
      <c r="L476" s="15" t="e">
        <f>'Input Lighting Control Measures'!W178</f>
        <v>#N/A</v>
      </c>
      <c r="M476" s="17">
        <f>'Input Lighting Control Measures'!H178</f>
        <v>0</v>
      </c>
      <c r="N476" s="15">
        <f>'Input Lighting Control Measures'!H178</f>
        <v>0</v>
      </c>
      <c r="O476" s="31" t="str">
        <f t="shared" si="14"/>
        <v>Version 4.1 - 2026</v>
      </c>
      <c r="P476" s="89">
        <f>'Input Lighting Control Measures'!E178</f>
        <v>0</v>
      </c>
      <c r="Q476" s="42" t="str">
        <f>'Input Lighting Control Measures'!L178</f>
        <v/>
      </c>
    </row>
    <row r="477" spans="1:17" x14ac:dyDescent="0.2">
      <c r="A477" s="15" t="s">
        <v>6294</v>
      </c>
      <c r="B477" s="14">
        <f t="shared" si="13"/>
        <v>0</v>
      </c>
      <c r="C477" s="14">
        <f>'Input Lighting Control Measures'!B179</f>
        <v>175</v>
      </c>
      <c r="D477" s="14" t="str">
        <f>'Input Lighting Control Measures'!C179</f>
        <v/>
      </c>
      <c r="E477" s="14" t="s">
        <v>6295</v>
      </c>
      <c r="F477" s="16">
        <f>1</f>
        <v>1</v>
      </c>
      <c r="G477" s="16" t="str">
        <f>'Input Lighting Control Measures'!M179</f>
        <v/>
      </c>
      <c r="H477" s="104" t="str">
        <f>'Input Lighting Control Measures'!N179</f>
        <v/>
      </c>
      <c r="I477" s="45" t="str">
        <f>IFERROR(Q477*MIN(Table_Measure_Caps[[#Totals],[Estimated Raw Incentive Total]], Table_Measure_Caps[[#Totals],[Gross Measure Cost Total]], Value_Project_CAP)/Table_Measure_Caps[[#Totals],[Estimated Raw Incentive Total]], "")</f>
        <v/>
      </c>
      <c r="J477" s="45">
        <f>'Input Lighting Control Measures'!I179</f>
        <v>0</v>
      </c>
      <c r="K477" s="14">
        <f>'Input Lighting Control Measures'!J179</f>
        <v>0</v>
      </c>
      <c r="L477" s="15" t="e">
        <f>'Input Lighting Control Measures'!W179</f>
        <v>#N/A</v>
      </c>
      <c r="M477" s="17">
        <f>'Input Lighting Control Measures'!H179</f>
        <v>0</v>
      </c>
      <c r="N477" s="15">
        <f>'Input Lighting Control Measures'!H179</f>
        <v>0</v>
      </c>
      <c r="O477" s="31" t="str">
        <f t="shared" si="14"/>
        <v>Version 4.1 - 2026</v>
      </c>
      <c r="P477" s="89">
        <f>'Input Lighting Control Measures'!E179</f>
        <v>0</v>
      </c>
      <c r="Q477" s="42" t="str">
        <f>'Input Lighting Control Measures'!L179</f>
        <v/>
      </c>
    </row>
    <row r="478" spans="1:17" x14ac:dyDescent="0.2">
      <c r="A478" s="15" t="s">
        <v>6294</v>
      </c>
      <c r="B478" s="14">
        <f t="shared" si="13"/>
        <v>0</v>
      </c>
      <c r="C478" s="14">
        <f>'Input Lighting Control Measures'!B180</f>
        <v>176</v>
      </c>
      <c r="D478" s="14" t="str">
        <f>'Input Lighting Control Measures'!C180</f>
        <v/>
      </c>
      <c r="E478" s="14" t="s">
        <v>6295</v>
      </c>
      <c r="F478" s="16">
        <f>1</f>
        <v>1</v>
      </c>
      <c r="G478" s="16" t="str">
        <f>'Input Lighting Control Measures'!M180</f>
        <v/>
      </c>
      <c r="H478" s="104" t="str">
        <f>'Input Lighting Control Measures'!N180</f>
        <v/>
      </c>
      <c r="I478" s="45" t="str">
        <f>IFERROR(Q478*MIN(Table_Measure_Caps[[#Totals],[Estimated Raw Incentive Total]], Table_Measure_Caps[[#Totals],[Gross Measure Cost Total]], Value_Project_CAP)/Table_Measure_Caps[[#Totals],[Estimated Raw Incentive Total]], "")</f>
        <v/>
      </c>
      <c r="J478" s="45">
        <f>'Input Lighting Control Measures'!I180</f>
        <v>0</v>
      </c>
      <c r="K478" s="14">
        <f>'Input Lighting Control Measures'!J180</f>
        <v>0</v>
      </c>
      <c r="L478" s="15" t="e">
        <f>'Input Lighting Control Measures'!W180</f>
        <v>#N/A</v>
      </c>
      <c r="M478" s="17">
        <f>'Input Lighting Control Measures'!H180</f>
        <v>0</v>
      </c>
      <c r="N478" s="15">
        <f>'Input Lighting Control Measures'!H180</f>
        <v>0</v>
      </c>
      <c r="O478" s="31" t="str">
        <f t="shared" si="14"/>
        <v>Version 4.1 - 2026</v>
      </c>
      <c r="P478" s="89">
        <f>'Input Lighting Control Measures'!E180</f>
        <v>0</v>
      </c>
      <c r="Q478" s="42" t="str">
        <f>'Input Lighting Control Measures'!L180</f>
        <v/>
      </c>
    </row>
    <row r="479" spans="1:17" x14ac:dyDescent="0.2">
      <c r="A479" s="15" t="s">
        <v>6294</v>
      </c>
      <c r="B479" s="14">
        <f t="shared" si="13"/>
        <v>0</v>
      </c>
      <c r="C479" s="14">
        <f>'Input Lighting Control Measures'!B181</f>
        <v>177</v>
      </c>
      <c r="D479" s="14" t="str">
        <f>'Input Lighting Control Measures'!C181</f>
        <v/>
      </c>
      <c r="E479" s="14" t="s">
        <v>6295</v>
      </c>
      <c r="F479" s="16">
        <f>1</f>
        <v>1</v>
      </c>
      <c r="G479" s="16" t="str">
        <f>'Input Lighting Control Measures'!M181</f>
        <v/>
      </c>
      <c r="H479" s="104" t="str">
        <f>'Input Lighting Control Measures'!N181</f>
        <v/>
      </c>
      <c r="I479" s="45" t="str">
        <f>IFERROR(Q479*MIN(Table_Measure_Caps[[#Totals],[Estimated Raw Incentive Total]], Table_Measure_Caps[[#Totals],[Gross Measure Cost Total]], Value_Project_CAP)/Table_Measure_Caps[[#Totals],[Estimated Raw Incentive Total]], "")</f>
        <v/>
      </c>
      <c r="J479" s="45">
        <f>'Input Lighting Control Measures'!I181</f>
        <v>0</v>
      </c>
      <c r="K479" s="14">
        <f>'Input Lighting Control Measures'!J181</f>
        <v>0</v>
      </c>
      <c r="L479" s="15" t="e">
        <f>'Input Lighting Control Measures'!W181</f>
        <v>#N/A</v>
      </c>
      <c r="M479" s="17">
        <f>'Input Lighting Control Measures'!H181</f>
        <v>0</v>
      </c>
      <c r="N479" s="15">
        <f>'Input Lighting Control Measures'!H181</f>
        <v>0</v>
      </c>
      <c r="O479" s="31" t="str">
        <f t="shared" si="14"/>
        <v>Version 4.1 - 2026</v>
      </c>
      <c r="P479" s="89">
        <f>'Input Lighting Control Measures'!E181</f>
        <v>0</v>
      </c>
      <c r="Q479" s="42" t="str">
        <f>'Input Lighting Control Measures'!L181</f>
        <v/>
      </c>
    </row>
    <row r="480" spans="1:17" x14ac:dyDescent="0.2">
      <c r="A480" s="15" t="s">
        <v>6294</v>
      </c>
      <c r="B480" s="14">
        <f t="shared" si="13"/>
        <v>0</v>
      </c>
      <c r="C480" s="14">
        <f>'Input Lighting Control Measures'!B182</f>
        <v>178</v>
      </c>
      <c r="D480" s="14" t="str">
        <f>'Input Lighting Control Measures'!C182</f>
        <v/>
      </c>
      <c r="E480" s="14" t="s">
        <v>6295</v>
      </c>
      <c r="F480" s="16">
        <f>1</f>
        <v>1</v>
      </c>
      <c r="G480" s="16" t="str">
        <f>'Input Lighting Control Measures'!M182</f>
        <v/>
      </c>
      <c r="H480" s="104" t="str">
        <f>'Input Lighting Control Measures'!N182</f>
        <v/>
      </c>
      <c r="I480" s="45" t="str">
        <f>IFERROR(Q480*MIN(Table_Measure_Caps[[#Totals],[Estimated Raw Incentive Total]], Table_Measure_Caps[[#Totals],[Gross Measure Cost Total]], Value_Project_CAP)/Table_Measure_Caps[[#Totals],[Estimated Raw Incentive Total]], "")</f>
        <v/>
      </c>
      <c r="J480" s="45">
        <f>'Input Lighting Control Measures'!I182</f>
        <v>0</v>
      </c>
      <c r="K480" s="14">
        <f>'Input Lighting Control Measures'!J182</f>
        <v>0</v>
      </c>
      <c r="L480" s="15" t="e">
        <f>'Input Lighting Control Measures'!W182</f>
        <v>#N/A</v>
      </c>
      <c r="M480" s="17">
        <f>'Input Lighting Control Measures'!H182</f>
        <v>0</v>
      </c>
      <c r="N480" s="15">
        <f>'Input Lighting Control Measures'!H182</f>
        <v>0</v>
      </c>
      <c r="O480" s="31" t="str">
        <f t="shared" si="14"/>
        <v>Version 4.1 - 2026</v>
      </c>
      <c r="P480" s="89">
        <f>'Input Lighting Control Measures'!E182</f>
        <v>0</v>
      </c>
      <c r="Q480" s="42" t="str">
        <f>'Input Lighting Control Measures'!L182</f>
        <v/>
      </c>
    </row>
    <row r="481" spans="1:17" x14ac:dyDescent="0.2">
      <c r="A481" s="15" t="s">
        <v>6294</v>
      </c>
      <c r="B481" s="14">
        <f t="shared" si="13"/>
        <v>0</v>
      </c>
      <c r="C481" s="14">
        <f>'Input Lighting Control Measures'!B183</f>
        <v>179</v>
      </c>
      <c r="D481" s="14" t="str">
        <f>'Input Lighting Control Measures'!C183</f>
        <v/>
      </c>
      <c r="E481" s="14" t="s">
        <v>6295</v>
      </c>
      <c r="F481" s="16">
        <f>1</f>
        <v>1</v>
      </c>
      <c r="G481" s="16" t="str">
        <f>'Input Lighting Control Measures'!M183</f>
        <v/>
      </c>
      <c r="H481" s="104" t="str">
        <f>'Input Lighting Control Measures'!N183</f>
        <v/>
      </c>
      <c r="I481" s="45" t="str">
        <f>IFERROR(Q481*MIN(Table_Measure_Caps[[#Totals],[Estimated Raw Incentive Total]], Table_Measure_Caps[[#Totals],[Gross Measure Cost Total]], Value_Project_CAP)/Table_Measure_Caps[[#Totals],[Estimated Raw Incentive Total]], "")</f>
        <v/>
      </c>
      <c r="J481" s="45">
        <f>'Input Lighting Control Measures'!I183</f>
        <v>0</v>
      </c>
      <c r="K481" s="14">
        <f>'Input Lighting Control Measures'!J183</f>
        <v>0</v>
      </c>
      <c r="L481" s="15" t="e">
        <f>'Input Lighting Control Measures'!W183</f>
        <v>#N/A</v>
      </c>
      <c r="M481" s="17">
        <f>'Input Lighting Control Measures'!H183</f>
        <v>0</v>
      </c>
      <c r="N481" s="15">
        <f>'Input Lighting Control Measures'!H183</f>
        <v>0</v>
      </c>
      <c r="O481" s="31" t="str">
        <f t="shared" si="14"/>
        <v>Version 4.1 - 2026</v>
      </c>
      <c r="P481" s="89">
        <f>'Input Lighting Control Measures'!E183</f>
        <v>0</v>
      </c>
      <c r="Q481" s="42" t="str">
        <f>'Input Lighting Control Measures'!L183</f>
        <v/>
      </c>
    </row>
    <row r="482" spans="1:17" x14ac:dyDescent="0.2">
      <c r="A482" s="15" t="s">
        <v>6294</v>
      </c>
      <c r="B482" s="14">
        <f t="shared" si="13"/>
        <v>0</v>
      </c>
      <c r="C482" s="14">
        <f>'Input Lighting Control Measures'!B184</f>
        <v>180</v>
      </c>
      <c r="D482" s="14" t="str">
        <f>'Input Lighting Control Measures'!C184</f>
        <v/>
      </c>
      <c r="E482" s="14" t="s">
        <v>6295</v>
      </c>
      <c r="F482" s="16">
        <f>1</f>
        <v>1</v>
      </c>
      <c r="G482" s="16" t="str">
        <f>'Input Lighting Control Measures'!M184</f>
        <v/>
      </c>
      <c r="H482" s="104" t="str">
        <f>'Input Lighting Control Measures'!N184</f>
        <v/>
      </c>
      <c r="I482" s="45" t="str">
        <f>IFERROR(Q482*MIN(Table_Measure_Caps[[#Totals],[Estimated Raw Incentive Total]], Table_Measure_Caps[[#Totals],[Gross Measure Cost Total]], Value_Project_CAP)/Table_Measure_Caps[[#Totals],[Estimated Raw Incentive Total]], "")</f>
        <v/>
      </c>
      <c r="J482" s="45">
        <f>'Input Lighting Control Measures'!I184</f>
        <v>0</v>
      </c>
      <c r="K482" s="14">
        <f>'Input Lighting Control Measures'!J184</f>
        <v>0</v>
      </c>
      <c r="L482" s="15" t="e">
        <f>'Input Lighting Control Measures'!W184</f>
        <v>#N/A</v>
      </c>
      <c r="M482" s="17">
        <f>'Input Lighting Control Measures'!H184</f>
        <v>0</v>
      </c>
      <c r="N482" s="15">
        <f>'Input Lighting Control Measures'!H184</f>
        <v>0</v>
      </c>
      <c r="O482" s="31" t="str">
        <f t="shared" si="14"/>
        <v>Version 4.1 - 2026</v>
      </c>
      <c r="P482" s="89">
        <f>'Input Lighting Control Measures'!E184</f>
        <v>0</v>
      </c>
      <c r="Q482" s="42" t="str">
        <f>'Input Lighting Control Measures'!L184</f>
        <v/>
      </c>
    </row>
    <row r="483" spans="1:17" x14ac:dyDescent="0.2">
      <c r="A483" s="15" t="s">
        <v>6294</v>
      </c>
      <c r="B483" s="14">
        <f t="shared" si="13"/>
        <v>0</v>
      </c>
      <c r="C483" s="14">
        <f>'Input Lighting Control Measures'!B185</f>
        <v>181</v>
      </c>
      <c r="D483" s="14" t="str">
        <f>'Input Lighting Control Measures'!C185</f>
        <v/>
      </c>
      <c r="E483" s="14" t="s">
        <v>6295</v>
      </c>
      <c r="F483" s="16">
        <f>1</f>
        <v>1</v>
      </c>
      <c r="G483" s="16" t="str">
        <f>'Input Lighting Control Measures'!M185</f>
        <v/>
      </c>
      <c r="H483" s="104" t="str">
        <f>'Input Lighting Control Measures'!N185</f>
        <v/>
      </c>
      <c r="I483" s="45" t="str">
        <f>IFERROR(Q483*MIN(Table_Measure_Caps[[#Totals],[Estimated Raw Incentive Total]], Table_Measure_Caps[[#Totals],[Gross Measure Cost Total]], Value_Project_CAP)/Table_Measure_Caps[[#Totals],[Estimated Raw Incentive Total]], "")</f>
        <v/>
      </c>
      <c r="J483" s="45">
        <f>'Input Lighting Control Measures'!I185</f>
        <v>0</v>
      </c>
      <c r="K483" s="14">
        <f>'Input Lighting Control Measures'!J185</f>
        <v>0</v>
      </c>
      <c r="L483" s="15" t="e">
        <f>'Input Lighting Control Measures'!W185</f>
        <v>#N/A</v>
      </c>
      <c r="M483" s="17">
        <f>'Input Lighting Control Measures'!H185</f>
        <v>0</v>
      </c>
      <c r="N483" s="15">
        <f>'Input Lighting Control Measures'!H185</f>
        <v>0</v>
      </c>
      <c r="O483" s="31" t="str">
        <f t="shared" si="14"/>
        <v>Version 4.1 - 2026</v>
      </c>
      <c r="P483" s="89">
        <f>'Input Lighting Control Measures'!E185</f>
        <v>0</v>
      </c>
      <c r="Q483" s="42" t="str">
        <f>'Input Lighting Control Measures'!L185</f>
        <v/>
      </c>
    </row>
    <row r="484" spans="1:17" x14ac:dyDescent="0.2">
      <c r="A484" s="15" t="s">
        <v>6294</v>
      </c>
      <c r="B484" s="14">
        <f t="shared" si="13"/>
        <v>0</v>
      </c>
      <c r="C484" s="14">
        <f>'Input Lighting Control Measures'!B186</f>
        <v>182</v>
      </c>
      <c r="D484" s="14" t="str">
        <f>'Input Lighting Control Measures'!C186</f>
        <v/>
      </c>
      <c r="E484" s="14" t="s">
        <v>6295</v>
      </c>
      <c r="F484" s="16">
        <f>1</f>
        <v>1</v>
      </c>
      <c r="G484" s="16" t="str">
        <f>'Input Lighting Control Measures'!M186</f>
        <v/>
      </c>
      <c r="H484" s="104" t="str">
        <f>'Input Lighting Control Measures'!N186</f>
        <v/>
      </c>
      <c r="I484" s="45" t="str">
        <f>IFERROR(Q484*MIN(Table_Measure_Caps[[#Totals],[Estimated Raw Incentive Total]], Table_Measure_Caps[[#Totals],[Gross Measure Cost Total]], Value_Project_CAP)/Table_Measure_Caps[[#Totals],[Estimated Raw Incentive Total]], "")</f>
        <v/>
      </c>
      <c r="J484" s="45">
        <f>'Input Lighting Control Measures'!I186</f>
        <v>0</v>
      </c>
      <c r="K484" s="14">
        <f>'Input Lighting Control Measures'!J186</f>
        <v>0</v>
      </c>
      <c r="L484" s="15" t="e">
        <f>'Input Lighting Control Measures'!W186</f>
        <v>#N/A</v>
      </c>
      <c r="M484" s="17">
        <f>'Input Lighting Control Measures'!H186</f>
        <v>0</v>
      </c>
      <c r="N484" s="15">
        <f>'Input Lighting Control Measures'!H186</f>
        <v>0</v>
      </c>
      <c r="O484" s="31" t="str">
        <f t="shared" si="14"/>
        <v>Version 4.1 - 2026</v>
      </c>
      <c r="P484" s="89">
        <f>'Input Lighting Control Measures'!E186</f>
        <v>0</v>
      </c>
      <c r="Q484" s="42" t="str">
        <f>'Input Lighting Control Measures'!L186</f>
        <v/>
      </c>
    </row>
    <row r="485" spans="1:17" x14ac:dyDescent="0.2">
      <c r="A485" s="15" t="s">
        <v>6294</v>
      </c>
      <c r="B485" s="14">
        <f t="shared" si="13"/>
        <v>0</v>
      </c>
      <c r="C485" s="14">
        <f>'Input Lighting Control Measures'!B187</f>
        <v>183</v>
      </c>
      <c r="D485" s="14" t="str">
        <f>'Input Lighting Control Measures'!C187</f>
        <v/>
      </c>
      <c r="E485" s="14" t="s">
        <v>6295</v>
      </c>
      <c r="F485" s="16">
        <f>1</f>
        <v>1</v>
      </c>
      <c r="G485" s="16" t="str">
        <f>'Input Lighting Control Measures'!M187</f>
        <v/>
      </c>
      <c r="H485" s="104" t="str">
        <f>'Input Lighting Control Measures'!N187</f>
        <v/>
      </c>
      <c r="I485" s="45" t="str">
        <f>IFERROR(Q485*MIN(Table_Measure_Caps[[#Totals],[Estimated Raw Incentive Total]], Table_Measure_Caps[[#Totals],[Gross Measure Cost Total]], Value_Project_CAP)/Table_Measure_Caps[[#Totals],[Estimated Raw Incentive Total]], "")</f>
        <v/>
      </c>
      <c r="J485" s="45">
        <f>'Input Lighting Control Measures'!I187</f>
        <v>0</v>
      </c>
      <c r="K485" s="14">
        <f>'Input Lighting Control Measures'!J187</f>
        <v>0</v>
      </c>
      <c r="L485" s="15" t="e">
        <f>'Input Lighting Control Measures'!W187</f>
        <v>#N/A</v>
      </c>
      <c r="M485" s="17">
        <f>'Input Lighting Control Measures'!H187</f>
        <v>0</v>
      </c>
      <c r="N485" s="15">
        <f>'Input Lighting Control Measures'!H187</f>
        <v>0</v>
      </c>
      <c r="O485" s="31" t="str">
        <f t="shared" si="14"/>
        <v>Version 4.1 - 2026</v>
      </c>
      <c r="P485" s="89">
        <f>'Input Lighting Control Measures'!E187</f>
        <v>0</v>
      </c>
      <c r="Q485" s="42" t="str">
        <f>'Input Lighting Control Measures'!L187</f>
        <v/>
      </c>
    </row>
    <row r="486" spans="1:17" x14ac:dyDescent="0.2">
      <c r="A486" s="15" t="s">
        <v>6294</v>
      </c>
      <c r="B486" s="14">
        <f t="shared" si="13"/>
        <v>0</v>
      </c>
      <c r="C486" s="14">
        <f>'Input Lighting Control Measures'!B188</f>
        <v>184</v>
      </c>
      <c r="D486" s="14" t="str">
        <f>'Input Lighting Control Measures'!C188</f>
        <v/>
      </c>
      <c r="E486" s="14" t="s">
        <v>6295</v>
      </c>
      <c r="F486" s="16">
        <f>1</f>
        <v>1</v>
      </c>
      <c r="G486" s="16" t="str">
        <f>'Input Lighting Control Measures'!M188</f>
        <v/>
      </c>
      <c r="H486" s="104" t="str">
        <f>'Input Lighting Control Measures'!N188</f>
        <v/>
      </c>
      <c r="I486" s="45" t="str">
        <f>IFERROR(Q486*MIN(Table_Measure_Caps[[#Totals],[Estimated Raw Incentive Total]], Table_Measure_Caps[[#Totals],[Gross Measure Cost Total]], Value_Project_CAP)/Table_Measure_Caps[[#Totals],[Estimated Raw Incentive Total]], "")</f>
        <v/>
      </c>
      <c r="J486" s="45">
        <f>'Input Lighting Control Measures'!I188</f>
        <v>0</v>
      </c>
      <c r="K486" s="14">
        <f>'Input Lighting Control Measures'!J188</f>
        <v>0</v>
      </c>
      <c r="L486" s="15" t="e">
        <f>'Input Lighting Control Measures'!W188</f>
        <v>#N/A</v>
      </c>
      <c r="M486" s="17">
        <f>'Input Lighting Control Measures'!H188</f>
        <v>0</v>
      </c>
      <c r="N486" s="15">
        <f>'Input Lighting Control Measures'!H188</f>
        <v>0</v>
      </c>
      <c r="O486" s="31" t="str">
        <f t="shared" si="14"/>
        <v>Version 4.1 - 2026</v>
      </c>
      <c r="P486" s="89">
        <f>'Input Lighting Control Measures'!E188</f>
        <v>0</v>
      </c>
      <c r="Q486" s="42" t="str">
        <f>'Input Lighting Control Measures'!L188</f>
        <v/>
      </c>
    </row>
    <row r="487" spans="1:17" x14ac:dyDescent="0.2">
      <c r="A487" s="15" t="s">
        <v>6294</v>
      </c>
      <c r="B487" s="14">
        <f t="shared" si="13"/>
        <v>0</v>
      </c>
      <c r="C487" s="14">
        <f>'Input Lighting Control Measures'!B189</f>
        <v>185</v>
      </c>
      <c r="D487" s="14" t="str">
        <f>'Input Lighting Control Measures'!C189</f>
        <v/>
      </c>
      <c r="E487" s="14" t="s">
        <v>6295</v>
      </c>
      <c r="F487" s="16">
        <f>1</f>
        <v>1</v>
      </c>
      <c r="G487" s="16" t="str">
        <f>'Input Lighting Control Measures'!M189</f>
        <v/>
      </c>
      <c r="H487" s="104" t="str">
        <f>'Input Lighting Control Measures'!N189</f>
        <v/>
      </c>
      <c r="I487" s="45" t="str">
        <f>IFERROR(Q487*MIN(Table_Measure_Caps[[#Totals],[Estimated Raw Incentive Total]], Table_Measure_Caps[[#Totals],[Gross Measure Cost Total]], Value_Project_CAP)/Table_Measure_Caps[[#Totals],[Estimated Raw Incentive Total]], "")</f>
        <v/>
      </c>
      <c r="J487" s="45">
        <f>'Input Lighting Control Measures'!I189</f>
        <v>0</v>
      </c>
      <c r="K487" s="14">
        <f>'Input Lighting Control Measures'!J189</f>
        <v>0</v>
      </c>
      <c r="L487" s="15" t="e">
        <f>'Input Lighting Control Measures'!W189</f>
        <v>#N/A</v>
      </c>
      <c r="M487" s="17">
        <f>'Input Lighting Control Measures'!H189</f>
        <v>0</v>
      </c>
      <c r="N487" s="15">
        <f>'Input Lighting Control Measures'!H189</f>
        <v>0</v>
      </c>
      <c r="O487" s="31" t="str">
        <f t="shared" si="14"/>
        <v>Version 4.1 - 2026</v>
      </c>
      <c r="P487" s="89">
        <f>'Input Lighting Control Measures'!E189</f>
        <v>0</v>
      </c>
      <c r="Q487" s="42" t="str">
        <f>'Input Lighting Control Measures'!L189</f>
        <v/>
      </c>
    </row>
    <row r="488" spans="1:17" x14ac:dyDescent="0.2">
      <c r="A488" s="15" t="s">
        <v>6294</v>
      </c>
      <c r="B488" s="14">
        <f t="shared" si="13"/>
        <v>0</v>
      </c>
      <c r="C488" s="14">
        <f>'Input Lighting Control Measures'!B190</f>
        <v>186</v>
      </c>
      <c r="D488" s="14" t="str">
        <f>'Input Lighting Control Measures'!C190</f>
        <v/>
      </c>
      <c r="E488" s="14" t="s">
        <v>6295</v>
      </c>
      <c r="F488" s="16">
        <f>1</f>
        <v>1</v>
      </c>
      <c r="G488" s="16" t="str">
        <f>'Input Lighting Control Measures'!M190</f>
        <v/>
      </c>
      <c r="H488" s="104" t="str">
        <f>'Input Lighting Control Measures'!N190</f>
        <v/>
      </c>
      <c r="I488" s="45" t="str">
        <f>IFERROR(Q488*MIN(Table_Measure_Caps[[#Totals],[Estimated Raw Incentive Total]], Table_Measure_Caps[[#Totals],[Gross Measure Cost Total]], Value_Project_CAP)/Table_Measure_Caps[[#Totals],[Estimated Raw Incentive Total]], "")</f>
        <v/>
      </c>
      <c r="J488" s="45">
        <f>'Input Lighting Control Measures'!I190</f>
        <v>0</v>
      </c>
      <c r="K488" s="14">
        <f>'Input Lighting Control Measures'!J190</f>
        <v>0</v>
      </c>
      <c r="L488" s="15" t="e">
        <f>'Input Lighting Control Measures'!W190</f>
        <v>#N/A</v>
      </c>
      <c r="M488" s="17">
        <f>'Input Lighting Control Measures'!H190</f>
        <v>0</v>
      </c>
      <c r="N488" s="15">
        <f>'Input Lighting Control Measures'!H190</f>
        <v>0</v>
      </c>
      <c r="O488" s="31" t="str">
        <f t="shared" si="14"/>
        <v>Version 4.1 - 2026</v>
      </c>
      <c r="P488" s="89">
        <f>'Input Lighting Control Measures'!E190</f>
        <v>0</v>
      </c>
      <c r="Q488" s="42" t="str">
        <f>'Input Lighting Control Measures'!L190</f>
        <v/>
      </c>
    </row>
    <row r="489" spans="1:17" x14ac:dyDescent="0.2">
      <c r="A489" s="15" t="s">
        <v>6294</v>
      </c>
      <c r="B489" s="14">
        <f t="shared" si="13"/>
        <v>0</v>
      </c>
      <c r="C489" s="14">
        <f>'Input Lighting Control Measures'!B191</f>
        <v>187</v>
      </c>
      <c r="D489" s="14" t="str">
        <f>'Input Lighting Control Measures'!C191</f>
        <v/>
      </c>
      <c r="E489" s="14" t="s">
        <v>6295</v>
      </c>
      <c r="F489" s="16">
        <f>1</f>
        <v>1</v>
      </c>
      <c r="G489" s="16" t="str">
        <f>'Input Lighting Control Measures'!M191</f>
        <v/>
      </c>
      <c r="H489" s="104" t="str">
        <f>'Input Lighting Control Measures'!N191</f>
        <v/>
      </c>
      <c r="I489" s="45" t="str">
        <f>IFERROR(Q489*MIN(Table_Measure_Caps[[#Totals],[Estimated Raw Incentive Total]], Table_Measure_Caps[[#Totals],[Gross Measure Cost Total]], Value_Project_CAP)/Table_Measure_Caps[[#Totals],[Estimated Raw Incentive Total]], "")</f>
        <v/>
      </c>
      <c r="J489" s="45">
        <f>'Input Lighting Control Measures'!I191</f>
        <v>0</v>
      </c>
      <c r="K489" s="14">
        <f>'Input Lighting Control Measures'!J191</f>
        <v>0</v>
      </c>
      <c r="L489" s="15" t="e">
        <f>'Input Lighting Control Measures'!W191</f>
        <v>#N/A</v>
      </c>
      <c r="M489" s="17">
        <f>'Input Lighting Control Measures'!H191</f>
        <v>0</v>
      </c>
      <c r="N489" s="15">
        <f>'Input Lighting Control Measures'!H191</f>
        <v>0</v>
      </c>
      <c r="O489" s="31" t="str">
        <f t="shared" si="14"/>
        <v>Version 4.1 - 2026</v>
      </c>
      <c r="P489" s="89">
        <f>'Input Lighting Control Measures'!E191</f>
        <v>0</v>
      </c>
      <c r="Q489" s="42" t="str">
        <f>'Input Lighting Control Measures'!L191</f>
        <v/>
      </c>
    </row>
    <row r="490" spans="1:17" x14ac:dyDescent="0.2">
      <c r="A490" s="15" t="s">
        <v>6294</v>
      </c>
      <c r="B490" s="14">
        <f t="shared" si="13"/>
        <v>0</v>
      </c>
      <c r="C490" s="14">
        <f>'Input Lighting Control Measures'!B192</f>
        <v>188</v>
      </c>
      <c r="D490" s="14" t="str">
        <f>'Input Lighting Control Measures'!C192</f>
        <v/>
      </c>
      <c r="E490" s="14" t="s">
        <v>6295</v>
      </c>
      <c r="F490" s="16">
        <f>1</f>
        <v>1</v>
      </c>
      <c r="G490" s="16" t="str">
        <f>'Input Lighting Control Measures'!M192</f>
        <v/>
      </c>
      <c r="H490" s="104" t="str">
        <f>'Input Lighting Control Measures'!N192</f>
        <v/>
      </c>
      <c r="I490" s="45" t="str">
        <f>IFERROR(Q490*MIN(Table_Measure_Caps[[#Totals],[Estimated Raw Incentive Total]], Table_Measure_Caps[[#Totals],[Gross Measure Cost Total]], Value_Project_CAP)/Table_Measure_Caps[[#Totals],[Estimated Raw Incentive Total]], "")</f>
        <v/>
      </c>
      <c r="J490" s="45">
        <f>'Input Lighting Control Measures'!I192</f>
        <v>0</v>
      </c>
      <c r="K490" s="14">
        <f>'Input Lighting Control Measures'!J192</f>
        <v>0</v>
      </c>
      <c r="L490" s="15" t="e">
        <f>'Input Lighting Control Measures'!W192</f>
        <v>#N/A</v>
      </c>
      <c r="M490" s="17">
        <f>'Input Lighting Control Measures'!H192</f>
        <v>0</v>
      </c>
      <c r="N490" s="15">
        <f>'Input Lighting Control Measures'!H192</f>
        <v>0</v>
      </c>
      <c r="O490" s="31" t="str">
        <f t="shared" si="14"/>
        <v>Version 4.1 - 2026</v>
      </c>
      <c r="P490" s="89">
        <f>'Input Lighting Control Measures'!E192</f>
        <v>0</v>
      </c>
      <c r="Q490" s="42" t="str">
        <f>'Input Lighting Control Measures'!L192</f>
        <v/>
      </c>
    </row>
    <row r="491" spans="1:17" x14ac:dyDescent="0.2">
      <c r="A491" s="15" t="s">
        <v>6294</v>
      </c>
      <c r="B491" s="14">
        <f t="shared" si="13"/>
        <v>0</v>
      </c>
      <c r="C491" s="14">
        <f>'Input Lighting Control Measures'!B193</f>
        <v>189</v>
      </c>
      <c r="D491" s="14" t="str">
        <f>'Input Lighting Control Measures'!C193</f>
        <v/>
      </c>
      <c r="E491" s="14" t="s">
        <v>6295</v>
      </c>
      <c r="F491" s="16">
        <f>1</f>
        <v>1</v>
      </c>
      <c r="G491" s="16" t="str">
        <f>'Input Lighting Control Measures'!M193</f>
        <v/>
      </c>
      <c r="H491" s="104" t="str">
        <f>'Input Lighting Control Measures'!N193</f>
        <v/>
      </c>
      <c r="I491" s="45" t="str">
        <f>IFERROR(Q491*MIN(Table_Measure_Caps[[#Totals],[Estimated Raw Incentive Total]], Table_Measure_Caps[[#Totals],[Gross Measure Cost Total]], Value_Project_CAP)/Table_Measure_Caps[[#Totals],[Estimated Raw Incentive Total]], "")</f>
        <v/>
      </c>
      <c r="J491" s="45">
        <f>'Input Lighting Control Measures'!I193</f>
        <v>0</v>
      </c>
      <c r="K491" s="14">
        <f>'Input Lighting Control Measures'!J193</f>
        <v>0</v>
      </c>
      <c r="L491" s="15" t="e">
        <f>'Input Lighting Control Measures'!W193</f>
        <v>#N/A</v>
      </c>
      <c r="M491" s="17">
        <f>'Input Lighting Control Measures'!H193</f>
        <v>0</v>
      </c>
      <c r="N491" s="15">
        <f>'Input Lighting Control Measures'!H193</f>
        <v>0</v>
      </c>
      <c r="O491" s="31" t="str">
        <f t="shared" si="14"/>
        <v>Version 4.1 - 2026</v>
      </c>
      <c r="P491" s="89">
        <f>'Input Lighting Control Measures'!E193</f>
        <v>0</v>
      </c>
      <c r="Q491" s="42" t="str">
        <f>'Input Lighting Control Measures'!L193</f>
        <v/>
      </c>
    </row>
    <row r="492" spans="1:17" x14ac:dyDescent="0.2">
      <c r="A492" s="15" t="s">
        <v>6294</v>
      </c>
      <c r="B492" s="14">
        <f t="shared" si="13"/>
        <v>0</v>
      </c>
      <c r="C492" s="14">
        <f>'Input Lighting Control Measures'!B194</f>
        <v>190</v>
      </c>
      <c r="D492" s="14" t="str">
        <f>'Input Lighting Control Measures'!C194</f>
        <v/>
      </c>
      <c r="E492" s="14" t="s">
        <v>6295</v>
      </c>
      <c r="F492" s="16">
        <f>1</f>
        <v>1</v>
      </c>
      <c r="G492" s="16" t="str">
        <f>'Input Lighting Control Measures'!M194</f>
        <v/>
      </c>
      <c r="H492" s="104" t="str">
        <f>'Input Lighting Control Measures'!N194</f>
        <v/>
      </c>
      <c r="I492" s="45" t="str">
        <f>IFERROR(Q492*MIN(Table_Measure_Caps[[#Totals],[Estimated Raw Incentive Total]], Table_Measure_Caps[[#Totals],[Gross Measure Cost Total]], Value_Project_CAP)/Table_Measure_Caps[[#Totals],[Estimated Raw Incentive Total]], "")</f>
        <v/>
      </c>
      <c r="J492" s="45">
        <f>'Input Lighting Control Measures'!I194</f>
        <v>0</v>
      </c>
      <c r="K492" s="14">
        <f>'Input Lighting Control Measures'!J194</f>
        <v>0</v>
      </c>
      <c r="L492" s="15" t="e">
        <f>'Input Lighting Control Measures'!W194</f>
        <v>#N/A</v>
      </c>
      <c r="M492" s="17">
        <f>'Input Lighting Control Measures'!H194</f>
        <v>0</v>
      </c>
      <c r="N492" s="15">
        <f>'Input Lighting Control Measures'!H194</f>
        <v>0</v>
      </c>
      <c r="O492" s="31" t="str">
        <f t="shared" si="14"/>
        <v>Version 4.1 - 2026</v>
      </c>
      <c r="P492" s="89">
        <f>'Input Lighting Control Measures'!E194</f>
        <v>0</v>
      </c>
      <c r="Q492" s="42" t="str">
        <f>'Input Lighting Control Measures'!L194</f>
        <v/>
      </c>
    </row>
    <row r="493" spans="1:17" x14ac:dyDescent="0.2">
      <c r="A493" s="15" t="s">
        <v>6294</v>
      </c>
      <c r="B493" s="14">
        <f t="shared" si="13"/>
        <v>0</v>
      </c>
      <c r="C493" s="14">
        <f>'Input Lighting Control Measures'!B195</f>
        <v>191</v>
      </c>
      <c r="D493" s="14" t="str">
        <f>'Input Lighting Control Measures'!C195</f>
        <v/>
      </c>
      <c r="E493" s="14" t="s">
        <v>6295</v>
      </c>
      <c r="F493" s="16">
        <f>1</f>
        <v>1</v>
      </c>
      <c r="G493" s="16" t="str">
        <f>'Input Lighting Control Measures'!M195</f>
        <v/>
      </c>
      <c r="H493" s="104" t="str">
        <f>'Input Lighting Control Measures'!N195</f>
        <v/>
      </c>
      <c r="I493" s="45" t="str">
        <f>IFERROR(Q493*MIN(Table_Measure_Caps[[#Totals],[Estimated Raw Incentive Total]], Table_Measure_Caps[[#Totals],[Gross Measure Cost Total]], Value_Project_CAP)/Table_Measure_Caps[[#Totals],[Estimated Raw Incentive Total]], "")</f>
        <v/>
      </c>
      <c r="J493" s="45">
        <f>'Input Lighting Control Measures'!I195</f>
        <v>0</v>
      </c>
      <c r="K493" s="14">
        <f>'Input Lighting Control Measures'!J195</f>
        <v>0</v>
      </c>
      <c r="L493" s="15" t="e">
        <f>'Input Lighting Control Measures'!W195</f>
        <v>#N/A</v>
      </c>
      <c r="M493" s="17">
        <f>'Input Lighting Control Measures'!H195</f>
        <v>0</v>
      </c>
      <c r="N493" s="15">
        <f>'Input Lighting Control Measures'!H195</f>
        <v>0</v>
      </c>
      <c r="O493" s="31" t="str">
        <f t="shared" si="14"/>
        <v>Version 4.1 - 2026</v>
      </c>
      <c r="P493" s="89">
        <f>'Input Lighting Control Measures'!E195</f>
        <v>0</v>
      </c>
      <c r="Q493" s="42" t="str">
        <f>'Input Lighting Control Measures'!L195</f>
        <v/>
      </c>
    </row>
    <row r="494" spans="1:17" x14ac:dyDescent="0.2">
      <c r="A494" s="15" t="s">
        <v>6294</v>
      </c>
      <c r="B494" s="14">
        <f t="shared" si="13"/>
        <v>0</v>
      </c>
      <c r="C494" s="14">
        <f>'Input Lighting Control Measures'!B196</f>
        <v>192</v>
      </c>
      <c r="D494" s="14" t="str">
        <f>'Input Lighting Control Measures'!C196</f>
        <v/>
      </c>
      <c r="E494" s="14" t="s">
        <v>6295</v>
      </c>
      <c r="F494" s="16">
        <f>1</f>
        <v>1</v>
      </c>
      <c r="G494" s="16" t="str">
        <f>'Input Lighting Control Measures'!M196</f>
        <v/>
      </c>
      <c r="H494" s="104" t="str">
        <f>'Input Lighting Control Measures'!N196</f>
        <v/>
      </c>
      <c r="I494" s="45" t="str">
        <f>IFERROR(Q494*MIN(Table_Measure_Caps[[#Totals],[Estimated Raw Incentive Total]], Table_Measure_Caps[[#Totals],[Gross Measure Cost Total]], Value_Project_CAP)/Table_Measure_Caps[[#Totals],[Estimated Raw Incentive Total]], "")</f>
        <v/>
      </c>
      <c r="J494" s="45">
        <f>'Input Lighting Control Measures'!I196</f>
        <v>0</v>
      </c>
      <c r="K494" s="14">
        <f>'Input Lighting Control Measures'!J196</f>
        <v>0</v>
      </c>
      <c r="L494" s="15" t="e">
        <f>'Input Lighting Control Measures'!W196</f>
        <v>#N/A</v>
      </c>
      <c r="M494" s="17">
        <f>'Input Lighting Control Measures'!H196</f>
        <v>0</v>
      </c>
      <c r="N494" s="15">
        <f>'Input Lighting Control Measures'!H196</f>
        <v>0</v>
      </c>
      <c r="O494" s="31" t="str">
        <f t="shared" si="14"/>
        <v>Version 4.1 - 2026</v>
      </c>
      <c r="P494" s="89">
        <f>'Input Lighting Control Measures'!E196</f>
        <v>0</v>
      </c>
      <c r="Q494" s="42" t="str">
        <f>'Input Lighting Control Measures'!L196</f>
        <v/>
      </c>
    </row>
    <row r="495" spans="1:17" x14ac:dyDescent="0.2">
      <c r="A495" s="15" t="s">
        <v>6294</v>
      </c>
      <c r="B495" s="14">
        <f t="shared" si="13"/>
        <v>0</v>
      </c>
      <c r="C495" s="14">
        <f>'Input Lighting Control Measures'!B197</f>
        <v>193</v>
      </c>
      <c r="D495" s="14" t="str">
        <f>'Input Lighting Control Measures'!C197</f>
        <v/>
      </c>
      <c r="E495" s="14" t="s">
        <v>6295</v>
      </c>
      <c r="F495" s="16">
        <f>1</f>
        <v>1</v>
      </c>
      <c r="G495" s="16" t="str">
        <f>'Input Lighting Control Measures'!M197</f>
        <v/>
      </c>
      <c r="H495" s="104" t="str">
        <f>'Input Lighting Control Measures'!N197</f>
        <v/>
      </c>
      <c r="I495" s="45" t="str">
        <f>IFERROR(Q495*MIN(Table_Measure_Caps[[#Totals],[Estimated Raw Incentive Total]], Table_Measure_Caps[[#Totals],[Gross Measure Cost Total]], Value_Project_CAP)/Table_Measure_Caps[[#Totals],[Estimated Raw Incentive Total]], "")</f>
        <v/>
      </c>
      <c r="J495" s="45">
        <f>'Input Lighting Control Measures'!I197</f>
        <v>0</v>
      </c>
      <c r="K495" s="14">
        <f>'Input Lighting Control Measures'!J197</f>
        <v>0</v>
      </c>
      <c r="L495" s="15" t="e">
        <f>'Input Lighting Control Measures'!W197</f>
        <v>#N/A</v>
      </c>
      <c r="M495" s="17">
        <f>'Input Lighting Control Measures'!H197</f>
        <v>0</v>
      </c>
      <c r="N495" s="15">
        <f>'Input Lighting Control Measures'!H197</f>
        <v>0</v>
      </c>
      <c r="O495" s="31" t="str">
        <f t="shared" si="14"/>
        <v>Version 4.1 - 2026</v>
      </c>
      <c r="P495" s="89">
        <f>'Input Lighting Control Measures'!E197</f>
        <v>0</v>
      </c>
      <c r="Q495" s="42" t="str">
        <f>'Input Lighting Control Measures'!L197</f>
        <v/>
      </c>
    </row>
    <row r="496" spans="1:17" x14ac:dyDescent="0.2">
      <c r="A496" s="15" t="s">
        <v>6294</v>
      </c>
      <c r="B496" s="14">
        <f t="shared" si="13"/>
        <v>0</v>
      </c>
      <c r="C496" s="14">
        <f>'Input Lighting Control Measures'!B198</f>
        <v>194</v>
      </c>
      <c r="D496" s="14" t="str">
        <f>'Input Lighting Control Measures'!C198</f>
        <v/>
      </c>
      <c r="E496" s="14" t="s">
        <v>6295</v>
      </c>
      <c r="F496" s="16">
        <f>1</f>
        <v>1</v>
      </c>
      <c r="G496" s="16" t="str">
        <f>'Input Lighting Control Measures'!M198</f>
        <v/>
      </c>
      <c r="H496" s="104" t="str">
        <f>'Input Lighting Control Measures'!N198</f>
        <v/>
      </c>
      <c r="I496" s="45" t="str">
        <f>IFERROR(Q496*MIN(Table_Measure_Caps[[#Totals],[Estimated Raw Incentive Total]], Table_Measure_Caps[[#Totals],[Gross Measure Cost Total]], Value_Project_CAP)/Table_Measure_Caps[[#Totals],[Estimated Raw Incentive Total]], "")</f>
        <v/>
      </c>
      <c r="J496" s="45">
        <f>'Input Lighting Control Measures'!I198</f>
        <v>0</v>
      </c>
      <c r="K496" s="14">
        <f>'Input Lighting Control Measures'!J198</f>
        <v>0</v>
      </c>
      <c r="L496" s="15" t="e">
        <f>'Input Lighting Control Measures'!W198</f>
        <v>#N/A</v>
      </c>
      <c r="M496" s="17">
        <f>'Input Lighting Control Measures'!H198</f>
        <v>0</v>
      </c>
      <c r="N496" s="15">
        <f>'Input Lighting Control Measures'!H198</f>
        <v>0</v>
      </c>
      <c r="O496" s="31" t="str">
        <f t="shared" si="14"/>
        <v>Version 4.1 - 2026</v>
      </c>
      <c r="P496" s="89">
        <f>'Input Lighting Control Measures'!E198</f>
        <v>0</v>
      </c>
      <c r="Q496" s="42" t="str">
        <f>'Input Lighting Control Measures'!L198</f>
        <v/>
      </c>
    </row>
    <row r="497" spans="1:17" x14ac:dyDescent="0.2">
      <c r="A497" s="15" t="s">
        <v>6294</v>
      </c>
      <c r="B497" s="14">
        <f t="shared" ref="B497:B502" si="15">Input_ProjectNumber</f>
        <v>0</v>
      </c>
      <c r="C497" s="14">
        <f>'Input Lighting Control Measures'!B199</f>
        <v>195</v>
      </c>
      <c r="D497" s="14" t="str">
        <f>'Input Lighting Control Measures'!C199</f>
        <v/>
      </c>
      <c r="E497" s="14" t="s">
        <v>6295</v>
      </c>
      <c r="F497" s="16">
        <f>1</f>
        <v>1</v>
      </c>
      <c r="G497" s="16" t="str">
        <f>'Input Lighting Control Measures'!M199</f>
        <v/>
      </c>
      <c r="H497" s="104" t="str">
        <f>'Input Lighting Control Measures'!N199</f>
        <v/>
      </c>
      <c r="I497" s="45" t="str">
        <f>IFERROR(Q497*MIN(Table_Measure_Caps[[#Totals],[Estimated Raw Incentive Total]], Table_Measure_Caps[[#Totals],[Gross Measure Cost Total]], Value_Project_CAP)/Table_Measure_Caps[[#Totals],[Estimated Raw Incentive Total]], "")</f>
        <v/>
      </c>
      <c r="J497" s="45">
        <f>'Input Lighting Control Measures'!I199</f>
        <v>0</v>
      </c>
      <c r="K497" s="14">
        <f>'Input Lighting Control Measures'!J199</f>
        <v>0</v>
      </c>
      <c r="L497" s="15" t="e">
        <f>'Input Lighting Control Measures'!W199</f>
        <v>#N/A</v>
      </c>
      <c r="M497" s="17">
        <f>'Input Lighting Control Measures'!H199</f>
        <v>0</v>
      </c>
      <c r="N497" s="15">
        <f>'Input Lighting Control Measures'!H199</f>
        <v>0</v>
      </c>
      <c r="O497" s="31" t="str">
        <f t="shared" si="14"/>
        <v>Version 4.1 - 2026</v>
      </c>
      <c r="P497" s="89">
        <f>'Input Lighting Control Measures'!E199</f>
        <v>0</v>
      </c>
      <c r="Q497" s="42" t="str">
        <f>'Input Lighting Control Measures'!L199</f>
        <v/>
      </c>
    </row>
    <row r="498" spans="1:17" x14ac:dyDescent="0.2">
      <c r="A498" s="15" t="s">
        <v>6294</v>
      </c>
      <c r="B498" s="14">
        <f t="shared" si="15"/>
        <v>0</v>
      </c>
      <c r="C498" s="14">
        <f>'Input Lighting Control Measures'!B200</f>
        <v>196</v>
      </c>
      <c r="D498" s="14" t="str">
        <f>'Input Lighting Control Measures'!C200</f>
        <v/>
      </c>
      <c r="E498" s="14" t="s">
        <v>6295</v>
      </c>
      <c r="F498" s="16">
        <f>1</f>
        <v>1</v>
      </c>
      <c r="G498" s="16" t="str">
        <f>'Input Lighting Control Measures'!M200</f>
        <v/>
      </c>
      <c r="H498" s="104" t="str">
        <f>'Input Lighting Control Measures'!N200</f>
        <v/>
      </c>
      <c r="I498" s="45" t="str">
        <f>IFERROR(Q498*MIN(Table_Measure_Caps[[#Totals],[Estimated Raw Incentive Total]], Table_Measure_Caps[[#Totals],[Gross Measure Cost Total]], Value_Project_CAP)/Table_Measure_Caps[[#Totals],[Estimated Raw Incentive Total]], "")</f>
        <v/>
      </c>
      <c r="J498" s="45">
        <f>'Input Lighting Control Measures'!I200</f>
        <v>0</v>
      </c>
      <c r="K498" s="14">
        <f>'Input Lighting Control Measures'!J200</f>
        <v>0</v>
      </c>
      <c r="L498" s="15" t="e">
        <f>'Input Lighting Control Measures'!W200</f>
        <v>#N/A</v>
      </c>
      <c r="M498" s="17">
        <f>'Input Lighting Control Measures'!H200</f>
        <v>0</v>
      </c>
      <c r="N498" s="15">
        <f>'Input Lighting Control Measures'!H200</f>
        <v>0</v>
      </c>
      <c r="O498" s="31" t="str">
        <f t="shared" si="14"/>
        <v>Version 4.1 - 2026</v>
      </c>
      <c r="P498" s="89">
        <f>'Input Lighting Control Measures'!E200</f>
        <v>0</v>
      </c>
      <c r="Q498" s="42" t="str">
        <f>'Input Lighting Control Measures'!L200</f>
        <v/>
      </c>
    </row>
    <row r="499" spans="1:17" x14ac:dyDescent="0.2">
      <c r="A499" s="15" t="s">
        <v>6294</v>
      </c>
      <c r="B499" s="14">
        <f t="shared" si="15"/>
        <v>0</v>
      </c>
      <c r="C499" s="14">
        <f>'Input Lighting Control Measures'!B201</f>
        <v>197</v>
      </c>
      <c r="D499" s="14" t="str">
        <f>'Input Lighting Control Measures'!C201</f>
        <v/>
      </c>
      <c r="E499" s="14" t="s">
        <v>6295</v>
      </c>
      <c r="F499" s="16">
        <f>1</f>
        <v>1</v>
      </c>
      <c r="G499" s="16" t="str">
        <f>'Input Lighting Control Measures'!M201</f>
        <v/>
      </c>
      <c r="H499" s="104" t="str">
        <f>'Input Lighting Control Measures'!N201</f>
        <v/>
      </c>
      <c r="I499" s="45" t="str">
        <f>IFERROR(Q499*MIN(Table_Measure_Caps[[#Totals],[Estimated Raw Incentive Total]], Table_Measure_Caps[[#Totals],[Gross Measure Cost Total]], Value_Project_CAP)/Table_Measure_Caps[[#Totals],[Estimated Raw Incentive Total]], "")</f>
        <v/>
      </c>
      <c r="J499" s="45">
        <f>'Input Lighting Control Measures'!I201</f>
        <v>0</v>
      </c>
      <c r="K499" s="14">
        <f>'Input Lighting Control Measures'!J201</f>
        <v>0</v>
      </c>
      <c r="L499" s="15" t="e">
        <f>'Input Lighting Control Measures'!W201</f>
        <v>#N/A</v>
      </c>
      <c r="M499" s="17">
        <f>'Input Lighting Control Measures'!H201</f>
        <v>0</v>
      </c>
      <c r="N499" s="15">
        <f>'Input Lighting Control Measures'!H201</f>
        <v>0</v>
      </c>
      <c r="O499" s="31" t="str">
        <f t="shared" si="14"/>
        <v>Version 4.1 - 2026</v>
      </c>
      <c r="P499" s="89">
        <f>'Input Lighting Control Measures'!E201</f>
        <v>0</v>
      </c>
      <c r="Q499" s="42" t="str">
        <f>'Input Lighting Control Measures'!L201</f>
        <v/>
      </c>
    </row>
    <row r="500" spans="1:17" x14ac:dyDescent="0.2">
      <c r="A500" s="15" t="s">
        <v>6294</v>
      </c>
      <c r="B500" s="14">
        <f t="shared" si="15"/>
        <v>0</v>
      </c>
      <c r="C500" s="14">
        <f>'Input Lighting Control Measures'!B202</f>
        <v>198</v>
      </c>
      <c r="D500" s="14" t="str">
        <f>'Input Lighting Control Measures'!C202</f>
        <v/>
      </c>
      <c r="E500" s="14" t="s">
        <v>6295</v>
      </c>
      <c r="F500" s="16">
        <f>1</f>
        <v>1</v>
      </c>
      <c r="G500" s="16" t="str">
        <f>'Input Lighting Control Measures'!M202</f>
        <v/>
      </c>
      <c r="H500" s="104" t="str">
        <f>'Input Lighting Control Measures'!N202</f>
        <v/>
      </c>
      <c r="I500" s="45" t="str">
        <f>IFERROR(Q500*MIN(Table_Measure_Caps[[#Totals],[Estimated Raw Incentive Total]], Table_Measure_Caps[[#Totals],[Gross Measure Cost Total]], Value_Project_CAP)/Table_Measure_Caps[[#Totals],[Estimated Raw Incentive Total]], "")</f>
        <v/>
      </c>
      <c r="J500" s="45">
        <f>'Input Lighting Control Measures'!I202</f>
        <v>0</v>
      </c>
      <c r="K500" s="14">
        <f>'Input Lighting Control Measures'!J202</f>
        <v>0</v>
      </c>
      <c r="L500" s="15" t="e">
        <f>'Input Lighting Control Measures'!W202</f>
        <v>#N/A</v>
      </c>
      <c r="M500" s="17">
        <f>'Input Lighting Control Measures'!H202</f>
        <v>0</v>
      </c>
      <c r="N500" s="15">
        <f>'Input Lighting Control Measures'!H202</f>
        <v>0</v>
      </c>
      <c r="O500" s="31" t="str">
        <f t="shared" si="14"/>
        <v>Version 4.1 - 2026</v>
      </c>
      <c r="P500" s="89">
        <f>'Input Lighting Control Measures'!E202</f>
        <v>0</v>
      </c>
      <c r="Q500" s="42" t="str">
        <f>'Input Lighting Control Measures'!L202</f>
        <v/>
      </c>
    </row>
    <row r="501" spans="1:17" x14ac:dyDescent="0.2">
      <c r="A501" s="15" t="s">
        <v>6294</v>
      </c>
      <c r="B501" s="14">
        <f t="shared" si="15"/>
        <v>0</v>
      </c>
      <c r="C501" s="14">
        <f>'Input Lighting Control Measures'!B203</f>
        <v>199</v>
      </c>
      <c r="D501" s="14" t="str">
        <f>'Input Lighting Control Measures'!C203</f>
        <v/>
      </c>
      <c r="E501" s="14" t="s">
        <v>6295</v>
      </c>
      <c r="F501" s="16">
        <f>1</f>
        <v>1</v>
      </c>
      <c r="G501" s="16" t="str">
        <f>'Input Lighting Control Measures'!M203</f>
        <v/>
      </c>
      <c r="H501" s="104" t="str">
        <f>'Input Lighting Control Measures'!N203</f>
        <v/>
      </c>
      <c r="I501" s="45" t="str">
        <f>IFERROR(Q501*MIN(Table_Measure_Caps[[#Totals],[Estimated Raw Incentive Total]], Table_Measure_Caps[[#Totals],[Gross Measure Cost Total]], Value_Project_CAP)/Table_Measure_Caps[[#Totals],[Estimated Raw Incentive Total]], "")</f>
        <v/>
      </c>
      <c r="J501" s="45">
        <f>'Input Lighting Control Measures'!I203</f>
        <v>0</v>
      </c>
      <c r="K501" s="14">
        <f>'Input Lighting Control Measures'!J203</f>
        <v>0</v>
      </c>
      <c r="L501" s="15" t="e">
        <f>'Input Lighting Control Measures'!W203</f>
        <v>#N/A</v>
      </c>
      <c r="M501" s="17">
        <f>'Input Lighting Control Measures'!H203</f>
        <v>0</v>
      </c>
      <c r="N501" s="15">
        <f>'Input Lighting Control Measures'!H203</f>
        <v>0</v>
      </c>
      <c r="O501" s="31" t="str">
        <f t="shared" si="14"/>
        <v>Version 4.1 - 2026</v>
      </c>
      <c r="P501" s="89">
        <f>'Input Lighting Control Measures'!E203</f>
        <v>0</v>
      </c>
      <c r="Q501" s="42" t="str">
        <f>'Input Lighting Control Measures'!L203</f>
        <v/>
      </c>
    </row>
    <row r="502" spans="1:17" x14ac:dyDescent="0.2">
      <c r="A502" s="15" t="s">
        <v>6294</v>
      </c>
      <c r="B502" s="14">
        <f t="shared" si="15"/>
        <v>0</v>
      </c>
      <c r="C502" s="14">
        <f>'Input Lighting Control Measures'!B204</f>
        <v>200</v>
      </c>
      <c r="D502" s="14" t="str">
        <f>'Input Lighting Control Measures'!C204</f>
        <v/>
      </c>
      <c r="E502" s="14" t="s">
        <v>6295</v>
      </c>
      <c r="F502" s="16">
        <f>1</f>
        <v>1</v>
      </c>
      <c r="G502" s="16" t="str">
        <f>'Input Lighting Control Measures'!M204</f>
        <v/>
      </c>
      <c r="H502" s="104" t="str">
        <f>'Input Lighting Control Measures'!N204</f>
        <v/>
      </c>
      <c r="I502" s="45" t="str">
        <f>IFERROR(Q502*MIN(Table_Measure_Caps[[#Totals],[Estimated Raw Incentive Total]], Table_Measure_Caps[[#Totals],[Gross Measure Cost Total]], Value_Project_CAP)/Table_Measure_Caps[[#Totals],[Estimated Raw Incentive Total]], "")</f>
        <v/>
      </c>
      <c r="J502" s="45">
        <f>'Input Lighting Control Measures'!I204</f>
        <v>0</v>
      </c>
      <c r="K502" s="14">
        <f>'Input Lighting Control Measures'!J204</f>
        <v>0</v>
      </c>
      <c r="L502" s="15" t="e">
        <f>'Input Lighting Control Measures'!W204</f>
        <v>#N/A</v>
      </c>
      <c r="M502" s="17">
        <f>'Input Lighting Control Measures'!H204</f>
        <v>0</v>
      </c>
      <c r="N502" s="15">
        <f>'Input Lighting Control Measures'!H204</f>
        <v>0</v>
      </c>
      <c r="O502" s="31" t="str">
        <f t="shared" si="14"/>
        <v>Version 4.1 - 2026</v>
      </c>
      <c r="P502" s="89">
        <f>'Input Lighting Control Measures'!E204</f>
        <v>0</v>
      </c>
      <c r="Q502" s="42" t="str">
        <f>'Input Lighting Control Measures'!L204</f>
        <v/>
      </c>
    </row>
  </sheetData>
  <pageMargins left="0.7" right="0.7" top="0.75" bottom="0.75" header="0.3" footer="0.3"/>
  <pageSetup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FBD84-61AF-4C49-9886-07DA8076A7C0}">
  <sheetPr>
    <tabColor rgb="FFFF0000"/>
  </sheetPr>
  <dimension ref="A1:E26"/>
  <sheetViews>
    <sheetView workbookViewId="0"/>
  </sheetViews>
  <sheetFormatPr defaultColWidth="9.140625" defaultRowHeight="15" x14ac:dyDescent="0.25"/>
  <cols>
    <col min="1" max="1" width="6" style="139" bestFit="1" customWidth="1"/>
    <col min="2" max="2" width="22.42578125" style="139" bestFit="1" customWidth="1"/>
    <col min="3" max="3" width="72.85546875" style="139" bestFit="1" customWidth="1"/>
    <col min="4" max="4" width="10.7109375" style="139" bestFit="1" customWidth="1"/>
    <col min="5" max="5" width="13.28515625" style="139" bestFit="1" customWidth="1"/>
    <col min="6" max="16384" width="9.140625" style="139"/>
  </cols>
  <sheetData>
    <row r="1" spans="1:5" x14ac:dyDescent="0.25">
      <c r="A1" s="138" t="s">
        <v>3101</v>
      </c>
      <c r="B1" s="138" t="s">
        <v>6296</v>
      </c>
      <c r="C1" s="138" t="s">
        <v>6297</v>
      </c>
      <c r="D1" s="138" t="s">
        <v>85</v>
      </c>
      <c r="E1" s="138" t="s">
        <v>6298</v>
      </c>
    </row>
    <row r="2" spans="1:5" ht="45" x14ac:dyDescent="0.25">
      <c r="A2" s="140">
        <v>1</v>
      </c>
      <c r="B2" s="141" t="s">
        <v>6299</v>
      </c>
      <c r="C2" s="142" t="s">
        <v>6300</v>
      </c>
      <c r="D2" s="143">
        <v>45300</v>
      </c>
      <c r="E2" s="140" t="s">
        <v>6301</v>
      </c>
    </row>
    <row r="3" spans="1:5" x14ac:dyDescent="0.25">
      <c r="A3" s="140">
        <v>2</v>
      </c>
      <c r="B3" s="225" t="s">
        <v>6302</v>
      </c>
      <c r="C3" s="226" t="s">
        <v>6303</v>
      </c>
      <c r="D3" s="143">
        <v>45316</v>
      </c>
      <c r="E3" s="227" t="s">
        <v>6301</v>
      </c>
    </row>
    <row r="4" spans="1:5" x14ac:dyDescent="0.25">
      <c r="A4" s="140">
        <v>3</v>
      </c>
      <c r="B4" s="225" t="s">
        <v>6304</v>
      </c>
      <c r="C4" s="226" t="s">
        <v>6305</v>
      </c>
      <c r="D4" s="143">
        <v>45329</v>
      </c>
      <c r="E4" s="227" t="s">
        <v>6301</v>
      </c>
    </row>
    <row r="5" spans="1:5" x14ac:dyDescent="0.25">
      <c r="A5" s="140">
        <v>4</v>
      </c>
      <c r="B5" s="225" t="s">
        <v>6306</v>
      </c>
      <c r="C5" s="226" t="s">
        <v>6307</v>
      </c>
      <c r="D5" s="143">
        <v>45679</v>
      </c>
      <c r="E5" s="227" t="s">
        <v>6301</v>
      </c>
    </row>
    <row r="6" spans="1:5" x14ac:dyDescent="0.25">
      <c r="A6" s="140">
        <v>5</v>
      </c>
      <c r="B6" s="141"/>
      <c r="C6" s="142"/>
      <c r="D6" s="143"/>
      <c r="E6" s="140"/>
    </row>
    <row r="7" spans="1:5" x14ac:dyDescent="0.25">
      <c r="A7" s="140">
        <v>6</v>
      </c>
      <c r="B7" s="141"/>
      <c r="C7" s="142"/>
      <c r="D7" s="143"/>
      <c r="E7" s="140"/>
    </row>
    <row r="8" spans="1:5" x14ac:dyDescent="0.25">
      <c r="A8" s="140">
        <v>7</v>
      </c>
      <c r="B8" s="141"/>
      <c r="C8" s="142"/>
      <c r="D8" s="143"/>
      <c r="E8" s="140"/>
    </row>
    <row r="9" spans="1:5" x14ac:dyDescent="0.25">
      <c r="A9" s="140">
        <v>8</v>
      </c>
      <c r="B9" s="141"/>
      <c r="C9" s="142"/>
      <c r="D9" s="140"/>
      <c r="E9" s="140"/>
    </row>
    <row r="10" spans="1:5" x14ac:dyDescent="0.25">
      <c r="A10" s="140">
        <v>9</v>
      </c>
      <c r="B10" s="141"/>
      <c r="C10" s="142"/>
      <c r="D10" s="140"/>
      <c r="E10" s="140"/>
    </row>
    <row r="11" spans="1:5" x14ac:dyDescent="0.25">
      <c r="A11" s="140">
        <v>10</v>
      </c>
      <c r="B11" s="141"/>
      <c r="C11" s="142"/>
      <c r="D11" s="140"/>
      <c r="E11" s="140"/>
    </row>
    <row r="12" spans="1:5" x14ac:dyDescent="0.25">
      <c r="A12" s="140">
        <v>11</v>
      </c>
      <c r="B12" s="141"/>
      <c r="C12" s="142"/>
      <c r="D12" s="140"/>
      <c r="E12" s="140"/>
    </row>
    <row r="13" spans="1:5" x14ac:dyDescent="0.25">
      <c r="A13" s="140">
        <v>12</v>
      </c>
      <c r="B13" s="141"/>
      <c r="C13" s="142"/>
      <c r="D13" s="140"/>
      <c r="E13" s="140"/>
    </row>
    <row r="14" spans="1:5" x14ac:dyDescent="0.25">
      <c r="A14" s="140">
        <v>13</v>
      </c>
      <c r="B14" s="141"/>
      <c r="C14" s="142"/>
      <c r="D14" s="140"/>
      <c r="E14" s="140"/>
    </row>
    <row r="15" spans="1:5" x14ac:dyDescent="0.25">
      <c r="A15" s="140">
        <v>14</v>
      </c>
      <c r="B15" s="141"/>
      <c r="C15" s="142"/>
      <c r="D15" s="140"/>
      <c r="E15" s="140"/>
    </row>
    <row r="16" spans="1:5" x14ac:dyDescent="0.25">
      <c r="A16" s="140">
        <v>15</v>
      </c>
      <c r="B16" s="141"/>
      <c r="C16" s="142"/>
      <c r="D16" s="140"/>
      <c r="E16" s="140"/>
    </row>
    <row r="17" spans="1:5" x14ac:dyDescent="0.25">
      <c r="A17" s="140">
        <v>16</v>
      </c>
      <c r="B17" s="141"/>
      <c r="C17" s="142"/>
      <c r="D17" s="140"/>
      <c r="E17" s="140"/>
    </row>
    <row r="18" spans="1:5" x14ac:dyDescent="0.25">
      <c r="A18" s="140">
        <v>17</v>
      </c>
      <c r="B18" s="141"/>
      <c r="C18" s="142"/>
      <c r="D18" s="140"/>
      <c r="E18" s="140"/>
    </row>
    <row r="19" spans="1:5" x14ac:dyDescent="0.25">
      <c r="A19" s="140">
        <v>18</v>
      </c>
      <c r="B19" s="141"/>
      <c r="C19" s="142"/>
      <c r="D19" s="140"/>
      <c r="E19" s="140"/>
    </row>
    <row r="20" spans="1:5" x14ac:dyDescent="0.25">
      <c r="A20" s="140">
        <v>19</v>
      </c>
      <c r="B20" s="141"/>
      <c r="C20" s="142"/>
      <c r="D20" s="140"/>
      <c r="E20" s="140"/>
    </row>
    <row r="21" spans="1:5" x14ac:dyDescent="0.25">
      <c r="A21" s="140">
        <v>20</v>
      </c>
      <c r="B21" s="141"/>
      <c r="C21" s="142"/>
      <c r="D21" s="140"/>
      <c r="E21" s="140"/>
    </row>
    <row r="22" spans="1:5" x14ac:dyDescent="0.25">
      <c r="A22" s="140">
        <v>21</v>
      </c>
      <c r="B22" s="141"/>
      <c r="C22" s="142"/>
      <c r="D22" s="140"/>
      <c r="E22" s="140"/>
    </row>
    <row r="23" spans="1:5" x14ac:dyDescent="0.25">
      <c r="A23" s="140">
        <v>22</v>
      </c>
      <c r="B23" s="141"/>
      <c r="C23" s="142"/>
      <c r="D23" s="140"/>
      <c r="E23" s="140"/>
    </row>
    <row r="24" spans="1:5" x14ac:dyDescent="0.25">
      <c r="A24" s="140">
        <v>23</v>
      </c>
      <c r="B24" s="141"/>
      <c r="C24" s="142"/>
      <c r="D24" s="140"/>
      <c r="E24" s="140"/>
    </row>
    <row r="25" spans="1:5" x14ac:dyDescent="0.25">
      <c r="A25" s="140">
        <v>24</v>
      </c>
      <c r="B25" s="141"/>
      <c r="C25" s="142"/>
      <c r="D25" s="140"/>
      <c r="E25" s="140"/>
    </row>
    <row r="26" spans="1:5" x14ac:dyDescent="0.25">
      <c r="A26" s="140">
        <v>25</v>
      </c>
      <c r="B26" s="141"/>
      <c r="C26" s="142"/>
      <c r="D26" s="140"/>
      <c r="E26" s="14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A9AE3-CEC9-4067-9447-DEB8AA30A8EF}">
  <sheetPr codeName="Sheet1">
    <tabColor theme="6"/>
    <pageSetUpPr fitToPage="1"/>
  </sheetPr>
  <dimension ref="B1:H54"/>
  <sheetViews>
    <sheetView showGridLines="0" showRowColHeaders="0" topLeftCell="A20" workbookViewId="0">
      <selection activeCell="C4" sqref="C4"/>
    </sheetView>
  </sheetViews>
  <sheetFormatPr defaultColWidth="9.140625" defaultRowHeight="12.75" x14ac:dyDescent="0.2"/>
  <cols>
    <col min="1" max="1" width="2.28515625" style="149" customWidth="1"/>
    <col min="2" max="2" width="31.85546875" style="217" customWidth="1"/>
    <col min="3" max="3" width="39.140625" style="218" customWidth="1"/>
    <col min="4" max="4" width="1.7109375" style="149" customWidth="1"/>
    <col min="5" max="5" width="31.85546875" style="217" customWidth="1"/>
    <col min="6" max="6" width="39.140625" style="149" customWidth="1"/>
    <col min="7" max="7" width="9.140625" style="149"/>
    <col min="8" max="8" width="45.85546875" style="149" customWidth="1"/>
    <col min="9" max="16384" width="9.140625" style="149"/>
  </cols>
  <sheetData>
    <row r="1" spans="2:8" ht="41.25" customHeight="1" x14ac:dyDescent="0.2"/>
    <row r="2" spans="2:8" ht="24.75" customHeight="1" x14ac:dyDescent="0.2">
      <c r="B2" s="260" t="s">
        <v>28</v>
      </c>
      <c r="C2" s="261"/>
      <c r="D2" s="261"/>
      <c r="E2" s="261"/>
      <c r="F2" s="219"/>
    </row>
    <row r="3" spans="2:8" ht="21" customHeight="1" x14ac:dyDescent="0.2">
      <c r="B3" s="242" t="s">
        <v>29</v>
      </c>
      <c r="C3" s="242"/>
      <c r="E3" s="242" t="s">
        <v>30</v>
      </c>
      <c r="F3" s="242"/>
      <c r="H3" s="217"/>
    </row>
    <row r="4" spans="2:8" ht="12.75" customHeight="1" x14ac:dyDescent="0.2">
      <c r="B4" s="224" t="s">
        <v>31</v>
      </c>
      <c r="C4" s="152"/>
      <c r="E4" s="264" t="s">
        <v>32</v>
      </c>
      <c r="F4" s="265"/>
      <c r="H4" s="217"/>
    </row>
    <row r="5" spans="2:8" x14ac:dyDescent="0.2">
      <c r="B5" s="224" t="s">
        <v>33</v>
      </c>
      <c r="C5" s="152"/>
      <c r="E5" s="264"/>
      <c r="F5" s="265"/>
    </row>
    <row r="6" spans="2:8" ht="25.5" x14ac:dyDescent="0.2">
      <c r="B6" s="224" t="s">
        <v>34</v>
      </c>
      <c r="C6" s="152"/>
      <c r="E6" s="264"/>
      <c r="F6" s="265"/>
    </row>
    <row r="7" spans="2:8" x14ac:dyDescent="0.2">
      <c r="B7" s="224" t="s">
        <v>35</v>
      </c>
      <c r="C7" s="152"/>
      <c r="E7" s="264"/>
      <c r="F7" s="265"/>
    </row>
    <row r="8" spans="2:8" x14ac:dyDescent="0.2">
      <c r="B8" s="224" t="s">
        <v>36</v>
      </c>
      <c r="C8" s="152"/>
      <c r="E8" s="224" t="s">
        <v>37</v>
      </c>
      <c r="F8" s="151"/>
    </row>
    <row r="9" spans="2:8" ht="25.5" x14ac:dyDescent="0.2">
      <c r="B9" s="224" t="s">
        <v>38</v>
      </c>
      <c r="C9" s="152"/>
      <c r="E9" s="224" t="s">
        <v>39</v>
      </c>
      <c r="F9" s="151"/>
    </row>
    <row r="10" spans="2:8" x14ac:dyDescent="0.2">
      <c r="B10" s="224" t="s">
        <v>40</v>
      </c>
      <c r="C10" s="152"/>
      <c r="E10" s="224" t="s">
        <v>41</v>
      </c>
      <c r="F10" s="152"/>
    </row>
    <row r="11" spans="2:8" x14ac:dyDescent="0.2">
      <c r="B11" s="224" t="s">
        <v>42</v>
      </c>
      <c r="C11" s="152"/>
      <c r="E11" s="224" t="s">
        <v>43</v>
      </c>
      <c r="F11" s="152"/>
    </row>
    <row r="12" spans="2:8" ht="25.5" x14ac:dyDescent="0.2">
      <c r="B12" s="224" t="s">
        <v>44</v>
      </c>
      <c r="C12" s="152"/>
      <c r="E12" s="224" t="s">
        <v>45</v>
      </c>
      <c r="F12" s="152"/>
    </row>
    <row r="13" spans="2:8" ht="25.5" x14ac:dyDescent="0.2">
      <c r="B13" s="224" t="s">
        <v>46</v>
      </c>
      <c r="C13" s="152"/>
      <c r="E13" s="242" t="s">
        <v>47</v>
      </c>
      <c r="F13" s="242"/>
    </row>
    <row r="14" spans="2:8" ht="34.5" customHeight="1" x14ac:dyDescent="0.2">
      <c r="B14" s="224" t="s">
        <v>48</v>
      </c>
      <c r="C14" s="152"/>
      <c r="D14" s="1"/>
      <c r="E14" s="224" t="s">
        <v>49</v>
      </c>
      <c r="F14" s="152"/>
    </row>
    <row r="15" spans="2:8" ht="15.75" x14ac:dyDescent="0.2">
      <c r="B15" s="242" t="s">
        <v>50</v>
      </c>
      <c r="C15" s="242"/>
      <c r="D15" s="1"/>
      <c r="E15" s="224" t="s">
        <v>51</v>
      </c>
      <c r="F15" s="152"/>
    </row>
    <row r="16" spans="2:8" x14ac:dyDescent="0.2">
      <c r="B16" s="224" t="s">
        <v>52</v>
      </c>
      <c r="C16" s="152"/>
      <c r="D16" s="1"/>
      <c r="E16" s="224" t="s">
        <v>53</v>
      </c>
      <c r="F16" s="152"/>
    </row>
    <row r="17" spans="2:6" x14ac:dyDescent="0.2">
      <c r="B17" s="224" t="s">
        <v>54</v>
      </c>
      <c r="C17" s="152"/>
      <c r="D17" s="1"/>
      <c r="E17" s="224" t="s">
        <v>35</v>
      </c>
      <c r="F17" s="152"/>
    </row>
    <row r="18" spans="2:6" x14ac:dyDescent="0.2">
      <c r="B18" s="224" t="s">
        <v>55</v>
      </c>
      <c r="C18" s="152"/>
      <c r="D18" s="1"/>
      <c r="E18" s="224" t="s">
        <v>36</v>
      </c>
      <c r="F18" s="152"/>
    </row>
    <row r="19" spans="2:6" x14ac:dyDescent="0.2">
      <c r="B19" s="224" t="s">
        <v>35</v>
      </c>
      <c r="C19" s="152"/>
      <c r="D19" s="1"/>
      <c r="E19" s="224" t="s">
        <v>56</v>
      </c>
      <c r="F19" s="152"/>
    </row>
    <row r="20" spans="2:6" x14ac:dyDescent="0.2">
      <c r="B20" s="224" t="s">
        <v>36</v>
      </c>
      <c r="C20" s="152"/>
      <c r="D20" s="1"/>
      <c r="E20" s="224" t="s">
        <v>40</v>
      </c>
      <c r="F20" s="152"/>
    </row>
    <row r="21" spans="2:6" x14ac:dyDescent="0.2">
      <c r="B21" s="224" t="s">
        <v>38</v>
      </c>
      <c r="C21" s="152"/>
      <c r="D21" s="1"/>
      <c r="E21" s="224" t="s">
        <v>57</v>
      </c>
      <c r="F21" s="152"/>
    </row>
    <row r="22" spans="2:6" x14ac:dyDescent="0.2">
      <c r="B22" s="224" t="s">
        <v>40</v>
      </c>
      <c r="C22" s="152"/>
      <c r="D22" s="1"/>
      <c r="E22" s="224" t="s">
        <v>58</v>
      </c>
      <c r="F22" s="152"/>
    </row>
    <row r="23" spans="2:6" x14ac:dyDescent="0.2">
      <c r="B23" s="224" t="s">
        <v>57</v>
      </c>
      <c r="C23" s="152"/>
      <c r="D23" s="1"/>
      <c r="E23" s="224" t="s">
        <v>59</v>
      </c>
      <c r="F23" s="152"/>
    </row>
    <row r="24" spans="2:6" x14ac:dyDescent="0.2">
      <c r="B24" s="224" t="s">
        <v>60</v>
      </c>
      <c r="C24" s="152"/>
      <c r="D24" s="1"/>
      <c r="E24" s="224" t="s">
        <v>61</v>
      </c>
      <c r="F24" s="152"/>
    </row>
    <row r="25" spans="2:6" ht="15.75" x14ac:dyDescent="0.2">
      <c r="B25" s="242" t="s">
        <v>62</v>
      </c>
      <c r="C25" s="242"/>
      <c r="D25" s="37"/>
      <c r="E25" s="224" t="s">
        <v>63</v>
      </c>
      <c r="F25" s="153"/>
    </row>
    <row r="26" spans="2:6" ht="25.5" x14ac:dyDescent="0.2">
      <c r="B26" s="224" t="s">
        <v>31</v>
      </c>
      <c r="C26" s="152"/>
      <c r="D26" s="37"/>
      <c r="E26" s="224" t="s">
        <v>64</v>
      </c>
      <c r="F26" s="152"/>
    </row>
    <row r="27" spans="2:6" x14ac:dyDescent="0.2">
      <c r="B27" s="224" t="s">
        <v>65</v>
      </c>
      <c r="C27" s="152"/>
      <c r="D27" s="1"/>
      <c r="E27" s="224" t="s">
        <v>66</v>
      </c>
      <c r="F27" s="154"/>
    </row>
    <row r="28" spans="2:6" x14ac:dyDescent="0.2">
      <c r="B28" s="224" t="s">
        <v>55</v>
      </c>
      <c r="C28" s="152"/>
      <c r="D28" s="1"/>
      <c r="E28" s="224" t="s">
        <v>67</v>
      </c>
      <c r="F28" s="152"/>
    </row>
    <row r="29" spans="2:6" x14ac:dyDescent="0.2">
      <c r="B29" s="224" t="s">
        <v>35</v>
      </c>
      <c r="C29" s="152"/>
      <c r="D29" s="37"/>
      <c r="E29" s="224" t="s">
        <v>68</v>
      </c>
      <c r="F29" s="152"/>
    </row>
    <row r="30" spans="2:6" x14ac:dyDescent="0.2">
      <c r="B30" s="224" t="s">
        <v>36</v>
      </c>
      <c r="C30" s="152"/>
      <c r="D30" s="37"/>
      <c r="E30" s="224" t="s">
        <v>69</v>
      </c>
      <c r="F30" s="152"/>
    </row>
    <row r="31" spans="2:6" ht="15.75" x14ac:dyDescent="0.2">
      <c r="B31" s="224" t="s">
        <v>38</v>
      </c>
      <c r="C31" s="152"/>
      <c r="D31" s="37"/>
      <c r="E31" s="262" t="s">
        <v>70</v>
      </c>
      <c r="F31" s="263"/>
    </row>
    <row r="32" spans="2:6" x14ac:dyDescent="0.2">
      <c r="B32" s="224" t="s">
        <v>40</v>
      </c>
      <c r="C32" s="152"/>
      <c r="D32" s="37"/>
      <c r="E32" s="224" t="s">
        <v>71</v>
      </c>
      <c r="F32" s="152"/>
    </row>
    <row r="33" spans="2:6" x14ac:dyDescent="0.2">
      <c r="B33" s="224" t="s">
        <v>57</v>
      </c>
      <c r="C33" s="152"/>
      <c r="D33" s="37"/>
      <c r="E33" s="224" t="s">
        <v>72</v>
      </c>
      <c r="F33" s="152"/>
    </row>
    <row r="34" spans="2:6" x14ac:dyDescent="0.2">
      <c r="B34" s="224" t="s">
        <v>73</v>
      </c>
      <c r="C34" s="152"/>
      <c r="D34" s="1"/>
      <c r="E34" s="224" t="s">
        <v>74</v>
      </c>
      <c r="F34" s="152"/>
    </row>
    <row r="35" spans="2:6" ht="15.75" x14ac:dyDescent="0.2">
      <c r="B35" s="262" t="s">
        <v>75</v>
      </c>
      <c r="C35" s="263"/>
      <c r="D35" s="1"/>
      <c r="E35" s="224" t="s">
        <v>76</v>
      </c>
      <c r="F35" s="152"/>
    </row>
    <row r="36" spans="2:6" ht="25.5" x14ac:dyDescent="0.2">
      <c r="B36" s="224" t="s">
        <v>77</v>
      </c>
      <c r="C36" s="152"/>
      <c r="D36" s="1"/>
      <c r="E36" s="224" t="s">
        <v>78</v>
      </c>
      <c r="F36" s="152"/>
    </row>
    <row r="37" spans="2:6" ht="25.5" x14ac:dyDescent="0.2">
      <c r="B37" s="224" t="s">
        <v>79</v>
      </c>
      <c r="C37" s="152"/>
      <c r="D37" s="1"/>
    </row>
    <row r="38" spans="2:6" x14ac:dyDescent="0.2">
      <c r="D38" s="1"/>
    </row>
    <row r="39" spans="2:6" x14ac:dyDescent="0.2">
      <c r="B39" s="149"/>
      <c r="C39" s="149"/>
      <c r="E39" s="149"/>
    </row>
    <row r="40" spans="2:6" x14ac:dyDescent="0.2">
      <c r="B40" s="149" t="s">
        <v>27</v>
      </c>
      <c r="C40" s="149"/>
      <c r="E40" s="149"/>
    </row>
    <row r="41" spans="2:6" x14ac:dyDescent="0.2">
      <c r="B41" s="149" t="str">
        <f>Value_Application_Version</f>
        <v>Version 4.1 - 2026</v>
      </c>
      <c r="C41" s="149"/>
      <c r="E41" s="149"/>
    </row>
    <row r="42" spans="2:6" x14ac:dyDescent="0.2">
      <c r="B42" s="149"/>
      <c r="C42" s="149"/>
      <c r="E42" s="149"/>
    </row>
    <row r="47" spans="2:6" x14ac:dyDescent="0.2">
      <c r="D47" s="1"/>
    </row>
    <row r="48" spans="2:6" x14ac:dyDescent="0.2">
      <c r="D48" s="1"/>
    </row>
    <row r="49" spans="4:6" x14ac:dyDescent="0.2">
      <c r="D49" s="1"/>
    </row>
    <row r="50" spans="4:6" x14ac:dyDescent="0.2">
      <c r="D50" s="1"/>
    </row>
    <row r="51" spans="4:6" x14ac:dyDescent="0.2">
      <c r="D51" s="1"/>
    </row>
    <row r="54" spans="4:6" x14ac:dyDescent="0.2">
      <c r="E54" s="48"/>
      <c r="F54" s="35"/>
    </row>
  </sheetData>
  <sheetProtection algorithmName="SHA-512" hashValue="fUTaEkuRkX46mnEES0U1YRlz8Lbu/WUzSrm1zVzJ5x0+UjvWcFh7UFgQgVPPmquog7Dq6bIl9/ZAoE98nfu6eg==" saltValue="zJ605wrAnH8KkQJ8J0bHYg==" spinCount="100000" sheet="1" objects="1" scenarios="1"/>
  <mergeCells count="10">
    <mergeCell ref="B2:E2"/>
    <mergeCell ref="B35:C35"/>
    <mergeCell ref="E31:F31"/>
    <mergeCell ref="B3:C3"/>
    <mergeCell ref="B15:C15"/>
    <mergeCell ref="B25:C25"/>
    <mergeCell ref="E13:F13"/>
    <mergeCell ref="E3:F3"/>
    <mergeCell ref="E4:E7"/>
    <mergeCell ref="F4:F7"/>
  </mergeCells>
  <dataValidations count="12">
    <dataValidation type="list" allowBlank="1" showInputMessage="1" showErrorMessage="1" sqref="F28" xr:uid="{00000000-0002-0000-0000-000002000000}">
      <formula1>List_Bldg_Types</formula1>
    </dataValidation>
    <dataValidation type="list" allowBlank="1" showInputMessage="1" showErrorMessage="1" sqref="F10" xr:uid="{00000000-0002-0000-0000-000003000000}">
      <formula1>List_Program_Names</formula1>
    </dataValidation>
    <dataValidation type="list" allowBlank="1" showInputMessage="1" showErrorMessage="1" sqref="F11" xr:uid="{00000000-0002-0000-0000-000004000000}">
      <formula1>List_Project_Stage</formula1>
    </dataValidation>
    <dataValidation type="list" allowBlank="1" showInputMessage="1" showErrorMessage="1" sqref="C12" xr:uid="{0EBF6B33-1A25-49CE-80DE-696F82CF9E69}">
      <formula1>List_Biz_Class</formula1>
    </dataValidation>
    <dataValidation type="list" allowBlank="1" showInputMessage="1" showErrorMessage="1" sqref="C13" xr:uid="{0F89A28A-20F8-4D05-8E72-DB2A6565CB96}">
      <formula1>List_Y_N_U</formula1>
    </dataValidation>
    <dataValidation type="list" allowBlank="1" showInputMessage="1" showErrorMessage="1" sqref="C14" xr:uid="{120E868B-F5BC-44EE-B13D-327ECB6A0725}">
      <formula1>List_DBE_Option</formula1>
    </dataValidation>
    <dataValidation type="list" allowBlank="1" showInputMessage="1" showErrorMessage="1" sqref="C37" xr:uid="{CFD7840C-5FA5-4E75-9F4D-52B558FFD9A7}">
      <formula1>List_Source</formula1>
    </dataValidation>
    <dataValidation type="list" allowBlank="1" showInputMessage="1" showErrorMessage="1" sqref="C36 F32" xr:uid="{DC170A83-A959-4CA6-83A5-494973C08389}">
      <formula1>List_Contacts</formula1>
    </dataValidation>
    <dataValidation type="list" allowBlank="1" showInputMessage="1" showErrorMessage="1" sqref="F30" xr:uid="{4AF9D84C-08C0-47DC-940B-4578E57C7E71}">
      <formula1>List_Water_Heating</formula1>
    </dataValidation>
    <dataValidation type="list" allowBlank="1" showInputMessage="1" showErrorMessage="1" sqref="F29" xr:uid="{720DAE66-CD56-4ABB-8753-00BA9609686C}">
      <formula1>List_HVAC</formula1>
    </dataValidation>
    <dataValidation type="list" allowBlank="1" showInputMessage="1" showErrorMessage="1" sqref="F12" xr:uid="{86B206BE-1E08-4349-A3E6-E8C1334ABFB2}">
      <formula1>List_Install_Type</formula1>
    </dataValidation>
    <dataValidation type="list" allowBlank="1" showInputMessage="1" showErrorMessage="1" sqref="F36" xr:uid="{F81F37EC-9197-4D5A-BA82-93D78777D712}">
      <formula1>List_Tax_Entity</formula1>
    </dataValidation>
  </dataValidations>
  <pageMargins left="0.7" right="0.7" top="0.75" bottom="0.75" header="0.3" footer="0.3"/>
  <pageSetup scale="74"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C35E6E4-0A48-4ED8-A21A-5E971D523AA7}">
          <x14:formula1>
            <xm:f>References!$AY$4:$AY$5</xm:f>
          </x14:formula1>
          <xm:sqref>F26</xm:sqref>
        </x14:dataValidation>
        <x14:dataValidation type="list" allowBlank="1" showInputMessage="1" showErrorMessage="1" xr:uid="{8DBB6B1A-EC45-4445-AADC-6C9B4FC7FE62}">
          <x14:formula1>
            <xm:f>References!$AU$4:$AU$5</xm:f>
          </x14:formula1>
          <xm:sqref>F23 C24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481A1-AFAB-444F-B81D-A25FC6F3E02F}">
  <sheetPr>
    <tabColor theme="6"/>
  </sheetPr>
  <dimension ref="B1:E20"/>
  <sheetViews>
    <sheetView showGridLines="0" showRowColHeaders="0" topLeftCell="A8" workbookViewId="0">
      <selection activeCell="B22" sqref="B22"/>
    </sheetView>
  </sheetViews>
  <sheetFormatPr defaultRowHeight="12.75" x14ac:dyDescent="0.2"/>
  <cols>
    <col min="1" max="1" width="1.85546875" customWidth="1"/>
    <col min="2" max="2" width="54.5703125" customWidth="1"/>
    <col min="3" max="3" width="6.140625" customWidth="1"/>
    <col min="4" max="4" width="20.42578125" customWidth="1"/>
    <col min="5" max="5" width="29.42578125" customWidth="1"/>
  </cols>
  <sheetData>
    <row r="1" spans="2:5" ht="57.75" customHeight="1" x14ac:dyDescent="0.2">
      <c r="B1" s="268"/>
      <c r="C1" s="268"/>
      <c r="D1" s="268"/>
      <c r="E1" s="268"/>
    </row>
    <row r="2" spans="2:5" ht="27.75" customHeight="1" x14ac:dyDescent="0.2">
      <c r="B2" s="266" t="s">
        <v>80</v>
      </c>
      <c r="C2" s="266"/>
      <c r="D2" s="266"/>
      <c r="E2" s="266"/>
    </row>
    <row r="4" spans="2:5" x14ac:dyDescent="0.2">
      <c r="B4" s="159" t="s">
        <v>81</v>
      </c>
    </row>
    <row r="6" spans="2:5" x14ac:dyDescent="0.2">
      <c r="B6" s="267" t="s">
        <v>82</v>
      </c>
      <c r="C6" s="267"/>
      <c r="D6" s="267"/>
      <c r="E6" s="267"/>
    </row>
    <row r="7" spans="2:5" x14ac:dyDescent="0.2">
      <c r="B7" s="267"/>
      <c r="C7" s="267"/>
      <c r="D7" s="267"/>
      <c r="E7" s="267"/>
    </row>
    <row r="8" spans="2:5" x14ac:dyDescent="0.2">
      <c r="B8" s="267"/>
      <c r="C8" s="267"/>
      <c r="D8" s="267"/>
      <c r="E8" s="267"/>
    </row>
    <row r="9" spans="2:5" ht="25.5" customHeight="1" x14ac:dyDescent="0.2">
      <c r="B9" s="267"/>
      <c r="C9" s="267"/>
      <c r="D9" s="267"/>
      <c r="E9" s="267"/>
    </row>
    <row r="10" spans="2:5" x14ac:dyDescent="0.2">
      <c r="B10" s="86"/>
      <c r="C10" s="86"/>
      <c r="D10" s="86"/>
      <c r="E10" s="86"/>
    </row>
    <row r="11" spans="2:5" ht="25.5" x14ac:dyDescent="0.2">
      <c r="B11" s="161" t="s">
        <v>83</v>
      </c>
      <c r="C11" s="86"/>
      <c r="D11" s="86"/>
      <c r="E11" s="86"/>
    </row>
    <row r="12" spans="2:5" x14ac:dyDescent="0.2">
      <c r="B12" s="86"/>
      <c r="C12" s="86"/>
      <c r="D12" s="86"/>
      <c r="E12" s="86"/>
    </row>
    <row r="13" spans="2:5" x14ac:dyDescent="0.2">
      <c r="B13" s="86"/>
      <c r="C13" s="86"/>
      <c r="D13" s="86"/>
      <c r="E13" s="86"/>
    </row>
    <row r="14" spans="2:5" x14ac:dyDescent="0.2">
      <c r="B14" s="159" t="s">
        <v>84</v>
      </c>
      <c r="D14" s="159" t="s">
        <v>85</v>
      </c>
    </row>
    <row r="15" spans="2:5" ht="23.25" customHeight="1" x14ac:dyDescent="0.2">
      <c r="B15" s="160"/>
      <c r="D15" s="150"/>
    </row>
    <row r="16" spans="2:5" ht="12.75" customHeight="1" x14ac:dyDescent="0.2"/>
    <row r="18" spans="2:2" x14ac:dyDescent="0.2">
      <c r="B18" s="149" t="s">
        <v>6311</v>
      </c>
    </row>
    <row r="19" spans="2:2" x14ac:dyDescent="0.2">
      <c r="B19" s="149" t="str">
        <f>Value_Application_Version</f>
        <v>Version 4.1 - 2026</v>
      </c>
    </row>
    <row r="20" spans="2:2" ht="12.75" customHeight="1" x14ac:dyDescent="0.2"/>
  </sheetData>
  <mergeCells count="3">
    <mergeCell ref="B2:E2"/>
    <mergeCell ref="B6:E9"/>
    <mergeCell ref="B1:E1"/>
  </mergeCells>
  <hyperlinks>
    <hyperlink ref="B11" r:id="rId1" xr:uid="{31F080B0-8E2C-43C0-A77C-93D14170E888}"/>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1">
    <tabColor theme="3"/>
  </sheetPr>
  <dimension ref="A1:BQ209"/>
  <sheetViews>
    <sheetView showGridLines="0" showRowColHeaders="0" workbookViewId="0">
      <selection activeCell="D5" sqref="D5"/>
    </sheetView>
  </sheetViews>
  <sheetFormatPr defaultColWidth="9.140625" defaultRowHeight="12.75" customHeight="1" x14ac:dyDescent="0.2"/>
  <cols>
    <col min="1" max="1" width="2.140625" customWidth="1"/>
    <col min="2" max="2" width="5.28515625" customWidth="1"/>
    <col min="3" max="3" width="9.85546875" customWidth="1"/>
    <col min="4" max="4" width="21.42578125" customWidth="1"/>
    <col min="5" max="5" width="12.28515625" customWidth="1"/>
    <col min="6" max="6" width="53.7109375" customWidth="1"/>
    <col min="7" max="7" width="13.28515625" style="62" bestFit="1" customWidth="1"/>
    <col min="8" max="8" width="11.85546875" customWidth="1"/>
    <col min="9" max="9" width="19.85546875" customWidth="1"/>
    <col min="10" max="10" width="24.5703125" customWidth="1"/>
    <col min="11" max="11" width="12" customWidth="1"/>
    <col min="12" max="12" width="11.140625" customWidth="1"/>
    <col min="13" max="13" width="13.5703125" customWidth="1"/>
    <col min="14" max="15" width="16.85546875" customWidth="1"/>
    <col min="16" max="16" width="12.42578125" customWidth="1"/>
    <col min="17" max="17" width="16.5703125" customWidth="1"/>
    <col min="18" max="18" width="12.42578125" customWidth="1"/>
    <col min="19" max="19" width="11.5703125" customWidth="1"/>
    <col min="20" max="20" width="10" customWidth="1"/>
    <col min="21" max="21" width="11" customWidth="1"/>
    <col min="22" max="22" width="12" customWidth="1"/>
    <col min="23" max="23" width="11.85546875" customWidth="1"/>
    <col min="24" max="24" width="10.28515625" customWidth="1"/>
    <col min="25" max="25" width="12.28515625" customWidth="1"/>
    <col min="26" max="26" width="13.42578125" customWidth="1"/>
    <col min="27" max="27" width="9.5703125" customWidth="1"/>
    <col min="28" max="28" width="9.5703125" hidden="1" customWidth="1"/>
    <col min="29" max="29" width="23" style="53" hidden="1" customWidth="1"/>
    <col min="30" max="30" width="14.7109375" style="53" hidden="1" customWidth="1"/>
    <col min="31" max="31" width="16.140625" style="53" hidden="1" customWidth="1"/>
    <col min="32" max="32" width="13.42578125" style="53" hidden="1" customWidth="1"/>
    <col min="33" max="33" width="8" style="53" hidden="1" customWidth="1"/>
    <col min="34" max="36" width="12" style="53" hidden="1" customWidth="1"/>
    <col min="37" max="40" width="12" style="127" hidden="1" customWidth="1"/>
    <col min="41" max="50" width="12" style="53" hidden="1" customWidth="1"/>
    <col min="51" max="51" width="9.140625" hidden="1" customWidth="1"/>
  </cols>
  <sheetData>
    <row r="1" spans="1:69" ht="34.5" customHeight="1" x14ac:dyDescent="0.2"/>
    <row r="2" spans="1:69" ht="51" customHeight="1" x14ac:dyDescent="0.2">
      <c r="B2" s="266" t="s">
        <v>86</v>
      </c>
      <c r="C2" s="266"/>
      <c r="D2" s="266"/>
      <c r="E2" s="266"/>
      <c r="F2" s="266"/>
      <c r="G2" s="266"/>
      <c r="H2" s="266"/>
      <c r="I2" s="266"/>
      <c r="J2" s="266"/>
      <c r="K2" s="266"/>
      <c r="L2" s="266"/>
      <c r="M2" s="266"/>
      <c r="N2" s="266"/>
      <c r="O2" s="266"/>
      <c r="P2" s="266"/>
      <c r="Q2" s="266"/>
      <c r="R2" s="266"/>
      <c r="S2" s="266"/>
      <c r="T2" s="266"/>
      <c r="U2" s="266"/>
      <c r="V2" s="266"/>
      <c r="W2" s="266"/>
      <c r="X2" s="266"/>
      <c r="Y2" s="106"/>
      <c r="Z2" s="106"/>
      <c r="AA2" s="106"/>
      <c r="AB2" s="106"/>
    </row>
    <row r="3" spans="1:69" x14ac:dyDescent="0.2">
      <c r="A3" s="174"/>
      <c r="B3" s="47"/>
      <c r="C3" s="47"/>
      <c r="D3" s="47"/>
      <c r="E3" s="47"/>
      <c r="F3" s="47"/>
      <c r="G3" s="175"/>
      <c r="H3" s="269" t="s">
        <v>87</v>
      </c>
      <c r="I3" s="270"/>
      <c r="J3" s="270"/>
      <c r="K3" s="270"/>
      <c r="L3" s="270"/>
      <c r="M3" s="220" t="s">
        <v>88</v>
      </c>
      <c r="N3" s="176"/>
      <c r="O3" s="176"/>
      <c r="P3" s="176"/>
      <c r="Q3" s="176"/>
      <c r="R3" s="176"/>
      <c r="S3" s="177"/>
      <c r="T3" s="178" t="s">
        <v>89</v>
      </c>
      <c r="U3" s="185">
        <f>SUM(Table_PrescriptLights_Input[Estimated incentive])</f>
        <v>0</v>
      </c>
      <c r="V3" s="186">
        <f>SUM(Table_PrescriptLights_Input[Energy savings (kWh)])</f>
        <v>0</v>
      </c>
      <c r="W3" s="187">
        <f>SUM(Table_PrescriptLights_Input[Demand reduction (kW)])</f>
        <v>0</v>
      </c>
      <c r="X3" s="188">
        <f>SUM(Table_PrescriptLights_Input[Cost savings])</f>
        <v>0</v>
      </c>
      <c r="Y3" s="188">
        <f>SUM(Table_PrescriptLights_Input[Gross measure cost])</f>
        <v>0</v>
      </c>
      <c r="Z3" s="188">
        <f>SUM(Table_PrescriptLights_Input[Net measure cost])</f>
        <v>0</v>
      </c>
      <c r="AA3" s="186" t="str">
        <f>IFERROR(Z3/X3,"")</f>
        <v/>
      </c>
      <c r="AC3" s="74"/>
      <c r="AD3" s="74"/>
      <c r="AE3" s="74"/>
      <c r="AF3" s="74"/>
      <c r="AG3" s="74"/>
      <c r="AH3" s="74"/>
      <c r="AI3" s="74"/>
      <c r="AJ3" s="74"/>
      <c r="AK3" s="128"/>
      <c r="AL3" s="126"/>
      <c r="AM3" s="128"/>
      <c r="AN3" s="128"/>
      <c r="AO3" s="74"/>
      <c r="AP3" s="74"/>
      <c r="AQ3" s="74"/>
      <c r="AR3" s="74"/>
      <c r="AS3" s="74"/>
      <c r="AT3" s="74"/>
      <c r="AU3" s="74"/>
      <c r="AV3" s="74"/>
      <c r="AW3" s="74"/>
      <c r="AX3" s="74"/>
      <c r="AY3" s="4"/>
      <c r="AZ3" s="4"/>
      <c r="BA3" s="4"/>
      <c r="BB3" s="4"/>
      <c r="BC3" s="4"/>
      <c r="BD3" s="4"/>
      <c r="BE3" s="4"/>
      <c r="BF3" s="4"/>
      <c r="BG3" s="4"/>
      <c r="BH3" s="4"/>
      <c r="BI3" s="4"/>
      <c r="BJ3" s="4"/>
      <c r="BK3" s="4"/>
      <c r="BL3" s="4"/>
      <c r="BM3" s="4"/>
      <c r="BN3" s="4"/>
      <c r="BO3" s="4"/>
      <c r="BP3" s="4"/>
    </row>
    <row r="4" spans="1:69" ht="60" customHeight="1" x14ac:dyDescent="0.2">
      <c r="A4" s="135"/>
      <c r="B4" s="167" t="s">
        <v>90</v>
      </c>
      <c r="C4" s="168" t="s">
        <v>91</v>
      </c>
      <c r="D4" s="169" t="s">
        <v>92</v>
      </c>
      <c r="E4" s="168" t="s">
        <v>93</v>
      </c>
      <c r="F4" s="168" t="s">
        <v>94</v>
      </c>
      <c r="G4" s="170" t="s">
        <v>95</v>
      </c>
      <c r="H4" s="171" t="s">
        <v>96</v>
      </c>
      <c r="I4" s="171" t="s">
        <v>97</v>
      </c>
      <c r="J4" s="171" t="s">
        <v>98</v>
      </c>
      <c r="K4" s="172" t="s">
        <v>99</v>
      </c>
      <c r="L4" s="171" t="s">
        <v>100</v>
      </c>
      <c r="M4" s="173" t="s">
        <v>101</v>
      </c>
      <c r="N4" s="173" t="s">
        <v>102</v>
      </c>
      <c r="O4" s="173" t="s">
        <v>103</v>
      </c>
      <c r="P4" s="173" t="s">
        <v>104</v>
      </c>
      <c r="Q4" s="173" t="s">
        <v>105</v>
      </c>
      <c r="R4" s="173" t="s">
        <v>106</v>
      </c>
      <c r="S4" s="173" t="s">
        <v>107</v>
      </c>
      <c r="T4" s="170" t="s">
        <v>108</v>
      </c>
      <c r="U4" s="170" t="s">
        <v>109</v>
      </c>
      <c r="V4" s="170" t="s">
        <v>110</v>
      </c>
      <c r="W4" s="170" t="s">
        <v>111</v>
      </c>
      <c r="X4" s="170" t="s">
        <v>112</v>
      </c>
      <c r="Y4" s="170" t="s">
        <v>113</v>
      </c>
      <c r="Z4" s="170" t="s">
        <v>114</v>
      </c>
      <c r="AA4" s="170" t="s">
        <v>115</v>
      </c>
      <c r="AB4" s="117" t="s">
        <v>116</v>
      </c>
      <c r="AC4" s="116" t="s">
        <v>117</v>
      </c>
      <c r="AD4" s="84" t="s">
        <v>118</v>
      </c>
      <c r="AE4" s="84" t="s">
        <v>119</v>
      </c>
      <c r="AF4" s="84" t="s">
        <v>120</v>
      </c>
      <c r="AG4" s="84" t="s">
        <v>121</v>
      </c>
      <c r="AH4" s="84" t="s">
        <v>122</v>
      </c>
      <c r="AI4" s="84" t="s">
        <v>123</v>
      </c>
      <c r="AJ4" s="84" t="s">
        <v>124</v>
      </c>
      <c r="AK4" s="125" t="s">
        <v>125</v>
      </c>
      <c r="AL4" s="125" t="s">
        <v>126</v>
      </c>
      <c r="AM4" s="125" t="s">
        <v>127</v>
      </c>
      <c r="AN4" s="125" t="s">
        <v>128</v>
      </c>
      <c r="AO4" s="84" t="s">
        <v>129</v>
      </c>
      <c r="AP4" s="84" t="s">
        <v>130</v>
      </c>
      <c r="AQ4" s="84" t="s">
        <v>131</v>
      </c>
      <c r="AR4" s="84" t="s">
        <v>132</v>
      </c>
      <c r="AS4" s="84" t="s">
        <v>133</v>
      </c>
      <c r="AT4" s="84" t="s">
        <v>134</v>
      </c>
      <c r="AU4" s="84" t="s">
        <v>135</v>
      </c>
      <c r="AV4" s="84" t="s">
        <v>136</v>
      </c>
      <c r="AW4" s="84" t="s">
        <v>137</v>
      </c>
      <c r="AX4" s="84" t="s">
        <v>138</v>
      </c>
      <c r="AY4" s="84" t="s">
        <v>139</v>
      </c>
      <c r="AZ4" s="19"/>
      <c r="BA4" s="19"/>
      <c r="BB4" s="19"/>
      <c r="BC4" s="19"/>
      <c r="BD4" s="19"/>
      <c r="BE4" s="19"/>
      <c r="BF4" s="19"/>
      <c r="BG4" s="19"/>
      <c r="BH4" s="19"/>
      <c r="BI4" s="19"/>
      <c r="BJ4" s="19"/>
      <c r="BK4" s="19"/>
      <c r="BL4" s="19"/>
      <c r="BM4" s="19"/>
      <c r="BN4" s="19"/>
      <c r="BO4" s="19"/>
      <c r="BP4" s="19"/>
      <c r="BQ4" s="19"/>
    </row>
    <row r="5" spans="1:69" x14ac:dyDescent="0.2">
      <c r="A5" s="3"/>
      <c r="B5" s="189">
        <v>1</v>
      </c>
      <c r="C5" s="61" t="str">
        <f>IFERROR(INDEX(Table_Prescript_Meas[Measure Number], MATCH(Table_PrescriptLights_Input[[#This Row],[Prescriptive lighting measure]], Table_Prescript_Meas[Measure Description], 0)), "")</f>
        <v/>
      </c>
      <c r="D5" s="192"/>
      <c r="E5" s="179"/>
      <c r="F5" s="191"/>
      <c r="G5" s="61" t="str">
        <f>IFERROR(INDEX(Table_Prescript_Meas[Unit], MATCH(Table_PrescriptLights_Input[[#This Row],[Measure number]], Table_Prescript_Meas[Measure Number], 0)), "")</f>
        <v/>
      </c>
      <c r="H5" s="180"/>
      <c r="I5" s="179"/>
      <c r="J5" s="179"/>
      <c r="K5" s="180"/>
      <c r="L5" s="179"/>
      <c r="M5" s="180"/>
      <c r="N5" s="180"/>
      <c r="O5" s="180"/>
      <c r="P5" s="180"/>
      <c r="Q5" s="180"/>
      <c r="R5" s="181"/>
      <c r="S5" s="181"/>
      <c r="T5"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5"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5" s="69" t="str">
        <f>IF(Table_PrescriptLights_Input[[#This Row],[Prescriptive lighting measure]]="","",Table_PrescriptLights_Input[[#This Row],[Calculated Energy Savings]])</f>
        <v/>
      </c>
      <c r="W5" s="73" t="str">
        <f>IF(Table_PrescriptLights_Input[[#This Row],[Prescriptive lighting measure]]="","",Table_PrescriptLights_Input[[#This Row],[Calculated Demand Savings]])</f>
        <v/>
      </c>
      <c r="X5" s="67" t="str">
        <f>IFERROR(Table_PrescriptLights_Input[[#This Row],[Energy savings (kWh)]]*Input_AvgkWhRate, "")</f>
        <v/>
      </c>
      <c r="Y5" s="67" t="str">
        <f>IF(Table_PrescriptLights_Input[[#This Row],[Prescriptive lighting measure]]="", "",Table_PrescriptLights_Input[[#This Row],[Material cost per fixture]]*Table_PrescriptLights_Input[[#This Row],[Number of proposed fixtures]]+Table_PrescriptLights_Input[[#This Row],[Total labor cost]])</f>
        <v/>
      </c>
      <c r="Z5" s="67" t="str">
        <f>IFERROR(Table_PrescriptLights_Input[[#This Row],[Gross measure cost]]-Table_PrescriptLights_Input[[#This Row],[Estimated incentive]], "")</f>
        <v/>
      </c>
      <c r="AA5" s="69" t="str">
        <f t="shared" ref="AA5:AA36" si="0">IFERROR($Z5/$X5,"")</f>
        <v/>
      </c>
      <c r="AB5" s="69" t="str">
        <f>IF(ISNUMBER(Table_PrescriptLights_Input[[#This Row],[Detailed Fixture Calculation Wattage]]), "Detailed", "General")</f>
        <v>General</v>
      </c>
      <c r="AC5" s="53" t="e">
        <f>INDEX(Table_IntExt_Match[Measure Selection List], MATCH(Table_PrescriptLights_Input[[#This Row],[Interior or exterior?]], Table_IntExt_Match[Inetrior or Exterior], 0))</f>
        <v>#N/A</v>
      </c>
      <c r="AD5" s="53" t="e">
        <f>INDEX(Table_Prescript_Meas[Unit], MATCH(C5, Table_Prescript_Meas[Measure Number], 0))</f>
        <v>#N/A</v>
      </c>
      <c r="AE5" s="53" t="e">
        <f>INDEX(Table_Prescript_Meas[Lighting Type Selection List], MATCH(C5, Table_Prescript_Meas[Measure Number], 0))</f>
        <v>#N/A</v>
      </c>
      <c r="AF5" s="53" t="e">
        <f>INDEX(Table_Prescript_Meas[AOH Type], MATCH(Table_PrescriptLights_Input[[#This Row],[Measure number]], Table_Prescript_Meas[Measure Number],0))</f>
        <v>#N/A</v>
      </c>
      <c r="AG5"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5" s="53" t="str">
        <f>_xlfn.CONCAT(Table_PrescriptLights_Input[[#This Row],[Existing lighting type]],":",Table_PrescriptLights_Input[[#This Row],[Existing lamps per fixture]], ":",Table_PrescriptLights_Input[[#This Row],[Existing lamp wattage]])</f>
        <v>::</v>
      </c>
      <c r="AI5" s="53" t="e">
        <f>INDEX(Table_TRM_Fixtures[Fixture Code], MATCH(Table_PrescriptLights_Input[[#This Row],[Detailed Baseline Fixture Lookup]], Table_TRM_Fixtures[Detailed Prescriptive Baseline Fixture Lookup], 0))</f>
        <v>#N/A</v>
      </c>
      <c r="AJ5" s="129" t="e">
        <f>INDEX(Table_TRM_Fixtures[Fixture Wattage for Baseline Calculations],MATCH(Table_PrescriptLights_Input[[#This Row],[Detailed Baseline Fixture Lookup]], Table_TRM_Fixtures[Detailed Prescriptive Baseline Fixture Lookup],0))</f>
        <v>#N/A</v>
      </c>
      <c r="AK5" s="125" t="e">
        <f>INDEX(Table_Bldg_IEFD_IEFC[IEFE], MATCH( Input_HVACType,Table_Bldg_IEFD_IEFC[List_HVAC], 0))</f>
        <v>#N/A</v>
      </c>
      <c r="AL5" s="127" t="e">
        <f>INDEX( Table_Bldg_IEFD_IEFC[IEFE],MATCH( Input_HVACType, Table_Bldg_IEFD_IEFC[List_HVAC],0 ))</f>
        <v>#N/A</v>
      </c>
      <c r="AM5" s="125" t="e">
        <f>INDEX(Table_Control_PAF[PAF], MATCH(Table_PrescriptLights_Input[[#This Row],[Existing controls]], Table_Control_PAF[List_Control_Types], 0 ) )</f>
        <v>#N/A</v>
      </c>
      <c r="AN5" s="125"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5"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5"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5" s="53">
        <f>IFERROR(LEFT(Table_PrescriptLights_Input[[#This Row],[Existing lighting type]], FIND(",",Table_PrescriptLights_Input[[#This Row],[Existing lighting type]])-1), Table_PrescriptLights_Input[[#This Row],[Existing lighting type]])</f>
        <v>0</v>
      </c>
      <c r="AR5" s="53" t="str">
        <f>_xlfn.CONCAT(Table_PrescriptLights_Input[[#This Row],[Generalized Fixture Type]], ":",Table_PrescriptLights_Input[[#This Row],[Existing lamps per fixture]],":",Table_PrescriptLights_Input[[#This Row],[Existing lamp wattage]])</f>
        <v>0::</v>
      </c>
      <c r="AS5" s="53" t="e">
        <f>INDEX(Table_TRM_Fixtures[Fixture Code], MATCH(Table_PrescriptLights_Input[[#This Row],[Generalized Fixture Baseline Lookup]], Table_TRM_Fixtures[Generalized Baseline Fixture Lookup], 0))</f>
        <v>#N/A</v>
      </c>
      <c r="AT5"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5"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5"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5"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5"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5" s="53" t="e">
        <f>IFERROR(Table_PrescriptLights_Input[[#This Row],[Detailed Baseline Fixture Code]],Table_PrescriptLights_Input[[#This Row],[Generalized Baseline Fixture Code]])</f>
        <v>#N/A</v>
      </c>
      <c r="AZ5" s="3"/>
      <c r="BA5" s="3"/>
      <c r="BB5" s="3"/>
      <c r="BC5" s="3"/>
      <c r="BD5" s="3"/>
      <c r="BE5" s="3"/>
      <c r="BF5" s="3"/>
      <c r="BG5" s="3"/>
      <c r="BH5" s="3"/>
      <c r="BI5" s="3"/>
      <c r="BJ5" s="3"/>
      <c r="BK5" s="3"/>
      <c r="BL5" s="3"/>
      <c r="BM5" s="3"/>
      <c r="BN5" s="3"/>
      <c r="BO5" s="3"/>
      <c r="BP5" s="3"/>
      <c r="BQ5" s="3"/>
    </row>
    <row r="6" spans="1:69" x14ac:dyDescent="0.2">
      <c r="A6" s="3"/>
      <c r="B6" s="189">
        <v>2</v>
      </c>
      <c r="C6" s="61" t="str">
        <f>IFERROR(INDEX(Table_Prescript_Meas[Measure Number], MATCH(Table_PrescriptLights_Input[[#This Row],[Prescriptive lighting measure]], Table_Prescript_Meas[Measure Description], 0)), "")</f>
        <v/>
      </c>
      <c r="D6" s="192"/>
      <c r="E6" s="179"/>
      <c r="F6" s="179"/>
      <c r="G6" s="61" t="str">
        <f>IFERROR(INDEX(Table_Prescript_Meas[Unit], MATCH(Table_PrescriptLights_Input[[#This Row],[Measure number]], Table_Prescript_Meas[Measure Number], 0)), "")</f>
        <v/>
      </c>
      <c r="H6" s="180"/>
      <c r="I6" s="179"/>
      <c r="J6" s="179"/>
      <c r="K6" s="180"/>
      <c r="L6" s="179"/>
      <c r="M6" s="180"/>
      <c r="N6" s="180"/>
      <c r="O6" s="180"/>
      <c r="P6" s="180"/>
      <c r="Q6" s="180"/>
      <c r="R6" s="181"/>
      <c r="S6" s="181"/>
      <c r="T6"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6"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6" s="69" t="str">
        <f>IF(Table_PrescriptLights_Input[[#This Row],[Prescriptive lighting measure]]="","",Table_PrescriptLights_Input[[#This Row],[Calculated Energy Savings]])</f>
        <v/>
      </c>
      <c r="W6" s="73" t="str">
        <f>IF(Table_PrescriptLights_Input[[#This Row],[Prescriptive lighting measure]]="","",Table_PrescriptLights_Input[[#This Row],[Calculated Demand Savings]])</f>
        <v/>
      </c>
      <c r="X6" s="67" t="str">
        <f>IFERROR(Table_PrescriptLights_Input[[#This Row],[Energy savings (kWh)]]*Input_AvgkWhRate, "")</f>
        <v/>
      </c>
      <c r="Y6" s="67" t="str">
        <f>IF(Table_PrescriptLights_Input[[#This Row],[Prescriptive lighting measure]]="", "",Table_PrescriptLights_Input[[#This Row],[Material cost per fixture]]*Table_PrescriptLights_Input[[#This Row],[Number of proposed fixtures]]+Table_PrescriptLights_Input[[#This Row],[Total labor cost]])</f>
        <v/>
      </c>
      <c r="Z6" s="67" t="str">
        <f>IFERROR(Table_PrescriptLights_Input[[#This Row],[Gross measure cost]]-Table_PrescriptLights_Input[[#This Row],[Estimated incentive]], "")</f>
        <v/>
      </c>
      <c r="AA6" s="69" t="str">
        <f t="shared" si="0"/>
        <v/>
      </c>
      <c r="AB6" s="69" t="str">
        <f>IF(ISNUMBER(Table_PrescriptLights_Input[[#This Row],[Detailed Fixture Calculation Wattage]]), "Detailed", "General")</f>
        <v>General</v>
      </c>
      <c r="AC6" s="53" t="e">
        <f>INDEX(Table_IntExt_Match[Measure Selection List], MATCH(Table_PrescriptLights_Input[[#This Row],[Interior or exterior?]], Table_IntExt_Match[Inetrior or Exterior], 0))</f>
        <v>#N/A</v>
      </c>
      <c r="AD6" s="53" t="e">
        <f>INDEX(Table_Prescript_Meas[Unit], MATCH(C6, Table_Prescript_Meas[Measure Number], 0))</f>
        <v>#N/A</v>
      </c>
      <c r="AE6" s="53" t="e">
        <f>INDEX(Table_Prescript_Meas[Lighting Type Selection List], MATCH(C6, Table_Prescript_Meas[Measure Number], 0))</f>
        <v>#N/A</v>
      </c>
      <c r="AF6" s="53" t="e">
        <f>INDEX(Table_Prescript_Meas[AOH Type], MATCH(Table_PrescriptLights_Input[[#This Row],[Measure number]], Table_Prescript_Meas[Measure Number],0))</f>
        <v>#N/A</v>
      </c>
      <c r="AG6"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6" s="53" t="str">
        <f>_xlfn.CONCAT(Table_PrescriptLights_Input[[#This Row],[Existing lighting type]],":",Table_PrescriptLights_Input[[#This Row],[Existing lamps per fixture]], ":",Table_PrescriptLights_Input[[#This Row],[Existing lamp wattage]])</f>
        <v>::</v>
      </c>
      <c r="AI6" s="53" t="e">
        <f>INDEX(Table_TRM_Fixtures[Fixture Code], MATCH(Table_PrescriptLights_Input[[#This Row],[Detailed Baseline Fixture Lookup]], Table_TRM_Fixtures[Detailed Prescriptive Baseline Fixture Lookup], 0))</f>
        <v>#N/A</v>
      </c>
      <c r="AJ6" s="53" t="e">
        <f>INDEX(Table_TRM_Fixtures[Fixture Wattage for Baseline Calculations],MATCH(Table_PrescriptLights_Input[[#This Row],[Detailed Baseline Fixture Lookup]], Table_TRM_Fixtures[Detailed Prescriptive Baseline Fixture Lookup],0))</f>
        <v>#N/A</v>
      </c>
      <c r="AK6" s="127" t="e">
        <f>INDEX(Table_Bldg_IEFD_IEFC[IEFE], MATCH( Input_HVACType,Table_Bldg_IEFD_IEFC[List_HVAC], 0))</f>
        <v>#N/A</v>
      </c>
      <c r="AL6" s="127" t="e">
        <f>INDEX( Table_Bldg_IEFD_IEFC[IEFE],MATCH( Input_HVACType, Table_Bldg_IEFD_IEFC[List_HVAC],0 ))</f>
        <v>#N/A</v>
      </c>
      <c r="AM6" s="127" t="e">
        <f>INDEX(Table_Control_PAF[PAF], MATCH(Table_PrescriptLights_Input[[#This Row],[Existing controls]], Table_Control_PAF[List_Control_Types], 0 ) )</f>
        <v>#N/A</v>
      </c>
      <c r="AN6"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6"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6"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6" s="53">
        <f>IFERROR(LEFT(Table_PrescriptLights_Input[[#This Row],[Existing lighting type]], FIND(",",Table_PrescriptLights_Input[[#This Row],[Existing lighting type]])-1), Table_PrescriptLights_Input[[#This Row],[Existing lighting type]])</f>
        <v>0</v>
      </c>
      <c r="AR6" s="53" t="str">
        <f>_xlfn.CONCAT(Table_PrescriptLights_Input[[#This Row],[Generalized Fixture Type]], ":",Table_PrescriptLights_Input[[#This Row],[Existing lamps per fixture]],":",Table_PrescriptLights_Input[[#This Row],[Existing lamp wattage]])</f>
        <v>0::</v>
      </c>
      <c r="AS6" s="53" t="e">
        <f>INDEX(Table_TRM_Fixtures[Fixture Code], MATCH(Table_PrescriptLights_Input[[#This Row],[Generalized Fixture Baseline Lookup]], Table_TRM_Fixtures[Generalized Baseline Fixture Lookup], 0))</f>
        <v>#N/A</v>
      </c>
      <c r="AT6"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6"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6"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6"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6"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6" s="53" t="e">
        <f>IFERROR(Table_PrescriptLights_Input[[#This Row],[Detailed Baseline Fixture Code]],Table_PrescriptLights_Input[[#This Row],[Generalized Baseline Fixture Code]])</f>
        <v>#N/A</v>
      </c>
      <c r="AZ6" s="3"/>
      <c r="BA6" s="3"/>
      <c r="BB6" s="3"/>
      <c r="BC6" s="3"/>
      <c r="BD6" s="3"/>
      <c r="BE6" s="3"/>
      <c r="BF6" s="3"/>
      <c r="BG6" s="3"/>
      <c r="BH6" s="3"/>
      <c r="BI6" s="3"/>
      <c r="BJ6" s="3"/>
      <c r="BK6" s="3"/>
      <c r="BL6" s="3"/>
      <c r="BM6" s="3"/>
      <c r="BN6" s="3"/>
      <c r="BO6" s="3"/>
      <c r="BP6" s="3"/>
      <c r="BQ6" s="3"/>
    </row>
    <row r="7" spans="1:69" x14ac:dyDescent="0.2">
      <c r="A7" s="3"/>
      <c r="B7" s="189">
        <v>3</v>
      </c>
      <c r="C7" s="61" t="str">
        <f>IFERROR(INDEX(Table_Prescript_Meas[Measure Number], MATCH(Table_PrescriptLights_Input[[#This Row],[Prescriptive lighting measure]], Table_Prescript_Meas[Measure Description], 0)), "")</f>
        <v/>
      </c>
      <c r="D7" s="192"/>
      <c r="E7" s="179"/>
      <c r="F7" s="179"/>
      <c r="G7" s="61" t="str">
        <f>IFERROR(INDEX(Table_Prescript_Meas[Unit], MATCH(Table_PrescriptLights_Input[[#This Row],[Measure number]], Table_Prescript_Meas[Measure Number], 0)), "")</f>
        <v/>
      </c>
      <c r="H7" s="180"/>
      <c r="I7" s="179"/>
      <c r="J7" s="179"/>
      <c r="K7" s="180"/>
      <c r="L7" s="179"/>
      <c r="M7" s="180"/>
      <c r="N7" s="180"/>
      <c r="O7" s="180"/>
      <c r="P7" s="180"/>
      <c r="Q7" s="180"/>
      <c r="R7" s="181"/>
      <c r="S7" s="181"/>
      <c r="T7"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7"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7" s="69" t="str">
        <f>IF(Table_PrescriptLights_Input[[#This Row],[Prescriptive lighting measure]]="","",Table_PrescriptLights_Input[[#This Row],[Calculated Energy Savings]])</f>
        <v/>
      </c>
      <c r="W7" s="73" t="str">
        <f>IF(Table_PrescriptLights_Input[[#This Row],[Prescriptive lighting measure]]="","",Table_PrescriptLights_Input[[#This Row],[Calculated Demand Savings]])</f>
        <v/>
      </c>
      <c r="X7" s="67" t="str">
        <f>IFERROR(Table_PrescriptLights_Input[[#This Row],[Energy savings (kWh)]]*Input_AvgkWhRate, "")</f>
        <v/>
      </c>
      <c r="Y7" s="67" t="str">
        <f>IF(Table_PrescriptLights_Input[[#This Row],[Prescriptive lighting measure]]="", "",Table_PrescriptLights_Input[[#This Row],[Material cost per fixture]]*Table_PrescriptLights_Input[[#This Row],[Number of proposed fixtures]]+Table_PrescriptLights_Input[[#This Row],[Total labor cost]])</f>
        <v/>
      </c>
      <c r="Z7" s="67" t="str">
        <f>IFERROR(Table_PrescriptLights_Input[[#This Row],[Gross measure cost]]-Table_PrescriptLights_Input[[#This Row],[Estimated incentive]], "")</f>
        <v/>
      </c>
      <c r="AA7" s="69" t="str">
        <f t="shared" si="0"/>
        <v/>
      </c>
      <c r="AB7" s="69" t="str">
        <f>IF(ISNUMBER(Table_PrescriptLights_Input[[#This Row],[Detailed Fixture Calculation Wattage]]), "Detailed", "General")</f>
        <v>General</v>
      </c>
      <c r="AC7" s="53" t="e">
        <f>INDEX(Table_IntExt_Match[Measure Selection List], MATCH(Table_PrescriptLights_Input[[#This Row],[Interior or exterior?]], Table_IntExt_Match[Inetrior or Exterior], 0))</f>
        <v>#N/A</v>
      </c>
      <c r="AD7" s="53" t="e">
        <f>INDEX(Table_Prescript_Meas[Unit], MATCH(C7, Table_Prescript_Meas[Measure Number], 0))</f>
        <v>#N/A</v>
      </c>
      <c r="AE7" s="53" t="e">
        <f>INDEX(Table_Prescript_Meas[Lighting Type Selection List], MATCH(C7, Table_Prescript_Meas[Measure Number], 0))</f>
        <v>#N/A</v>
      </c>
      <c r="AF7" s="53" t="e">
        <f>INDEX(Table_Prescript_Meas[AOH Type], MATCH(Table_PrescriptLights_Input[[#This Row],[Measure number]], Table_Prescript_Meas[Measure Number],0))</f>
        <v>#N/A</v>
      </c>
      <c r="AG7"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7" s="53" t="str">
        <f>_xlfn.CONCAT(Table_PrescriptLights_Input[[#This Row],[Existing lighting type]],":",Table_PrescriptLights_Input[[#This Row],[Existing lamps per fixture]], ":",Table_PrescriptLights_Input[[#This Row],[Existing lamp wattage]])</f>
        <v>::</v>
      </c>
      <c r="AI7" s="53" t="e">
        <f>INDEX(Table_TRM_Fixtures[Fixture Code], MATCH(Table_PrescriptLights_Input[[#This Row],[Detailed Baseline Fixture Lookup]], Table_TRM_Fixtures[Detailed Prescriptive Baseline Fixture Lookup], 0))</f>
        <v>#N/A</v>
      </c>
      <c r="AJ7" s="53" t="e">
        <f>INDEX(Table_TRM_Fixtures[Fixture Wattage for Baseline Calculations],MATCH(Table_PrescriptLights_Input[[#This Row],[Detailed Baseline Fixture Lookup]], Table_TRM_Fixtures[Detailed Prescriptive Baseline Fixture Lookup],0))</f>
        <v>#N/A</v>
      </c>
      <c r="AK7" s="127" t="e">
        <f>INDEX(Table_Bldg_IEFD_IEFC[IEFE], MATCH( Input_HVACType,Table_Bldg_IEFD_IEFC[List_HVAC], 0))</f>
        <v>#N/A</v>
      </c>
      <c r="AL7" s="127" t="e">
        <f>INDEX( Table_Bldg_IEFD_IEFC[IEFE],MATCH( Input_HVACType, Table_Bldg_IEFD_IEFC[List_HVAC],0 ))</f>
        <v>#N/A</v>
      </c>
      <c r="AM7" s="127" t="e">
        <f>INDEX(Table_Control_PAF[PAF], MATCH(Table_PrescriptLights_Input[[#This Row],[Existing controls]], Table_Control_PAF[List_Control_Types], 0 ) )</f>
        <v>#N/A</v>
      </c>
      <c r="AN7"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7"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7"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7" s="53">
        <f>IFERROR(LEFT(Table_PrescriptLights_Input[[#This Row],[Existing lighting type]], FIND(",",Table_PrescriptLights_Input[[#This Row],[Existing lighting type]])-1), Table_PrescriptLights_Input[[#This Row],[Existing lighting type]])</f>
        <v>0</v>
      </c>
      <c r="AR7" s="53" t="str">
        <f>_xlfn.CONCAT(Table_PrescriptLights_Input[[#This Row],[Generalized Fixture Type]], ":",Table_PrescriptLights_Input[[#This Row],[Existing lamps per fixture]],":",Table_PrescriptLights_Input[[#This Row],[Existing lamp wattage]])</f>
        <v>0::</v>
      </c>
      <c r="AS7" s="53" t="e">
        <f>INDEX(Table_TRM_Fixtures[Fixture Code], MATCH(Table_PrescriptLights_Input[[#This Row],[Generalized Fixture Baseline Lookup]], Table_TRM_Fixtures[Generalized Baseline Fixture Lookup], 0))</f>
        <v>#N/A</v>
      </c>
      <c r="AT7"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7"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7"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7"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7"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7" s="53" t="e">
        <f>IFERROR(Table_PrescriptLights_Input[[#This Row],[Detailed Baseline Fixture Code]],Table_PrescriptLights_Input[[#This Row],[Generalized Baseline Fixture Code]])</f>
        <v>#N/A</v>
      </c>
      <c r="AZ7" s="3"/>
      <c r="BA7" s="3"/>
      <c r="BB7" s="3"/>
      <c r="BC7" s="3"/>
      <c r="BD7" s="3"/>
      <c r="BE7" s="3"/>
      <c r="BF7" s="3"/>
      <c r="BG7" s="3"/>
      <c r="BH7" s="3"/>
      <c r="BI7" s="3"/>
      <c r="BJ7" s="3"/>
      <c r="BK7" s="3"/>
      <c r="BL7" s="3"/>
      <c r="BM7" s="3"/>
      <c r="BN7" s="3"/>
      <c r="BO7" s="3"/>
      <c r="BP7" s="3"/>
      <c r="BQ7" s="3"/>
    </row>
    <row r="8" spans="1:69" x14ac:dyDescent="0.2">
      <c r="A8" s="3"/>
      <c r="B8" s="189">
        <v>4</v>
      </c>
      <c r="C8" s="61" t="str">
        <f>IFERROR(INDEX(Table_Prescript_Meas[Measure Number], MATCH(Table_PrescriptLights_Input[[#This Row],[Prescriptive lighting measure]], Table_Prescript_Meas[Measure Description], 0)), "")</f>
        <v/>
      </c>
      <c r="D8" s="192"/>
      <c r="E8" s="179"/>
      <c r="F8" s="179"/>
      <c r="G8" s="61" t="str">
        <f>IFERROR(INDEX(Table_Prescript_Meas[Unit], MATCH(Table_PrescriptLights_Input[[#This Row],[Measure number]], Table_Prescript_Meas[Measure Number], 0)), "")</f>
        <v/>
      </c>
      <c r="H8" s="180"/>
      <c r="I8" s="179"/>
      <c r="J8" s="179"/>
      <c r="K8" s="180"/>
      <c r="L8" s="179"/>
      <c r="M8" s="180"/>
      <c r="N8" s="180"/>
      <c r="O8" s="180"/>
      <c r="P8" s="180"/>
      <c r="Q8" s="180"/>
      <c r="R8" s="181"/>
      <c r="S8" s="181"/>
      <c r="T8"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8"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8" s="69" t="str">
        <f>IF(Table_PrescriptLights_Input[[#This Row],[Prescriptive lighting measure]]="","",Table_PrescriptLights_Input[[#This Row],[Calculated Energy Savings]])</f>
        <v/>
      </c>
      <c r="W8" s="73" t="str">
        <f>IF(Table_PrescriptLights_Input[[#This Row],[Prescriptive lighting measure]]="","",Table_PrescriptLights_Input[[#This Row],[Calculated Demand Savings]])</f>
        <v/>
      </c>
      <c r="X8" s="67" t="str">
        <f>IFERROR(Table_PrescriptLights_Input[[#This Row],[Energy savings (kWh)]]*Input_AvgkWhRate, "")</f>
        <v/>
      </c>
      <c r="Y8" s="67" t="str">
        <f>IF(Table_PrescriptLights_Input[[#This Row],[Prescriptive lighting measure]]="", "",Table_PrescriptLights_Input[[#This Row],[Material cost per fixture]]*Table_PrescriptLights_Input[[#This Row],[Number of proposed fixtures]]+Table_PrescriptLights_Input[[#This Row],[Total labor cost]])</f>
        <v/>
      </c>
      <c r="Z8" s="67" t="str">
        <f>IFERROR(Table_PrescriptLights_Input[[#This Row],[Gross measure cost]]-Table_PrescriptLights_Input[[#This Row],[Estimated incentive]], "")</f>
        <v/>
      </c>
      <c r="AA8" s="69" t="str">
        <f t="shared" si="0"/>
        <v/>
      </c>
      <c r="AB8" s="69" t="str">
        <f>IF(ISNUMBER(Table_PrescriptLights_Input[[#This Row],[Detailed Fixture Calculation Wattage]]), "Detailed", "General")</f>
        <v>General</v>
      </c>
      <c r="AC8" s="53" t="e">
        <f>INDEX(Table_IntExt_Match[Measure Selection List], MATCH(Table_PrescriptLights_Input[[#This Row],[Interior or exterior?]], Table_IntExt_Match[Inetrior or Exterior], 0))</f>
        <v>#N/A</v>
      </c>
      <c r="AD8" s="53" t="e">
        <f>INDEX(Table_Prescript_Meas[Unit], MATCH(C8, Table_Prescript_Meas[Measure Number], 0))</f>
        <v>#N/A</v>
      </c>
      <c r="AE8" s="53" t="e">
        <f>INDEX(Table_Prescript_Meas[Lighting Type Selection List], MATCH(C8, Table_Prescript_Meas[Measure Number], 0))</f>
        <v>#N/A</v>
      </c>
      <c r="AF8" s="53" t="e">
        <f>INDEX(Table_Prescript_Meas[AOH Type], MATCH(Table_PrescriptLights_Input[[#This Row],[Measure number]], Table_Prescript_Meas[Measure Number],0))</f>
        <v>#N/A</v>
      </c>
      <c r="AG8"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8" s="53" t="str">
        <f>_xlfn.CONCAT(Table_PrescriptLights_Input[[#This Row],[Existing lighting type]],":",Table_PrescriptLights_Input[[#This Row],[Existing lamps per fixture]], ":",Table_PrescriptLights_Input[[#This Row],[Existing lamp wattage]])</f>
        <v>::</v>
      </c>
      <c r="AI8" s="53" t="e">
        <f>INDEX(Table_TRM_Fixtures[Fixture Code], MATCH(Table_PrescriptLights_Input[[#This Row],[Detailed Baseline Fixture Lookup]], Table_TRM_Fixtures[Detailed Prescriptive Baseline Fixture Lookup], 0))</f>
        <v>#N/A</v>
      </c>
      <c r="AJ8" s="53" t="e">
        <f>INDEX(Table_TRM_Fixtures[Fixture Wattage for Baseline Calculations],MATCH(Table_PrescriptLights_Input[[#This Row],[Detailed Baseline Fixture Lookup]], Table_TRM_Fixtures[Detailed Prescriptive Baseline Fixture Lookup],0))</f>
        <v>#N/A</v>
      </c>
      <c r="AK8" s="127" t="e">
        <f>INDEX(Table_Bldg_IEFD_IEFC[IEFE], MATCH( Input_HVACType,Table_Bldg_IEFD_IEFC[List_HVAC], 0))</f>
        <v>#N/A</v>
      </c>
      <c r="AL8" s="127" t="e">
        <f>INDEX( Table_Bldg_IEFD_IEFC[IEFE],MATCH( Input_HVACType, Table_Bldg_IEFD_IEFC[List_HVAC],0 ))</f>
        <v>#N/A</v>
      </c>
      <c r="AM8" s="127" t="e">
        <f>INDEX(Table_Control_PAF[PAF], MATCH(Table_PrescriptLights_Input[[#This Row],[Existing controls]], Table_Control_PAF[List_Control_Types], 0 ) )</f>
        <v>#N/A</v>
      </c>
      <c r="AN8"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8"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8"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8" s="53">
        <f>IFERROR(LEFT(Table_PrescriptLights_Input[[#This Row],[Existing lighting type]], FIND(",",Table_PrescriptLights_Input[[#This Row],[Existing lighting type]])-1), Table_PrescriptLights_Input[[#This Row],[Existing lighting type]])</f>
        <v>0</v>
      </c>
      <c r="AR8" s="53" t="str">
        <f>_xlfn.CONCAT(Table_PrescriptLights_Input[[#This Row],[Generalized Fixture Type]], ":",Table_PrescriptLights_Input[[#This Row],[Existing lamps per fixture]],":",Table_PrescriptLights_Input[[#This Row],[Existing lamp wattage]])</f>
        <v>0::</v>
      </c>
      <c r="AS8" s="53" t="e">
        <f>INDEX(Table_TRM_Fixtures[Fixture Code], MATCH(Table_PrescriptLights_Input[[#This Row],[Generalized Fixture Baseline Lookup]], Table_TRM_Fixtures[Generalized Baseline Fixture Lookup], 0))</f>
        <v>#N/A</v>
      </c>
      <c r="AT8"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8"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8"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8"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8"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8" s="53" t="e">
        <f>IFERROR(Table_PrescriptLights_Input[[#This Row],[Detailed Baseline Fixture Code]],Table_PrescriptLights_Input[[#This Row],[Generalized Baseline Fixture Code]])</f>
        <v>#N/A</v>
      </c>
      <c r="AZ8" s="3"/>
      <c r="BA8" s="3"/>
      <c r="BB8" s="3"/>
      <c r="BC8" s="3"/>
      <c r="BD8" s="3"/>
      <c r="BE8" s="3"/>
      <c r="BF8" s="3"/>
      <c r="BG8" s="3"/>
      <c r="BH8" s="3"/>
      <c r="BI8" s="3"/>
      <c r="BJ8" s="3"/>
      <c r="BK8" s="3"/>
      <c r="BL8" s="3"/>
      <c r="BM8" s="3"/>
      <c r="BN8" s="3"/>
      <c r="BO8" s="3"/>
      <c r="BP8" s="3"/>
      <c r="BQ8" s="3"/>
    </row>
    <row r="9" spans="1:69" x14ac:dyDescent="0.2">
      <c r="A9" s="3"/>
      <c r="B9" s="189">
        <v>5</v>
      </c>
      <c r="C9" s="61" t="str">
        <f>IFERROR(INDEX(Table_Prescript_Meas[Measure Number], MATCH(Table_PrescriptLights_Input[[#This Row],[Prescriptive lighting measure]], Table_Prescript_Meas[Measure Description], 0)), "")</f>
        <v/>
      </c>
      <c r="D9" s="192"/>
      <c r="E9" s="179"/>
      <c r="F9" s="179"/>
      <c r="G9" s="61" t="str">
        <f>IFERROR(INDEX(Table_Prescript_Meas[Unit], MATCH(Table_PrescriptLights_Input[[#This Row],[Measure number]], Table_Prescript_Meas[Measure Number], 0)), "")</f>
        <v/>
      </c>
      <c r="H9" s="180"/>
      <c r="I9" s="179"/>
      <c r="J9" s="179"/>
      <c r="K9" s="180"/>
      <c r="L9" s="179"/>
      <c r="M9" s="180"/>
      <c r="N9" s="180"/>
      <c r="O9" s="180"/>
      <c r="P9" s="180"/>
      <c r="Q9" s="180"/>
      <c r="R9" s="181"/>
      <c r="S9" s="181"/>
      <c r="T9"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9"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9" s="69" t="str">
        <f>IF(Table_PrescriptLights_Input[[#This Row],[Prescriptive lighting measure]]="","",Table_PrescriptLights_Input[[#This Row],[Calculated Energy Savings]])</f>
        <v/>
      </c>
      <c r="W9" s="73" t="str">
        <f>IF(Table_PrescriptLights_Input[[#This Row],[Prescriptive lighting measure]]="","",Table_PrescriptLights_Input[[#This Row],[Calculated Demand Savings]])</f>
        <v/>
      </c>
      <c r="X9" s="67" t="str">
        <f>IFERROR(Table_PrescriptLights_Input[[#This Row],[Energy savings (kWh)]]*Input_AvgkWhRate, "")</f>
        <v/>
      </c>
      <c r="Y9" s="67" t="str">
        <f>IF(Table_PrescriptLights_Input[[#This Row],[Prescriptive lighting measure]]="", "",Table_PrescriptLights_Input[[#This Row],[Material cost per fixture]]*Table_PrescriptLights_Input[[#This Row],[Number of proposed fixtures]]+Table_PrescriptLights_Input[[#This Row],[Total labor cost]])</f>
        <v/>
      </c>
      <c r="Z9" s="67" t="str">
        <f>IFERROR(Table_PrescriptLights_Input[[#This Row],[Gross measure cost]]-Table_PrescriptLights_Input[[#This Row],[Estimated incentive]], "")</f>
        <v/>
      </c>
      <c r="AA9" s="69" t="str">
        <f t="shared" si="0"/>
        <v/>
      </c>
      <c r="AB9" s="69" t="str">
        <f>IF(ISNUMBER(Table_PrescriptLights_Input[[#This Row],[Detailed Fixture Calculation Wattage]]), "Detailed", "General")</f>
        <v>General</v>
      </c>
      <c r="AC9" s="53" t="e">
        <f>INDEX(Table_IntExt_Match[Measure Selection List], MATCH(Table_PrescriptLights_Input[[#This Row],[Interior or exterior?]], Table_IntExt_Match[Inetrior or Exterior], 0))</f>
        <v>#N/A</v>
      </c>
      <c r="AD9" s="53" t="e">
        <f>INDEX(Table_Prescript_Meas[Unit], MATCH(C9, Table_Prescript_Meas[Measure Number], 0))</f>
        <v>#N/A</v>
      </c>
      <c r="AE9" s="53" t="e">
        <f>INDEX(Table_Prescript_Meas[Lighting Type Selection List], MATCH(C9, Table_Prescript_Meas[Measure Number], 0))</f>
        <v>#N/A</v>
      </c>
      <c r="AF9" s="53" t="e">
        <f>INDEX(Table_Prescript_Meas[AOH Type], MATCH(Table_PrescriptLights_Input[[#This Row],[Measure number]], Table_Prescript_Meas[Measure Number],0))</f>
        <v>#N/A</v>
      </c>
      <c r="AG9"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9" s="53" t="str">
        <f>_xlfn.CONCAT(Table_PrescriptLights_Input[[#This Row],[Existing lighting type]],":",Table_PrescriptLights_Input[[#This Row],[Existing lamps per fixture]], ":",Table_PrescriptLights_Input[[#This Row],[Existing lamp wattage]])</f>
        <v>::</v>
      </c>
      <c r="AI9" s="53" t="e">
        <f>INDEX(Table_TRM_Fixtures[Fixture Code], MATCH(Table_PrescriptLights_Input[[#This Row],[Detailed Baseline Fixture Lookup]], Table_TRM_Fixtures[Detailed Prescriptive Baseline Fixture Lookup], 0))</f>
        <v>#N/A</v>
      </c>
      <c r="AJ9" s="53" t="e">
        <f>INDEX(Table_TRM_Fixtures[Fixture Wattage for Baseline Calculations],MATCH(Table_PrescriptLights_Input[[#This Row],[Detailed Baseline Fixture Lookup]], Table_TRM_Fixtures[Detailed Prescriptive Baseline Fixture Lookup],0))</f>
        <v>#N/A</v>
      </c>
      <c r="AK9" s="127" t="e">
        <f>INDEX(Table_Bldg_IEFD_IEFC[IEFE], MATCH( Input_HVACType,Table_Bldg_IEFD_IEFC[List_HVAC], 0))</f>
        <v>#N/A</v>
      </c>
      <c r="AL9" s="127" t="e">
        <f>INDEX( Table_Bldg_IEFD_IEFC[IEFE],MATCH( Input_HVACType, Table_Bldg_IEFD_IEFC[List_HVAC],0 ))</f>
        <v>#N/A</v>
      </c>
      <c r="AM9" s="127" t="e">
        <f>INDEX(Table_Control_PAF[PAF], MATCH(Table_PrescriptLights_Input[[#This Row],[Existing controls]], Table_Control_PAF[List_Control_Types], 0 ) )</f>
        <v>#N/A</v>
      </c>
      <c r="AN9"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9"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9"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9" s="53">
        <f>IFERROR(LEFT(Table_PrescriptLights_Input[[#This Row],[Existing lighting type]], FIND(",",Table_PrescriptLights_Input[[#This Row],[Existing lighting type]])-1), Table_PrescriptLights_Input[[#This Row],[Existing lighting type]])</f>
        <v>0</v>
      </c>
      <c r="AR9" s="53" t="str">
        <f>_xlfn.CONCAT(Table_PrescriptLights_Input[[#This Row],[Generalized Fixture Type]], ":",Table_PrescriptLights_Input[[#This Row],[Existing lamps per fixture]],":",Table_PrescriptLights_Input[[#This Row],[Existing lamp wattage]])</f>
        <v>0::</v>
      </c>
      <c r="AS9" s="53" t="e">
        <f>INDEX(Table_TRM_Fixtures[Fixture Code], MATCH(Table_PrescriptLights_Input[[#This Row],[Generalized Fixture Baseline Lookup]], Table_TRM_Fixtures[Generalized Baseline Fixture Lookup], 0))</f>
        <v>#N/A</v>
      </c>
      <c r="AT9"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9"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9"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9"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9"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9" s="53" t="e">
        <f>IFERROR(Table_PrescriptLights_Input[[#This Row],[Detailed Baseline Fixture Code]],Table_PrescriptLights_Input[[#This Row],[Generalized Baseline Fixture Code]])</f>
        <v>#N/A</v>
      </c>
      <c r="AZ9" s="3"/>
      <c r="BA9" s="3"/>
      <c r="BB9" s="3"/>
      <c r="BC9" s="3"/>
      <c r="BD9" s="3"/>
      <c r="BE9" s="3"/>
      <c r="BF9" s="3"/>
      <c r="BG9" s="3"/>
      <c r="BH9" s="3"/>
      <c r="BI9" s="3"/>
      <c r="BJ9" s="3"/>
      <c r="BK9" s="3"/>
      <c r="BL9" s="3"/>
      <c r="BM9" s="3"/>
      <c r="BN9" s="3"/>
      <c r="BO9" s="3"/>
      <c r="BP9" s="3"/>
      <c r="BQ9" s="3"/>
    </row>
    <row r="10" spans="1:69" x14ac:dyDescent="0.2">
      <c r="A10" s="3"/>
      <c r="B10" s="189">
        <v>6</v>
      </c>
      <c r="C10" s="61" t="str">
        <f>IFERROR(INDEX(Table_Prescript_Meas[Measure Number], MATCH(Table_PrescriptLights_Input[[#This Row],[Prescriptive lighting measure]], Table_Prescript_Meas[Measure Description], 0)), "")</f>
        <v/>
      </c>
      <c r="D10" s="192"/>
      <c r="E10" s="179"/>
      <c r="F10" s="179"/>
      <c r="G10" s="61" t="str">
        <f>IFERROR(INDEX(Table_Prescript_Meas[Unit], MATCH(Table_PrescriptLights_Input[[#This Row],[Measure number]], Table_Prescript_Meas[Measure Number], 0)), "")</f>
        <v/>
      </c>
      <c r="H10" s="180"/>
      <c r="I10" s="179"/>
      <c r="J10" s="179"/>
      <c r="K10" s="180"/>
      <c r="L10" s="179"/>
      <c r="M10" s="180"/>
      <c r="N10" s="180"/>
      <c r="O10" s="180"/>
      <c r="P10" s="180"/>
      <c r="Q10" s="180"/>
      <c r="R10" s="181"/>
      <c r="S10" s="181"/>
      <c r="T10"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0"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0" s="69" t="str">
        <f>IF(Table_PrescriptLights_Input[[#This Row],[Prescriptive lighting measure]]="","",Table_PrescriptLights_Input[[#This Row],[Calculated Energy Savings]])</f>
        <v/>
      </c>
      <c r="W10" s="73" t="str">
        <f>IF(Table_PrescriptLights_Input[[#This Row],[Prescriptive lighting measure]]="","",Table_PrescriptLights_Input[[#This Row],[Calculated Demand Savings]])</f>
        <v/>
      </c>
      <c r="X10" s="67" t="str">
        <f>IFERROR(Table_PrescriptLights_Input[[#This Row],[Energy savings (kWh)]]*Input_AvgkWhRate, "")</f>
        <v/>
      </c>
      <c r="Y10" s="67" t="str">
        <f>IF(Table_PrescriptLights_Input[[#This Row],[Prescriptive lighting measure]]="", "",Table_PrescriptLights_Input[[#This Row],[Material cost per fixture]]*Table_PrescriptLights_Input[[#This Row],[Number of proposed fixtures]]+Table_PrescriptLights_Input[[#This Row],[Total labor cost]])</f>
        <v/>
      </c>
      <c r="Z10" s="67" t="str">
        <f>IFERROR(Table_PrescriptLights_Input[[#This Row],[Gross measure cost]]-Table_PrescriptLights_Input[[#This Row],[Estimated incentive]], "")</f>
        <v/>
      </c>
      <c r="AA10" s="69" t="str">
        <f t="shared" si="0"/>
        <v/>
      </c>
      <c r="AB10" s="69" t="str">
        <f>IF(ISNUMBER(Table_PrescriptLights_Input[[#This Row],[Detailed Fixture Calculation Wattage]]), "Detailed", "General")</f>
        <v>General</v>
      </c>
      <c r="AC10" s="53" t="e">
        <f>INDEX(Table_IntExt_Match[Measure Selection List], MATCH(Table_PrescriptLights_Input[[#This Row],[Interior or exterior?]], Table_IntExt_Match[Inetrior or Exterior], 0))</f>
        <v>#N/A</v>
      </c>
      <c r="AD10" s="53" t="e">
        <f>INDEX(Table_Prescript_Meas[Unit], MATCH(C10, Table_Prescript_Meas[Measure Number], 0))</f>
        <v>#N/A</v>
      </c>
      <c r="AE10" s="53" t="e">
        <f>INDEX(Table_Prescript_Meas[Lighting Type Selection List], MATCH(C10, Table_Prescript_Meas[Measure Number], 0))</f>
        <v>#N/A</v>
      </c>
      <c r="AF10" s="53" t="e">
        <f>INDEX(Table_Prescript_Meas[AOH Type], MATCH(Table_PrescriptLights_Input[[#This Row],[Measure number]], Table_Prescript_Meas[Measure Number],0))</f>
        <v>#N/A</v>
      </c>
      <c r="AG10"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0" s="53" t="str">
        <f>_xlfn.CONCAT(Table_PrescriptLights_Input[[#This Row],[Existing lighting type]],":",Table_PrescriptLights_Input[[#This Row],[Existing lamps per fixture]], ":",Table_PrescriptLights_Input[[#This Row],[Existing lamp wattage]])</f>
        <v>::</v>
      </c>
      <c r="AI10" s="53" t="e">
        <f>INDEX(Table_TRM_Fixtures[Fixture Code], MATCH(Table_PrescriptLights_Input[[#This Row],[Detailed Baseline Fixture Lookup]], Table_TRM_Fixtures[Detailed Prescriptive Baseline Fixture Lookup], 0))</f>
        <v>#N/A</v>
      </c>
      <c r="AJ10" s="53" t="e">
        <f>INDEX(Table_TRM_Fixtures[Fixture Wattage for Baseline Calculations],MATCH(Table_PrescriptLights_Input[[#This Row],[Detailed Baseline Fixture Lookup]], Table_TRM_Fixtures[Detailed Prescriptive Baseline Fixture Lookup],0))</f>
        <v>#N/A</v>
      </c>
      <c r="AK10" s="127" t="e">
        <f>INDEX(Table_Bldg_IEFD_IEFC[IEFE], MATCH( Input_HVACType,Table_Bldg_IEFD_IEFC[List_HVAC], 0))</f>
        <v>#N/A</v>
      </c>
      <c r="AL10" s="127" t="e">
        <f>INDEX( Table_Bldg_IEFD_IEFC[IEFE],MATCH( Input_HVACType, Table_Bldg_IEFD_IEFC[List_HVAC],0 ))</f>
        <v>#N/A</v>
      </c>
      <c r="AM10" s="127" t="e">
        <f>INDEX(Table_Control_PAF[PAF], MATCH(Table_PrescriptLights_Input[[#This Row],[Existing controls]], Table_Control_PAF[List_Control_Types], 0 ) )</f>
        <v>#N/A</v>
      </c>
      <c r="AN10"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0"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0"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0" s="53">
        <f>IFERROR(LEFT(Table_PrescriptLights_Input[[#This Row],[Existing lighting type]], FIND(",",Table_PrescriptLights_Input[[#This Row],[Existing lighting type]])-1), Table_PrescriptLights_Input[[#This Row],[Existing lighting type]])</f>
        <v>0</v>
      </c>
      <c r="AR10" s="53" t="str">
        <f>_xlfn.CONCAT(Table_PrescriptLights_Input[[#This Row],[Generalized Fixture Type]], ":",Table_PrescriptLights_Input[[#This Row],[Existing lamps per fixture]],":",Table_PrescriptLights_Input[[#This Row],[Existing lamp wattage]])</f>
        <v>0::</v>
      </c>
      <c r="AS10" s="53" t="e">
        <f>INDEX(Table_TRM_Fixtures[Fixture Code], MATCH(Table_PrescriptLights_Input[[#This Row],[Generalized Fixture Baseline Lookup]], Table_TRM_Fixtures[Generalized Baseline Fixture Lookup], 0))</f>
        <v>#N/A</v>
      </c>
      <c r="AT10"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0"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0"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0"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0"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0" s="53" t="e">
        <f>IFERROR(Table_PrescriptLights_Input[[#This Row],[Detailed Baseline Fixture Code]],Table_PrescriptLights_Input[[#This Row],[Generalized Baseline Fixture Code]])</f>
        <v>#N/A</v>
      </c>
      <c r="AZ10" s="3"/>
      <c r="BA10" s="3"/>
      <c r="BB10" s="3"/>
      <c r="BC10" s="3"/>
      <c r="BD10" s="3"/>
      <c r="BE10" s="3"/>
      <c r="BF10" s="3"/>
      <c r="BG10" s="3"/>
      <c r="BH10" s="3"/>
      <c r="BI10" s="3"/>
      <c r="BJ10" s="3"/>
      <c r="BK10" s="3"/>
      <c r="BL10" s="3"/>
      <c r="BM10" s="3"/>
      <c r="BN10" s="3"/>
      <c r="BO10" s="3"/>
      <c r="BP10" s="3"/>
      <c r="BQ10" s="3"/>
    </row>
    <row r="11" spans="1:69" x14ac:dyDescent="0.2">
      <c r="A11" s="3"/>
      <c r="B11" s="189">
        <v>7</v>
      </c>
      <c r="C11" s="61" t="str">
        <f>IFERROR(INDEX(Table_Prescript_Meas[Measure Number], MATCH(Table_PrescriptLights_Input[[#This Row],[Prescriptive lighting measure]], Table_Prescript_Meas[Measure Description], 0)), "")</f>
        <v/>
      </c>
      <c r="D11" s="192"/>
      <c r="E11" s="179"/>
      <c r="F11" s="179"/>
      <c r="G11" s="61" t="str">
        <f>IFERROR(INDEX(Table_Prescript_Meas[Unit], MATCH(Table_PrescriptLights_Input[[#This Row],[Measure number]], Table_Prescript_Meas[Measure Number], 0)), "")</f>
        <v/>
      </c>
      <c r="H11" s="180"/>
      <c r="I11" s="179"/>
      <c r="J11" s="179"/>
      <c r="K11" s="180"/>
      <c r="L11" s="179"/>
      <c r="M11" s="180"/>
      <c r="N11" s="180"/>
      <c r="O11" s="180"/>
      <c r="P11" s="180"/>
      <c r="Q11" s="180"/>
      <c r="R11" s="181"/>
      <c r="S11" s="181"/>
      <c r="T11"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1"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1" s="69" t="str">
        <f>IF(Table_PrescriptLights_Input[[#This Row],[Prescriptive lighting measure]]="","",Table_PrescriptLights_Input[[#This Row],[Calculated Energy Savings]])</f>
        <v/>
      </c>
      <c r="W11" s="73" t="str">
        <f>IF(Table_PrescriptLights_Input[[#This Row],[Prescriptive lighting measure]]="","",Table_PrescriptLights_Input[[#This Row],[Calculated Demand Savings]])</f>
        <v/>
      </c>
      <c r="X11" s="67" t="str">
        <f>IFERROR(Table_PrescriptLights_Input[[#This Row],[Energy savings (kWh)]]*Input_AvgkWhRate, "")</f>
        <v/>
      </c>
      <c r="Y11" s="67" t="str">
        <f>IF(Table_PrescriptLights_Input[[#This Row],[Prescriptive lighting measure]]="", "",Table_PrescriptLights_Input[[#This Row],[Material cost per fixture]]*Table_PrescriptLights_Input[[#This Row],[Number of proposed fixtures]]+Table_PrescriptLights_Input[[#This Row],[Total labor cost]])</f>
        <v/>
      </c>
      <c r="Z11" s="67" t="str">
        <f>IFERROR(Table_PrescriptLights_Input[[#This Row],[Gross measure cost]]-Table_PrescriptLights_Input[[#This Row],[Estimated incentive]], "")</f>
        <v/>
      </c>
      <c r="AA11" s="69" t="str">
        <f t="shared" si="0"/>
        <v/>
      </c>
      <c r="AB11" s="69" t="str">
        <f>IF(ISNUMBER(Table_PrescriptLights_Input[[#This Row],[Detailed Fixture Calculation Wattage]]), "Detailed", "General")</f>
        <v>General</v>
      </c>
      <c r="AC11" s="53" t="e">
        <f>INDEX(Table_IntExt_Match[Measure Selection List], MATCH(Table_PrescriptLights_Input[[#This Row],[Interior or exterior?]], Table_IntExt_Match[Inetrior or Exterior], 0))</f>
        <v>#N/A</v>
      </c>
      <c r="AD11" s="53" t="e">
        <f>INDEX(Table_Prescript_Meas[Unit], MATCH(C11, Table_Prescript_Meas[Measure Number], 0))</f>
        <v>#N/A</v>
      </c>
      <c r="AE11" s="53" t="e">
        <f>INDEX(Table_Prescript_Meas[Lighting Type Selection List], MATCH(C11, Table_Prescript_Meas[Measure Number], 0))</f>
        <v>#N/A</v>
      </c>
      <c r="AF11" s="53" t="e">
        <f>INDEX(Table_Prescript_Meas[AOH Type], MATCH(Table_PrescriptLights_Input[[#This Row],[Measure number]], Table_Prescript_Meas[Measure Number],0))</f>
        <v>#N/A</v>
      </c>
      <c r="AG11"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1" s="53" t="str">
        <f>_xlfn.CONCAT(Table_PrescriptLights_Input[[#This Row],[Existing lighting type]],":",Table_PrescriptLights_Input[[#This Row],[Existing lamps per fixture]], ":",Table_PrescriptLights_Input[[#This Row],[Existing lamp wattage]])</f>
        <v>::</v>
      </c>
      <c r="AI11" s="53" t="e">
        <f>INDEX(Table_TRM_Fixtures[Fixture Code], MATCH(Table_PrescriptLights_Input[[#This Row],[Detailed Baseline Fixture Lookup]], Table_TRM_Fixtures[Detailed Prescriptive Baseline Fixture Lookup], 0))</f>
        <v>#N/A</v>
      </c>
      <c r="AJ11" s="53" t="e">
        <f>INDEX(Table_TRM_Fixtures[Fixture Wattage for Baseline Calculations],MATCH(Table_PrescriptLights_Input[[#This Row],[Detailed Baseline Fixture Lookup]], Table_TRM_Fixtures[Detailed Prescriptive Baseline Fixture Lookup],0))</f>
        <v>#N/A</v>
      </c>
      <c r="AK11" s="127" t="e">
        <f>INDEX(Table_Bldg_IEFD_IEFC[IEFE], MATCH( Input_HVACType,Table_Bldg_IEFD_IEFC[List_HVAC], 0))</f>
        <v>#N/A</v>
      </c>
      <c r="AL11" s="127" t="e">
        <f>INDEX( Table_Bldg_IEFD_IEFC[IEFE],MATCH( Input_HVACType, Table_Bldg_IEFD_IEFC[List_HVAC],0 ))</f>
        <v>#N/A</v>
      </c>
      <c r="AM11" s="127" t="e">
        <f>INDEX(Table_Control_PAF[PAF], MATCH(Table_PrescriptLights_Input[[#This Row],[Existing controls]], Table_Control_PAF[List_Control_Types], 0 ) )</f>
        <v>#N/A</v>
      </c>
      <c r="AN11"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1"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1"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1" s="53">
        <f>IFERROR(LEFT(Table_PrescriptLights_Input[[#This Row],[Existing lighting type]], FIND(",",Table_PrescriptLights_Input[[#This Row],[Existing lighting type]])-1), Table_PrescriptLights_Input[[#This Row],[Existing lighting type]])</f>
        <v>0</v>
      </c>
      <c r="AR11" s="53" t="str">
        <f>_xlfn.CONCAT(Table_PrescriptLights_Input[[#This Row],[Generalized Fixture Type]], ":",Table_PrescriptLights_Input[[#This Row],[Existing lamps per fixture]],":",Table_PrescriptLights_Input[[#This Row],[Existing lamp wattage]])</f>
        <v>0::</v>
      </c>
      <c r="AS11" s="53" t="e">
        <f>INDEX(Table_TRM_Fixtures[Fixture Code], MATCH(Table_PrescriptLights_Input[[#This Row],[Generalized Fixture Baseline Lookup]], Table_TRM_Fixtures[Generalized Baseline Fixture Lookup], 0))</f>
        <v>#N/A</v>
      </c>
      <c r="AT11"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1"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1"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1"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1"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1" s="53" t="e">
        <f>IFERROR(Table_PrescriptLights_Input[[#This Row],[Detailed Baseline Fixture Code]],Table_PrescriptLights_Input[[#This Row],[Generalized Baseline Fixture Code]])</f>
        <v>#N/A</v>
      </c>
      <c r="AZ11" s="3"/>
      <c r="BA11" s="3"/>
      <c r="BB11" s="3"/>
      <c r="BC11" s="3"/>
      <c r="BD11" s="3"/>
      <c r="BE11" s="3"/>
      <c r="BF11" s="3"/>
      <c r="BG11" s="3"/>
      <c r="BH11" s="3"/>
      <c r="BI11" s="3"/>
      <c r="BJ11" s="3"/>
      <c r="BK11" s="3"/>
      <c r="BL11" s="3"/>
      <c r="BM11" s="3"/>
      <c r="BN11" s="3"/>
      <c r="BO11" s="3"/>
      <c r="BP11" s="3"/>
      <c r="BQ11" s="3"/>
    </row>
    <row r="12" spans="1:69" x14ac:dyDescent="0.2">
      <c r="A12" s="3"/>
      <c r="B12" s="189">
        <v>8</v>
      </c>
      <c r="C12" s="61" t="str">
        <f>IFERROR(INDEX(Table_Prescript_Meas[Measure Number], MATCH(Table_PrescriptLights_Input[[#This Row],[Prescriptive lighting measure]], Table_Prescript_Meas[Measure Description], 0)), "")</f>
        <v/>
      </c>
      <c r="D12" s="192"/>
      <c r="E12" s="179"/>
      <c r="F12" s="179"/>
      <c r="G12" s="61" t="str">
        <f>IFERROR(INDEX(Table_Prescript_Meas[Unit], MATCH(Table_PrescriptLights_Input[[#This Row],[Measure number]], Table_Prescript_Meas[Measure Number], 0)), "")</f>
        <v/>
      </c>
      <c r="H12" s="180"/>
      <c r="I12" s="179"/>
      <c r="J12" s="179"/>
      <c r="K12" s="180"/>
      <c r="L12" s="179"/>
      <c r="M12" s="180"/>
      <c r="N12" s="180"/>
      <c r="O12" s="180"/>
      <c r="P12" s="180"/>
      <c r="Q12" s="180"/>
      <c r="R12" s="181"/>
      <c r="S12" s="181"/>
      <c r="T12"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2"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2" s="69" t="str">
        <f>IF(Table_PrescriptLights_Input[[#This Row],[Prescriptive lighting measure]]="","",Table_PrescriptLights_Input[[#This Row],[Calculated Energy Savings]])</f>
        <v/>
      </c>
      <c r="W12" s="73" t="str">
        <f>IF(Table_PrescriptLights_Input[[#This Row],[Prescriptive lighting measure]]="","",Table_PrescriptLights_Input[[#This Row],[Calculated Demand Savings]])</f>
        <v/>
      </c>
      <c r="X12" s="67" t="str">
        <f>IFERROR(Table_PrescriptLights_Input[[#This Row],[Energy savings (kWh)]]*Input_AvgkWhRate, "")</f>
        <v/>
      </c>
      <c r="Y12" s="67" t="str">
        <f>IF(Table_PrescriptLights_Input[[#This Row],[Prescriptive lighting measure]]="", "",Table_PrescriptLights_Input[[#This Row],[Material cost per fixture]]*Table_PrescriptLights_Input[[#This Row],[Number of proposed fixtures]]+Table_PrescriptLights_Input[[#This Row],[Total labor cost]])</f>
        <v/>
      </c>
      <c r="Z12" s="67" t="str">
        <f>IFERROR(Table_PrescriptLights_Input[[#This Row],[Gross measure cost]]-Table_PrescriptLights_Input[[#This Row],[Estimated incentive]], "")</f>
        <v/>
      </c>
      <c r="AA12" s="69" t="str">
        <f t="shared" si="0"/>
        <v/>
      </c>
      <c r="AB12" s="69" t="str">
        <f>IF(ISNUMBER(Table_PrescriptLights_Input[[#This Row],[Detailed Fixture Calculation Wattage]]), "Detailed", "General")</f>
        <v>General</v>
      </c>
      <c r="AC12" s="53" t="e">
        <f>INDEX(Table_IntExt_Match[Measure Selection List], MATCH(Table_PrescriptLights_Input[[#This Row],[Interior or exterior?]], Table_IntExt_Match[Inetrior or Exterior], 0))</f>
        <v>#N/A</v>
      </c>
      <c r="AD12" s="53" t="e">
        <f>INDEX(Table_Prescript_Meas[Unit], MATCH(C12, Table_Prescript_Meas[Measure Number], 0))</f>
        <v>#N/A</v>
      </c>
      <c r="AE12" s="53" t="e">
        <f>INDEX(Table_Prescript_Meas[Lighting Type Selection List], MATCH(C12, Table_Prescript_Meas[Measure Number], 0))</f>
        <v>#N/A</v>
      </c>
      <c r="AF12" s="53" t="e">
        <f>INDEX(Table_Prescript_Meas[AOH Type], MATCH(Table_PrescriptLights_Input[[#This Row],[Measure number]], Table_Prescript_Meas[Measure Number],0))</f>
        <v>#N/A</v>
      </c>
      <c r="AG12"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2" s="53" t="str">
        <f>_xlfn.CONCAT(Table_PrescriptLights_Input[[#This Row],[Existing lighting type]],":",Table_PrescriptLights_Input[[#This Row],[Existing lamps per fixture]], ":",Table_PrescriptLights_Input[[#This Row],[Existing lamp wattage]])</f>
        <v>::</v>
      </c>
      <c r="AI12" s="53" t="e">
        <f>INDEX(Table_TRM_Fixtures[Fixture Code], MATCH(Table_PrescriptLights_Input[[#This Row],[Detailed Baseline Fixture Lookup]], Table_TRM_Fixtures[Detailed Prescriptive Baseline Fixture Lookup], 0))</f>
        <v>#N/A</v>
      </c>
      <c r="AJ12" s="53" t="e">
        <f>INDEX(Table_TRM_Fixtures[Fixture Wattage for Baseline Calculations],MATCH(Table_PrescriptLights_Input[[#This Row],[Detailed Baseline Fixture Lookup]], Table_TRM_Fixtures[Detailed Prescriptive Baseline Fixture Lookup],0))</f>
        <v>#N/A</v>
      </c>
      <c r="AK12" s="127" t="e">
        <f>INDEX(Table_Bldg_IEFD_IEFC[IEFE], MATCH( Input_HVACType,Table_Bldg_IEFD_IEFC[List_HVAC], 0))</f>
        <v>#N/A</v>
      </c>
      <c r="AL12" s="127" t="e">
        <f>INDEX( Table_Bldg_IEFD_IEFC[IEFE],MATCH( Input_HVACType, Table_Bldg_IEFD_IEFC[List_HVAC],0 ))</f>
        <v>#N/A</v>
      </c>
      <c r="AM12" s="127" t="e">
        <f>INDEX(Table_Control_PAF[PAF], MATCH(Table_PrescriptLights_Input[[#This Row],[Existing controls]], Table_Control_PAF[List_Control_Types], 0 ) )</f>
        <v>#N/A</v>
      </c>
      <c r="AN12"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2"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2"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2" s="53">
        <f>IFERROR(LEFT(Table_PrescriptLights_Input[[#This Row],[Existing lighting type]], FIND(",",Table_PrescriptLights_Input[[#This Row],[Existing lighting type]])-1), Table_PrescriptLights_Input[[#This Row],[Existing lighting type]])</f>
        <v>0</v>
      </c>
      <c r="AR12" s="53" t="str">
        <f>_xlfn.CONCAT(Table_PrescriptLights_Input[[#This Row],[Generalized Fixture Type]], ":",Table_PrescriptLights_Input[[#This Row],[Existing lamps per fixture]],":",Table_PrescriptLights_Input[[#This Row],[Existing lamp wattage]])</f>
        <v>0::</v>
      </c>
      <c r="AS12" s="53" t="e">
        <f>INDEX(Table_TRM_Fixtures[Fixture Code], MATCH(Table_PrescriptLights_Input[[#This Row],[Generalized Fixture Baseline Lookup]], Table_TRM_Fixtures[Generalized Baseline Fixture Lookup], 0))</f>
        <v>#N/A</v>
      </c>
      <c r="AT12"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2"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2"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2"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2"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2" s="53" t="e">
        <f>IFERROR(Table_PrescriptLights_Input[[#This Row],[Detailed Baseline Fixture Code]],Table_PrescriptLights_Input[[#This Row],[Generalized Baseline Fixture Code]])</f>
        <v>#N/A</v>
      </c>
      <c r="AZ12" s="3"/>
      <c r="BA12" s="3"/>
      <c r="BB12" s="3"/>
      <c r="BC12" s="3"/>
      <c r="BD12" s="3"/>
      <c r="BE12" s="3"/>
      <c r="BF12" s="3"/>
      <c r="BG12" s="3"/>
      <c r="BH12" s="3"/>
      <c r="BI12" s="3"/>
      <c r="BJ12" s="3"/>
      <c r="BK12" s="3"/>
      <c r="BL12" s="3"/>
      <c r="BM12" s="3"/>
      <c r="BN12" s="3"/>
      <c r="BO12" s="3"/>
      <c r="BP12" s="3"/>
      <c r="BQ12" s="3"/>
    </row>
    <row r="13" spans="1:69" x14ac:dyDescent="0.2">
      <c r="A13" s="3"/>
      <c r="B13" s="189">
        <v>9</v>
      </c>
      <c r="C13" s="61" t="str">
        <f>IFERROR(INDEX(Table_Prescript_Meas[Measure Number], MATCH(Table_PrescriptLights_Input[[#This Row],[Prescriptive lighting measure]], Table_Prescript_Meas[Measure Description], 0)), "")</f>
        <v/>
      </c>
      <c r="D13" s="192"/>
      <c r="E13" s="179"/>
      <c r="F13" s="179"/>
      <c r="G13" s="61" t="str">
        <f>IFERROR(INDEX(Table_Prescript_Meas[Unit], MATCH(Table_PrescriptLights_Input[[#This Row],[Measure number]], Table_Prescript_Meas[Measure Number], 0)), "")</f>
        <v/>
      </c>
      <c r="H13" s="180"/>
      <c r="I13" s="179"/>
      <c r="J13" s="179"/>
      <c r="K13" s="180"/>
      <c r="L13" s="179"/>
      <c r="M13" s="180"/>
      <c r="N13" s="180"/>
      <c r="O13" s="180"/>
      <c r="P13" s="180"/>
      <c r="Q13" s="180"/>
      <c r="R13" s="181"/>
      <c r="S13" s="181"/>
      <c r="T13"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3"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3" s="69" t="str">
        <f>IF(Table_PrescriptLights_Input[[#This Row],[Prescriptive lighting measure]]="","",Table_PrescriptLights_Input[[#This Row],[Calculated Energy Savings]])</f>
        <v/>
      </c>
      <c r="W13" s="73" t="str">
        <f>IF(Table_PrescriptLights_Input[[#This Row],[Prescriptive lighting measure]]="","",Table_PrescriptLights_Input[[#This Row],[Calculated Demand Savings]])</f>
        <v/>
      </c>
      <c r="X13" s="67" t="str">
        <f>IFERROR(Table_PrescriptLights_Input[[#This Row],[Energy savings (kWh)]]*Input_AvgkWhRate, "")</f>
        <v/>
      </c>
      <c r="Y13" s="67" t="str">
        <f>IF(Table_PrescriptLights_Input[[#This Row],[Prescriptive lighting measure]]="", "",Table_PrescriptLights_Input[[#This Row],[Material cost per fixture]]*Table_PrescriptLights_Input[[#This Row],[Number of proposed fixtures]]+Table_PrescriptLights_Input[[#This Row],[Total labor cost]])</f>
        <v/>
      </c>
      <c r="Z13" s="67" t="str">
        <f>IFERROR(Table_PrescriptLights_Input[[#This Row],[Gross measure cost]]-Table_PrescriptLights_Input[[#This Row],[Estimated incentive]], "")</f>
        <v/>
      </c>
      <c r="AA13" s="69" t="str">
        <f t="shared" si="0"/>
        <v/>
      </c>
      <c r="AB13" s="69" t="str">
        <f>IF(ISNUMBER(Table_PrescriptLights_Input[[#This Row],[Detailed Fixture Calculation Wattage]]), "Detailed", "General")</f>
        <v>General</v>
      </c>
      <c r="AC13" s="53" t="e">
        <f>INDEX(Table_IntExt_Match[Measure Selection List], MATCH(Table_PrescriptLights_Input[[#This Row],[Interior or exterior?]], Table_IntExt_Match[Inetrior or Exterior], 0))</f>
        <v>#N/A</v>
      </c>
      <c r="AD13" s="53" t="e">
        <f>INDEX(Table_Prescript_Meas[Unit], MATCH(C13, Table_Prescript_Meas[Measure Number], 0))</f>
        <v>#N/A</v>
      </c>
      <c r="AE13" s="53" t="e">
        <f>INDEX(Table_Prescript_Meas[Lighting Type Selection List], MATCH(C13, Table_Prescript_Meas[Measure Number], 0))</f>
        <v>#N/A</v>
      </c>
      <c r="AF13" s="53" t="e">
        <f>INDEX(Table_Prescript_Meas[AOH Type], MATCH(Table_PrescriptLights_Input[[#This Row],[Measure number]], Table_Prescript_Meas[Measure Number],0))</f>
        <v>#N/A</v>
      </c>
      <c r="AG13"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3" s="53" t="str">
        <f>_xlfn.CONCAT(Table_PrescriptLights_Input[[#This Row],[Existing lighting type]],":",Table_PrescriptLights_Input[[#This Row],[Existing lamps per fixture]], ":",Table_PrescriptLights_Input[[#This Row],[Existing lamp wattage]])</f>
        <v>::</v>
      </c>
      <c r="AI13" s="53" t="e">
        <f>INDEX(Table_TRM_Fixtures[Fixture Code], MATCH(Table_PrescriptLights_Input[[#This Row],[Detailed Baseline Fixture Lookup]], Table_TRM_Fixtures[Detailed Prescriptive Baseline Fixture Lookup], 0))</f>
        <v>#N/A</v>
      </c>
      <c r="AJ13" s="53" t="e">
        <f>INDEX(Table_TRM_Fixtures[Fixture Wattage for Baseline Calculations],MATCH(Table_PrescriptLights_Input[[#This Row],[Detailed Baseline Fixture Lookup]], Table_TRM_Fixtures[Detailed Prescriptive Baseline Fixture Lookup],0))</f>
        <v>#N/A</v>
      </c>
      <c r="AK13" s="127" t="e">
        <f>INDEX(Table_Bldg_IEFD_IEFC[IEFE], MATCH( Input_HVACType,Table_Bldg_IEFD_IEFC[List_HVAC], 0))</f>
        <v>#N/A</v>
      </c>
      <c r="AL13" s="127" t="e">
        <f>INDEX( Table_Bldg_IEFD_IEFC[IEFE],MATCH( Input_HVACType, Table_Bldg_IEFD_IEFC[List_HVAC],0 ))</f>
        <v>#N/A</v>
      </c>
      <c r="AM13" s="127" t="e">
        <f>INDEX(Table_Control_PAF[PAF], MATCH(Table_PrescriptLights_Input[[#This Row],[Existing controls]], Table_Control_PAF[List_Control_Types], 0 ) )</f>
        <v>#N/A</v>
      </c>
      <c r="AN13"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3"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3"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3" s="53">
        <f>IFERROR(LEFT(Table_PrescriptLights_Input[[#This Row],[Existing lighting type]], FIND(",",Table_PrescriptLights_Input[[#This Row],[Existing lighting type]])-1), Table_PrescriptLights_Input[[#This Row],[Existing lighting type]])</f>
        <v>0</v>
      </c>
      <c r="AR13" s="53" t="str">
        <f>_xlfn.CONCAT(Table_PrescriptLights_Input[[#This Row],[Generalized Fixture Type]], ":",Table_PrescriptLights_Input[[#This Row],[Existing lamps per fixture]],":",Table_PrescriptLights_Input[[#This Row],[Existing lamp wattage]])</f>
        <v>0::</v>
      </c>
      <c r="AS13" s="53" t="e">
        <f>INDEX(Table_TRM_Fixtures[Fixture Code], MATCH(Table_PrescriptLights_Input[[#This Row],[Generalized Fixture Baseline Lookup]], Table_TRM_Fixtures[Generalized Baseline Fixture Lookup], 0))</f>
        <v>#N/A</v>
      </c>
      <c r="AT13"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3"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3"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3"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3"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3" s="53" t="e">
        <f>IFERROR(Table_PrescriptLights_Input[[#This Row],[Detailed Baseline Fixture Code]],Table_PrescriptLights_Input[[#This Row],[Generalized Baseline Fixture Code]])</f>
        <v>#N/A</v>
      </c>
      <c r="AZ13" s="3"/>
      <c r="BA13" s="3"/>
      <c r="BB13" s="3"/>
      <c r="BC13" s="3"/>
      <c r="BD13" s="3"/>
      <c r="BE13" s="3"/>
      <c r="BF13" s="3"/>
      <c r="BG13" s="3"/>
      <c r="BH13" s="3"/>
      <c r="BI13" s="3"/>
      <c r="BJ13" s="3"/>
      <c r="BK13" s="3"/>
      <c r="BL13" s="3"/>
      <c r="BM13" s="3"/>
      <c r="BN13" s="3"/>
      <c r="BO13" s="3"/>
      <c r="BP13" s="3"/>
      <c r="BQ13" s="3"/>
    </row>
    <row r="14" spans="1:69" x14ac:dyDescent="0.2">
      <c r="A14" s="3"/>
      <c r="B14" s="189">
        <v>10</v>
      </c>
      <c r="C14" s="61" t="str">
        <f>IFERROR(INDEX(Table_Prescript_Meas[Measure Number], MATCH(Table_PrescriptLights_Input[[#This Row],[Prescriptive lighting measure]], Table_Prescript_Meas[Measure Description], 0)), "")</f>
        <v/>
      </c>
      <c r="D14" s="192"/>
      <c r="E14" s="179"/>
      <c r="F14" s="179"/>
      <c r="G14" s="61" t="str">
        <f>IFERROR(INDEX(Table_Prescript_Meas[Unit], MATCH(Table_PrescriptLights_Input[[#This Row],[Measure number]], Table_Prescript_Meas[Measure Number], 0)), "")</f>
        <v/>
      </c>
      <c r="H14" s="180"/>
      <c r="I14" s="179"/>
      <c r="J14" s="179"/>
      <c r="K14" s="180"/>
      <c r="L14" s="179"/>
      <c r="M14" s="180"/>
      <c r="N14" s="180"/>
      <c r="O14" s="180"/>
      <c r="P14" s="180"/>
      <c r="Q14" s="180"/>
      <c r="R14" s="181"/>
      <c r="S14" s="181"/>
      <c r="T14"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4"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4" s="69" t="str">
        <f>IF(Table_PrescriptLights_Input[[#This Row],[Prescriptive lighting measure]]="","",Table_PrescriptLights_Input[[#This Row],[Calculated Energy Savings]])</f>
        <v/>
      </c>
      <c r="W14" s="73" t="str">
        <f>IF(Table_PrescriptLights_Input[[#This Row],[Prescriptive lighting measure]]="","",Table_PrescriptLights_Input[[#This Row],[Calculated Demand Savings]])</f>
        <v/>
      </c>
      <c r="X14" s="67" t="str">
        <f>IFERROR(Table_PrescriptLights_Input[[#This Row],[Energy savings (kWh)]]*Input_AvgkWhRate, "")</f>
        <v/>
      </c>
      <c r="Y14" s="67" t="str">
        <f>IF(Table_PrescriptLights_Input[[#This Row],[Prescriptive lighting measure]]="", "",Table_PrescriptLights_Input[[#This Row],[Material cost per fixture]]*Table_PrescriptLights_Input[[#This Row],[Number of proposed fixtures]]+Table_PrescriptLights_Input[[#This Row],[Total labor cost]])</f>
        <v/>
      </c>
      <c r="Z14" s="67" t="str">
        <f>IFERROR(Table_PrescriptLights_Input[[#This Row],[Gross measure cost]]-Table_PrescriptLights_Input[[#This Row],[Estimated incentive]], "")</f>
        <v/>
      </c>
      <c r="AA14" s="69" t="str">
        <f t="shared" si="0"/>
        <v/>
      </c>
      <c r="AB14" s="69" t="str">
        <f>IF(ISNUMBER(Table_PrescriptLights_Input[[#This Row],[Detailed Fixture Calculation Wattage]]), "Detailed", "General")</f>
        <v>General</v>
      </c>
      <c r="AC14" s="53" t="e">
        <f>INDEX(Table_IntExt_Match[Measure Selection List], MATCH(Table_PrescriptLights_Input[[#This Row],[Interior or exterior?]], Table_IntExt_Match[Inetrior or Exterior], 0))</f>
        <v>#N/A</v>
      </c>
      <c r="AD14" s="53" t="e">
        <f>INDEX(Table_Prescript_Meas[Unit], MATCH(C14, Table_Prescript_Meas[Measure Number], 0))</f>
        <v>#N/A</v>
      </c>
      <c r="AE14" s="53" t="e">
        <f>INDEX(Table_Prescript_Meas[Lighting Type Selection List], MATCH(C14, Table_Prescript_Meas[Measure Number], 0))</f>
        <v>#N/A</v>
      </c>
      <c r="AF14" s="53" t="e">
        <f>INDEX(Table_Prescript_Meas[AOH Type], MATCH(Table_PrescriptLights_Input[[#This Row],[Measure number]], Table_Prescript_Meas[Measure Number],0))</f>
        <v>#N/A</v>
      </c>
      <c r="AG14"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4" s="53" t="str">
        <f>_xlfn.CONCAT(Table_PrescriptLights_Input[[#This Row],[Existing lighting type]],":",Table_PrescriptLights_Input[[#This Row],[Existing lamps per fixture]], ":",Table_PrescriptLights_Input[[#This Row],[Existing lamp wattage]])</f>
        <v>::</v>
      </c>
      <c r="AI14" s="53" t="e">
        <f>INDEX(Table_TRM_Fixtures[Fixture Code], MATCH(Table_PrescriptLights_Input[[#This Row],[Detailed Baseline Fixture Lookup]], Table_TRM_Fixtures[Detailed Prescriptive Baseline Fixture Lookup], 0))</f>
        <v>#N/A</v>
      </c>
      <c r="AJ14" s="53" t="e">
        <f>INDEX(Table_TRM_Fixtures[Fixture Wattage for Baseline Calculations],MATCH(Table_PrescriptLights_Input[[#This Row],[Detailed Baseline Fixture Lookup]], Table_TRM_Fixtures[Detailed Prescriptive Baseline Fixture Lookup],0))</f>
        <v>#N/A</v>
      </c>
      <c r="AK14" s="127" t="e">
        <f>INDEX(Table_Bldg_IEFD_IEFC[IEFE], MATCH( Input_HVACType,Table_Bldg_IEFD_IEFC[List_HVAC], 0))</f>
        <v>#N/A</v>
      </c>
      <c r="AL14" s="127" t="e">
        <f>INDEX( Table_Bldg_IEFD_IEFC[IEFE],MATCH( Input_HVACType, Table_Bldg_IEFD_IEFC[List_HVAC],0 ))</f>
        <v>#N/A</v>
      </c>
      <c r="AM14" s="127" t="e">
        <f>INDEX(Table_Control_PAF[PAF], MATCH(Table_PrescriptLights_Input[[#This Row],[Existing controls]], Table_Control_PAF[List_Control_Types], 0 ) )</f>
        <v>#N/A</v>
      </c>
      <c r="AN14"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4"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4"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4" s="53">
        <f>IFERROR(LEFT(Table_PrescriptLights_Input[[#This Row],[Existing lighting type]], FIND(",",Table_PrescriptLights_Input[[#This Row],[Existing lighting type]])-1), Table_PrescriptLights_Input[[#This Row],[Existing lighting type]])</f>
        <v>0</v>
      </c>
      <c r="AR14" s="53" t="str">
        <f>_xlfn.CONCAT(Table_PrescriptLights_Input[[#This Row],[Generalized Fixture Type]], ":",Table_PrescriptLights_Input[[#This Row],[Existing lamps per fixture]],":",Table_PrescriptLights_Input[[#This Row],[Existing lamp wattage]])</f>
        <v>0::</v>
      </c>
      <c r="AS14" s="53" t="e">
        <f>INDEX(Table_TRM_Fixtures[Fixture Code], MATCH(Table_PrescriptLights_Input[[#This Row],[Generalized Fixture Baseline Lookup]], Table_TRM_Fixtures[Generalized Baseline Fixture Lookup], 0))</f>
        <v>#N/A</v>
      </c>
      <c r="AT14"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4"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4"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4"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4"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4" s="53" t="e">
        <f>IFERROR(Table_PrescriptLights_Input[[#This Row],[Detailed Baseline Fixture Code]],Table_PrescriptLights_Input[[#This Row],[Generalized Baseline Fixture Code]])</f>
        <v>#N/A</v>
      </c>
      <c r="AZ14" s="3"/>
      <c r="BA14" s="3"/>
      <c r="BB14" s="3"/>
      <c r="BC14" s="3"/>
      <c r="BD14" s="3"/>
      <c r="BE14" s="3"/>
      <c r="BF14" s="3"/>
      <c r="BG14" s="3"/>
      <c r="BH14" s="3"/>
      <c r="BI14" s="3"/>
      <c r="BJ14" s="3"/>
      <c r="BK14" s="3"/>
      <c r="BL14" s="3"/>
      <c r="BM14" s="3"/>
      <c r="BN14" s="3"/>
      <c r="BO14" s="3"/>
      <c r="BP14" s="3"/>
      <c r="BQ14" s="3"/>
    </row>
    <row r="15" spans="1:69" x14ac:dyDescent="0.2">
      <c r="A15" s="3"/>
      <c r="B15" s="189">
        <v>11</v>
      </c>
      <c r="C15" s="61" t="str">
        <f>IFERROR(INDEX(Table_Prescript_Meas[Measure Number], MATCH(Table_PrescriptLights_Input[[#This Row],[Prescriptive lighting measure]], Table_Prescript_Meas[Measure Description], 0)), "")</f>
        <v/>
      </c>
      <c r="D15" s="192"/>
      <c r="E15" s="179"/>
      <c r="F15" s="179"/>
      <c r="G15" s="61" t="str">
        <f>IFERROR(INDEX(Table_Prescript_Meas[Unit], MATCH(Table_PrescriptLights_Input[[#This Row],[Measure number]], Table_Prescript_Meas[Measure Number], 0)), "")</f>
        <v/>
      </c>
      <c r="H15" s="180"/>
      <c r="I15" s="179"/>
      <c r="J15" s="179"/>
      <c r="K15" s="180"/>
      <c r="L15" s="179"/>
      <c r="M15" s="180"/>
      <c r="N15" s="180"/>
      <c r="O15" s="180"/>
      <c r="P15" s="180"/>
      <c r="Q15" s="180"/>
      <c r="R15" s="181"/>
      <c r="S15" s="181"/>
      <c r="T15"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5"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5" s="69" t="str">
        <f>IF(Table_PrescriptLights_Input[[#This Row],[Prescriptive lighting measure]]="","",Table_PrescriptLights_Input[[#This Row],[Calculated Energy Savings]])</f>
        <v/>
      </c>
      <c r="W15" s="73" t="str">
        <f>IF(Table_PrescriptLights_Input[[#This Row],[Prescriptive lighting measure]]="","",Table_PrescriptLights_Input[[#This Row],[Calculated Demand Savings]])</f>
        <v/>
      </c>
      <c r="X15" s="67" t="str">
        <f>IFERROR(Table_PrescriptLights_Input[[#This Row],[Energy savings (kWh)]]*Input_AvgkWhRate, "")</f>
        <v/>
      </c>
      <c r="Y15" s="67" t="str">
        <f>IF(Table_PrescriptLights_Input[[#This Row],[Prescriptive lighting measure]]="", "",Table_PrescriptLights_Input[[#This Row],[Material cost per fixture]]*Table_PrescriptLights_Input[[#This Row],[Number of proposed fixtures]]+Table_PrescriptLights_Input[[#This Row],[Total labor cost]])</f>
        <v/>
      </c>
      <c r="Z15" s="67" t="str">
        <f>IFERROR(Table_PrescriptLights_Input[[#This Row],[Gross measure cost]]-Table_PrescriptLights_Input[[#This Row],[Estimated incentive]], "")</f>
        <v/>
      </c>
      <c r="AA15" s="69" t="str">
        <f t="shared" si="0"/>
        <v/>
      </c>
      <c r="AB15" s="69" t="str">
        <f>IF(ISNUMBER(Table_PrescriptLights_Input[[#This Row],[Detailed Fixture Calculation Wattage]]), "Detailed", "General")</f>
        <v>General</v>
      </c>
      <c r="AC15" s="53" t="e">
        <f>INDEX(Table_IntExt_Match[Measure Selection List], MATCH(Table_PrescriptLights_Input[[#This Row],[Interior or exterior?]], Table_IntExt_Match[Inetrior or Exterior], 0))</f>
        <v>#N/A</v>
      </c>
      <c r="AD15" s="53" t="e">
        <f>INDEX(Table_Prescript_Meas[Unit], MATCH(C15, Table_Prescript_Meas[Measure Number], 0))</f>
        <v>#N/A</v>
      </c>
      <c r="AE15" s="53" t="e">
        <f>INDEX(Table_Prescript_Meas[Lighting Type Selection List], MATCH(C15, Table_Prescript_Meas[Measure Number], 0))</f>
        <v>#N/A</v>
      </c>
      <c r="AF15" s="53" t="e">
        <f>INDEX(Table_Prescript_Meas[AOH Type], MATCH(Table_PrescriptLights_Input[[#This Row],[Measure number]], Table_Prescript_Meas[Measure Number],0))</f>
        <v>#N/A</v>
      </c>
      <c r="AG15"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5" s="53" t="str">
        <f>_xlfn.CONCAT(Table_PrescriptLights_Input[[#This Row],[Existing lighting type]],":",Table_PrescriptLights_Input[[#This Row],[Existing lamps per fixture]], ":",Table_PrescriptLights_Input[[#This Row],[Existing lamp wattage]])</f>
        <v>::</v>
      </c>
      <c r="AI15" s="53" t="e">
        <f>INDEX(Table_TRM_Fixtures[Fixture Code], MATCH(Table_PrescriptLights_Input[[#This Row],[Detailed Baseline Fixture Lookup]], Table_TRM_Fixtures[Detailed Prescriptive Baseline Fixture Lookup], 0))</f>
        <v>#N/A</v>
      </c>
      <c r="AJ15" s="53" t="e">
        <f>INDEX(Table_TRM_Fixtures[Fixture Wattage for Baseline Calculations],MATCH(Table_PrescriptLights_Input[[#This Row],[Detailed Baseline Fixture Lookup]], Table_TRM_Fixtures[Detailed Prescriptive Baseline Fixture Lookup],0))</f>
        <v>#N/A</v>
      </c>
      <c r="AK15" s="127" t="e">
        <f>INDEX(Table_Bldg_IEFD_IEFC[IEFE], MATCH( Input_HVACType,Table_Bldg_IEFD_IEFC[List_HVAC], 0))</f>
        <v>#N/A</v>
      </c>
      <c r="AL15" s="127" t="e">
        <f>INDEX( Table_Bldg_IEFD_IEFC[IEFE],MATCH( Input_HVACType, Table_Bldg_IEFD_IEFC[List_HVAC],0 ))</f>
        <v>#N/A</v>
      </c>
      <c r="AM15" s="127" t="e">
        <f>INDEX(Table_Control_PAF[PAF], MATCH(Table_PrescriptLights_Input[[#This Row],[Existing controls]], Table_Control_PAF[List_Control_Types], 0 ) )</f>
        <v>#N/A</v>
      </c>
      <c r="AN15"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5"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5"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5" s="53">
        <f>IFERROR(LEFT(Table_PrescriptLights_Input[[#This Row],[Existing lighting type]], FIND(",",Table_PrescriptLights_Input[[#This Row],[Existing lighting type]])-1), Table_PrescriptLights_Input[[#This Row],[Existing lighting type]])</f>
        <v>0</v>
      </c>
      <c r="AR15" s="53" t="str">
        <f>_xlfn.CONCAT(Table_PrescriptLights_Input[[#This Row],[Generalized Fixture Type]], ":",Table_PrescriptLights_Input[[#This Row],[Existing lamps per fixture]],":",Table_PrescriptLights_Input[[#This Row],[Existing lamp wattage]])</f>
        <v>0::</v>
      </c>
      <c r="AS15" s="53" t="e">
        <f>INDEX(Table_TRM_Fixtures[Fixture Code], MATCH(Table_PrescriptLights_Input[[#This Row],[Generalized Fixture Baseline Lookup]], Table_TRM_Fixtures[Generalized Baseline Fixture Lookup], 0))</f>
        <v>#N/A</v>
      </c>
      <c r="AT15"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5"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5"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5"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5"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5" s="53" t="e">
        <f>IFERROR(Table_PrescriptLights_Input[[#This Row],[Detailed Baseline Fixture Code]],Table_PrescriptLights_Input[[#This Row],[Generalized Baseline Fixture Code]])</f>
        <v>#N/A</v>
      </c>
      <c r="AZ15" s="3"/>
      <c r="BA15" s="3"/>
      <c r="BB15" s="3"/>
      <c r="BC15" s="3"/>
      <c r="BD15" s="3"/>
      <c r="BE15" s="3"/>
      <c r="BF15" s="3"/>
      <c r="BG15" s="3"/>
      <c r="BH15" s="3"/>
      <c r="BI15" s="3"/>
      <c r="BJ15" s="3"/>
      <c r="BK15" s="3"/>
      <c r="BL15" s="3"/>
      <c r="BM15" s="3"/>
      <c r="BN15" s="3"/>
      <c r="BO15" s="3"/>
      <c r="BP15" s="3"/>
      <c r="BQ15" s="3"/>
    </row>
    <row r="16" spans="1:69" x14ac:dyDescent="0.2">
      <c r="A16" s="3"/>
      <c r="B16" s="189">
        <v>12</v>
      </c>
      <c r="C16" s="61" t="str">
        <f>IFERROR(INDEX(Table_Prescript_Meas[Measure Number], MATCH(Table_PrescriptLights_Input[[#This Row],[Prescriptive lighting measure]], Table_Prescript_Meas[Measure Description], 0)), "")</f>
        <v/>
      </c>
      <c r="D16" s="192"/>
      <c r="E16" s="179"/>
      <c r="F16" s="179"/>
      <c r="G16" s="61" t="str">
        <f>IFERROR(INDEX(Table_Prescript_Meas[Unit], MATCH(Table_PrescriptLights_Input[[#This Row],[Measure number]], Table_Prescript_Meas[Measure Number], 0)), "")</f>
        <v/>
      </c>
      <c r="H16" s="180"/>
      <c r="I16" s="179"/>
      <c r="J16" s="179"/>
      <c r="K16" s="180"/>
      <c r="L16" s="179"/>
      <c r="M16" s="180"/>
      <c r="N16" s="180"/>
      <c r="O16" s="180"/>
      <c r="P16" s="180"/>
      <c r="Q16" s="180"/>
      <c r="R16" s="181"/>
      <c r="S16" s="181"/>
      <c r="T16"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6"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6" s="69" t="str">
        <f>IF(Table_PrescriptLights_Input[[#This Row],[Prescriptive lighting measure]]="","",Table_PrescriptLights_Input[[#This Row],[Calculated Energy Savings]])</f>
        <v/>
      </c>
      <c r="W16" s="73" t="str">
        <f>IF(Table_PrescriptLights_Input[[#This Row],[Prescriptive lighting measure]]="","",Table_PrescriptLights_Input[[#This Row],[Calculated Demand Savings]])</f>
        <v/>
      </c>
      <c r="X16" s="67" t="str">
        <f>IFERROR(Table_PrescriptLights_Input[[#This Row],[Energy savings (kWh)]]*Input_AvgkWhRate, "")</f>
        <v/>
      </c>
      <c r="Y16" s="67" t="str">
        <f>IF(Table_PrescriptLights_Input[[#This Row],[Prescriptive lighting measure]]="", "",Table_PrescriptLights_Input[[#This Row],[Material cost per fixture]]*Table_PrescriptLights_Input[[#This Row],[Number of proposed fixtures]]+Table_PrescriptLights_Input[[#This Row],[Total labor cost]])</f>
        <v/>
      </c>
      <c r="Z16" s="67" t="str">
        <f>IFERROR(Table_PrescriptLights_Input[[#This Row],[Gross measure cost]]-Table_PrescriptLights_Input[[#This Row],[Estimated incentive]], "")</f>
        <v/>
      </c>
      <c r="AA16" s="69" t="str">
        <f t="shared" si="0"/>
        <v/>
      </c>
      <c r="AB16" s="69" t="str">
        <f>IF(ISNUMBER(Table_PrescriptLights_Input[[#This Row],[Detailed Fixture Calculation Wattage]]), "Detailed", "General")</f>
        <v>General</v>
      </c>
      <c r="AC16" s="53" t="e">
        <f>INDEX(Table_IntExt_Match[Measure Selection List], MATCH(Table_PrescriptLights_Input[[#This Row],[Interior or exterior?]], Table_IntExt_Match[Inetrior or Exterior], 0))</f>
        <v>#N/A</v>
      </c>
      <c r="AD16" s="53" t="e">
        <f>INDEX(Table_Prescript_Meas[Unit], MATCH(C16, Table_Prescript_Meas[Measure Number], 0))</f>
        <v>#N/A</v>
      </c>
      <c r="AE16" s="53" t="e">
        <f>INDEX(Table_Prescript_Meas[Lighting Type Selection List], MATCH(C16, Table_Prescript_Meas[Measure Number], 0))</f>
        <v>#N/A</v>
      </c>
      <c r="AF16" s="53" t="e">
        <f>INDEX(Table_Prescript_Meas[AOH Type], MATCH(Table_PrescriptLights_Input[[#This Row],[Measure number]], Table_Prescript_Meas[Measure Number],0))</f>
        <v>#N/A</v>
      </c>
      <c r="AG16"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6" s="53" t="str">
        <f>_xlfn.CONCAT(Table_PrescriptLights_Input[[#This Row],[Existing lighting type]],":",Table_PrescriptLights_Input[[#This Row],[Existing lamps per fixture]], ":",Table_PrescriptLights_Input[[#This Row],[Existing lamp wattage]])</f>
        <v>::</v>
      </c>
      <c r="AI16" s="53" t="e">
        <f>INDEX(Table_TRM_Fixtures[Fixture Code], MATCH(Table_PrescriptLights_Input[[#This Row],[Detailed Baseline Fixture Lookup]], Table_TRM_Fixtures[Detailed Prescriptive Baseline Fixture Lookup], 0))</f>
        <v>#N/A</v>
      </c>
      <c r="AJ16" s="53" t="e">
        <f>INDEX(Table_TRM_Fixtures[Fixture Wattage for Baseline Calculations],MATCH(Table_PrescriptLights_Input[[#This Row],[Detailed Baseline Fixture Lookup]], Table_TRM_Fixtures[Detailed Prescriptive Baseline Fixture Lookup],0))</f>
        <v>#N/A</v>
      </c>
      <c r="AK16" s="127" t="e">
        <f>INDEX(Table_Bldg_IEFD_IEFC[IEFE], MATCH( Input_HVACType,Table_Bldg_IEFD_IEFC[List_HVAC], 0))</f>
        <v>#N/A</v>
      </c>
      <c r="AL16" s="127" t="e">
        <f>INDEX( Table_Bldg_IEFD_IEFC[IEFE],MATCH( Input_HVACType, Table_Bldg_IEFD_IEFC[List_HVAC],0 ))</f>
        <v>#N/A</v>
      </c>
      <c r="AM16" s="127" t="e">
        <f>INDEX(Table_Control_PAF[PAF], MATCH(Table_PrescriptLights_Input[[#This Row],[Existing controls]], Table_Control_PAF[List_Control_Types], 0 ) )</f>
        <v>#N/A</v>
      </c>
      <c r="AN16"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6"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6"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6" s="53">
        <f>IFERROR(LEFT(Table_PrescriptLights_Input[[#This Row],[Existing lighting type]], FIND(",",Table_PrescriptLights_Input[[#This Row],[Existing lighting type]])-1), Table_PrescriptLights_Input[[#This Row],[Existing lighting type]])</f>
        <v>0</v>
      </c>
      <c r="AR16" s="53" t="str">
        <f>_xlfn.CONCAT(Table_PrescriptLights_Input[[#This Row],[Generalized Fixture Type]], ":",Table_PrescriptLights_Input[[#This Row],[Existing lamps per fixture]],":",Table_PrescriptLights_Input[[#This Row],[Existing lamp wattage]])</f>
        <v>0::</v>
      </c>
      <c r="AS16" s="53" t="e">
        <f>INDEX(Table_TRM_Fixtures[Fixture Code], MATCH(Table_PrescriptLights_Input[[#This Row],[Generalized Fixture Baseline Lookup]], Table_TRM_Fixtures[Generalized Baseline Fixture Lookup], 0))</f>
        <v>#N/A</v>
      </c>
      <c r="AT16"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6"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6"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6"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6"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6" s="53" t="e">
        <f>IFERROR(Table_PrescriptLights_Input[[#This Row],[Detailed Baseline Fixture Code]],Table_PrescriptLights_Input[[#This Row],[Generalized Baseline Fixture Code]])</f>
        <v>#N/A</v>
      </c>
      <c r="AZ16" s="3"/>
      <c r="BA16" s="3"/>
      <c r="BB16" s="3"/>
      <c r="BC16" s="3"/>
      <c r="BD16" s="3"/>
      <c r="BE16" s="3"/>
      <c r="BF16" s="3"/>
      <c r="BG16" s="3"/>
      <c r="BH16" s="3"/>
      <c r="BI16" s="3"/>
      <c r="BJ16" s="3"/>
      <c r="BK16" s="3"/>
      <c r="BL16" s="3"/>
      <c r="BM16" s="3"/>
      <c r="BN16" s="3"/>
      <c r="BO16" s="3"/>
      <c r="BP16" s="3"/>
      <c r="BQ16" s="3"/>
    </row>
    <row r="17" spans="1:69" x14ac:dyDescent="0.2">
      <c r="A17" s="3"/>
      <c r="B17" s="189">
        <v>13</v>
      </c>
      <c r="C17" s="61" t="str">
        <f>IFERROR(INDEX(Table_Prescript_Meas[Measure Number], MATCH(Table_PrescriptLights_Input[[#This Row],[Prescriptive lighting measure]], Table_Prescript_Meas[Measure Description], 0)), "")</f>
        <v/>
      </c>
      <c r="D17" s="192"/>
      <c r="E17" s="179"/>
      <c r="F17" s="179"/>
      <c r="G17" s="61" t="str">
        <f>IFERROR(INDEX(Table_Prescript_Meas[Unit], MATCH(Table_PrescriptLights_Input[[#This Row],[Measure number]], Table_Prescript_Meas[Measure Number], 0)), "")</f>
        <v/>
      </c>
      <c r="H17" s="180"/>
      <c r="I17" s="179"/>
      <c r="J17" s="179"/>
      <c r="K17" s="180"/>
      <c r="L17" s="179"/>
      <c r="M17" s="180"/>
      <c r="N17" s="180"/>
      <c r="O17" s="180"/>
      <c r="P17" s="180"/>
      <c r="Q17" s="180"/>
      <c r="R17" s="181"/>
      <c r="S17" s="181"/>
      <c r="T17"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7"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7" s="69" t="str">
        <f>IF(Table_PrescriptLights_Input[[#This Row],[Prescriptive lighting measure]]="","",Table_PrescriptLights_Input[[#This Row],[Calculated Energy Savings]])</f>
        <v/>
      </c>
      <c r="W17" s="73" t="str">
        <f>IF(Table_PrescriptLights_Input[[#This Row],[Prescriptive lighting measure]]="","",Table_PrescriptLights_Input[[#This Row],[Calculated Demand Savings]])</f>
        <v/>
      </c>
      <c r="X17" s="67" t="str">
        <f>IFERROR(Table_PrescriptLights_Input[[#This Row],[Energy savings (kWh)]]*Input_AvgkWhRate, "")</f>
        <v/>
      </c>
      <c r="Y17" s="67" t="str">
        <f>IF(Table_PrescriptLights_Input[[#This Row],[Prescriptive lighting measure]]="", "",Table_PrescriptLights_Input[[#This Row],[Material cost per fixture]]*Table_PrescriptLights_Input[[#This Row],[Number of proposed fixtures]]+Table_PrescriptLights_Input[[#This Row],[Total labor cost]])</f>
        <v/>
      </c>
      <c r="Z17" s="67" t="str">
        <f>IFERROR(Table_PrescriptLights_Input[[#This Row],[Gross measure cost]]-Table_PrescriptLights_Input[[#This Row],[Estimated incentive]], "")</f>
        <v/>
      </c>
      <c r="AA17" s="69" t="str">
        <f t="shared" si="0"/>
        <v/>
      </c>
      <c r="AB17" s="69" t="str">
        <f>IF(ISNUMBER(Table_PrescriptLights_Input[[#This Row],[Detailed Fixture Calculation Wattage]]), "Detailed", "General")</f>
        <v>General</v>
      </c>
      <c r="AC17" s="53" t="e">
        <f>INDEX(Table_IntExt_Match[Measure Selection List], MATCH(Table_PrescriptLights_Input[[#This Row],[Interior or exterior?]], Table_IntExt_Match[Inetrior or Exterior], 0))</f>
        <v>#N/A</v>
      </c>
      <c r="AD17" s="53" t="e">
        <f>INDEX(Table_Prescript_Meas[Unit], MATCH(C17, Table_Prescript_Meas[Measure Number], 0))</f>
        <v>#N/A</v>
      </c>
      <c r="AE17" s="53" t="e">
        <f>INDEX(Table_Prescript_Meas[Lighting Type Selection List], MATCH(C17, Table_Prescript_Meas[Measure Number], 0))</f>
        <v>#N/A</v>
      </c>
      <c r="AF17" s="53" t="e">
        <f>INDEX(Table_Prescript_Meas[AOH Type], MATCH(Table_PrescriptLights_Input[[#This Row],[Measure number]], Table_Prescript_Meas[Measure Number],0))</f>
        <v>#N/A</v>
      </c>
      <c r="AG17"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7" s="53" t="str">
        <f>_xlfn.CONCAT(Table_PrescriptLights_Input[[#This Row],[Existing lighting type]],":",Table_PrescriptLights_Input[[#This Row],[Existing lamps per fixture]], ":",Table_PrescriptLights_Input[[#This Row],[Existing lamp wattage]])</f>
        <v>::</v>
      </c>
      <c r="AI17" s="53" t="e">
        <f>INDEX(Table_TRM_Fixtures[Fixture Code], MATCH(Table_PrescriptLights_Input[[#This Row],[Detailed Baseline Fixture Lookup]], Table_TRM_Fixtures[Detailed Prescriptive Baseline Fixture Lookup], 0))</f>
        <v>#N/A</v>
      </c>
      <c r="AJ17" s="53" t="e">
        <f>INDEX(Table_TRM_Fixtures[Fixture Wattage for Baseline Calculations],MATCH(Table_PrescriptLights_Input[[#This Row],[Detailed Baseline Fixture Lookup]], Table_TRM_Fixtures[Detailed Prescriptive Baseline Fixture Lookup],0))</f>
        <v>#N/A</v>
      </c>
      <c r="AK17" s="127" t="e">
        <f>INDEX(Table_Bldg_IEFD_IEFC[IEFE], MATCH( Input_HVACType,Table_Bldg_IEFD_IEFC[List_HVAC], 0))</f>
        <v>#N/A</v>
      </c>
      <c r="AL17" s="127" t="e">
        <f>INDEX( Table_Bldg_IEFD_IEFC[IEFE],MATCH( Input_HVACType, Table_Bldg_IEFD_IEFC[List_HVAC],0 ))</f>
        <v>#N/A</v>
      </c>
      <c r="AM17" s="127" t="e">
        <f>INDEX(Table_Control_PAF[PAF], MATCH(Table_PrescriptLights_Input[[#This Row],[Existing controls]], Table_Control_PAF[List_Control_Types], 0 ) )</f>
        <v>#N/A</v>
      </c>
      <c r="AN17"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7"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7"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7" s="53">
        <f>IFERROR(LEFT(Table_PrescriptLights_Input[[#This Row],[Existing lighting type]], FIND(",",Table_PrescriptLights_Input[[#This Row],[Existing lighting type]])-1), Table_PrescriptLights_Input[[#This Row],[Existing lighting type]])</f>
        <v>0</v>
      </c>
      <c r="AR17" s="53" t="str">
        <f>_xlfn.CONCAT(Table_PrescriptLights_Input[[#This Row],[Generalized Fixture Type]], ":",Table_PrescriptLights_Input[[#This Row],[Existing lamps per fixture]],":",Table_PrescriptLights_Input[[#This Row],[Existing lamp wattage]])</f>
        <v>0::</v>
      </c>
      <c r="AS17" s="53" t="e">
        <f>INDEX(Table_TRM_Fixtures[Fixture Code], MATCH(Table_PrescriptLights_Input[[#This Row],[Generalized Fixture Baseline Lookup]], Table_TRM_Fixtures[Generalized Baseline Fixture Lookup], 0))</f>
        <v>#N/A</v>
      </c>
      <c r="AT17"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7"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7"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7"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7"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7" s="53" t="e">
        <f>IFERROR(Table_PrescriptLights_Input[[#This Row],[Detailed Baseline Fixture Code]],Table_PrescriptLights_Input[[#This Row],[Generalized Baseline Fixture Code]])</f>
        <v>#N/A</v>
      </c>
      <c r="AZ17" s="3"/>
      <c r="BA17" s="3"/>
      <c r="BB17" s="3"/>
      <c r="BC17" s="3"/>
      <c r="BD17" s="3"/>
      <c r="BE17" s="3"/>
      <c r="BF17" s="3"/>
      <c r="BG17" s="3"/>
      <c r="BH17" s="3"/>
      <c r="BI17" s="3"/>
      <c r="BJ17" s="3"/>
      <c r="BK17" s="3"/>
      <c r="BL17" s="3"/>
      <c r="BM17" s="3"/>
      <c r="BN17" s="3"/>
      <c r="BO17" s="3"/>
      <c r="BP17" s="3"/>
      <c r="BQ17" s="3"/>
    </row>
    <row r="18" spans="1:69" x14ac:dyDescent="0.2">
      <c r="A18" s="3"/>
      <c r="B18" s="189">
        <v>14</v>
      </c>
      <c r="C18" s="61" t="str">
        <f>IFERROR(INDEX(Table_Prescript_Meas[Measure Number], MATCH(Table_PrescriptLights_Input[[#This Row],[Prescriptive lighting measure]], Table_Prescript_Meas[Measure Description], 0)), "")</f>
        <v/>
      </c>
      <c r="D18" s="192"/>
      <c r="E18" s="179"/>
      <c r="F18" s="179"/>
      <c r="G18" s="61" t="str">
        <f>IFERROR(INDEX(Table_Prescript_Meas[Unit], MATCH(Table_PrescriptLights_Input[[#This Row],[Measure number]], Table_Prescript_Meas[Measure Number], 0)), "")</f>
        <v/>
      </c>
      <c r="H18" s="180"/>
      <c r="I18" s="179"/>
      <c r="J18" s="179"/>
      <c r="K18" s="180"/>
      <c r="L18" s="179"/>
      <c r="M18" s="180"/>
      <c r="N18" s="180"/>
      <c r="O18" s="180"/>
      <c r="P18" s="180"/>
      <c r="Q18" s="180"/>
      <c r="R18" s="181"/>
      <c r="S18" s="181"/>
      <c r="T18"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8"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8" s="69" t="str">
        <f>IF(Table_PrescriptLights_Input[[#This Row],[Prescriptive lighting measure]]="","",Table_PrescriptLights_Input[[#This Row],[Calculated Energy Savings]])</f>
        <v/>
      </c>
      <c r="W18" s="73" t="str">
        <f>IF(Table_PrescriptLights_Input[[#This Row],[Prescriptive lighting measure]]="","",Table_PrescriptLights_Input[[#This Row],[Calculated Demand Savings]])</f>
        <v/>
      </c>
      <c r="X18" s="67" t="str">
        <f>IFERROR(Table_PrescriptLights_Input[[#This Row],[Energy savings (kWh)]]*Input_AvgkWhRate, "")</f>
        <v/>
      </c>
      <c r="Y18" s="67" t="str">
        <f>IF(Table_PrescriptLights_Input[[#This Row],[Prescriptive lighting measure]]="", "",Table_PrescriptLights_Input[[#This Row],[Material cost per fixture]]*Table_PrescriptLights_Input[[#This Row],[Number of proposed fixtures]]+Table_PrescriptLights_Input[[#This Row],[Total labor cost]])</f>
        <v/>
      </c>
      <c r="Z18" s="67" t="str">
        <f>IFERROR(Table_PrescriptLights_Input[[#This Row],[Gross measure cost]]-Table_PrescriptLights_Input[[#This Row],[Estimated incentive]], "")</f>
        <v/>
      </c>
      <c r="AA18" s="69" t="str">
        <f t="shared" si="0"/>
        <v/>
      </c>
      <c r="AB18" s="69" t="str">
        <f>IF(ISNUMBER(Table_PrescriptLights_Input[[#This Row],[Detailed Fixture Calculation Wattage]]), "Detailed", "General")</f>
        <v>General</v>
      </c>
      <c r="AC18" s="53" t="e">
        <f>INDEX(Table_IntExt_Match[Measure Selection List], MATCH(Table_PrescriptLights_Input[[#This Row],[Interior or exterior?]], Table_IntExt_Match[Inetrior or Exterior], 0))</f>
        <v>#N/A</v>
      </c>
      <c r="AD18" s="53" t="e">
        <f>INDEX(Table_Prescript_Meas[Unit], MATCH(C18, Table_Prescript_Meas[Measure Number], 0))</f>
        <v>#N/A</v>
      </c>
      <c r="AE18" s="53" t="e">
        <f>INDEX(Table_Prescript_Meas[Lighting Type Selection List], MATCH(C18, Table_Prescript_Meas[Measure Number], 0))</f>
        <v>#N/A</v>
      </c>
      <c r="AF18" s="53" t="e">
        <f>INDEX(Table_Prescript_Meas[AOH Type], MATCH(Table_PrescriptLights_Input[[#This Row],[Measure number]], Table_Prescript_Meas[Measure Number],0))</f>
        <v>#N/A</v>
      </c>
      <c r="AG18"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8" s="53" t="str">
        <f>_xlfn.CONCAT(Table_PrescriptLights_Input[[#This Row],[Existing lighting type]],":",Table_PrescriptLights_Input[[#This Row],[Existing lamps per fixture]], ":",Table_PrescriptLights_Input[[#This Row],[Existing lamp wattage]])</f>
        <v>::</v>
      </c>
      <c r="AI18" s="53" t="e">
        <f>INDEX(Table_TRM_Fixtures[Fixture Code], MATCH(Table_PrescriptLights_Input[[#This Row],[Detailed Baseline Fixture Lookup]], Table_TRM_Fixtures[Detailed Prescriptive Baseline Fixture Lookup], 0))</f>
        <v>#N/A</v>
      </c>
      <c r="AJ18" s="53" t="e">
        <f>INDEX(Table_TRM_Fixtures[Fixture Wattage for Baseline Calculations],MATCH(Table_PrescriptLights_Input[[#This Row],[Detailed Baseline Fixture Lookup]], Table_TRM_Fixtures[Detailed Prescriptive Baseline Fixture Lookup],0))</f>
        <v>#N/A</v>
      </c>
      <c r="AK18" s="127" t="e">
        <f>INDEX(Table_Bldg_IEFD_IEFC[IEFE], MATCH( Input_HVACType,Table_Bldg_IEFD_IEFC[List_HVAC], 0))</f>
        <v>#N/A</v>
      </c>
      <c r="AL18" s="127" t="e">
        <f>INDEX( Table_Bldg_IEFD_IEFC[IEFE],MATCH( Input_HVACType, Table_Bldg_IEFD_IEFC[List_HVAC],0 ))</f>
        <v>#N/A</v>
      </c>
      <c r="AM18" s="127" t="e">
        <f>INDEX(Table_Control_PAF[PAF], MATCH(Table_PrescriptLights_Input[[#This Row],[Existing controls]], Table_Control_PAF[List_Control_Types], 0 ) )</f>
        <v>#N/A</v>
      </c>
      <c r="AN18"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8"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8"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8" s="53">
        <f>IFERROR(LEFT(Table_PrescriptLights_Input[[#This Row],[Existing lighting type]], FIND(",",Table_PrescriptLights_Input[[#This Row],[Existing lighting type]])-1), Table_PrescriptLights_Input[[#This Row],[Existing lighting type]])</f>
        <v>0</v>
      </c>
      <c r="AR18" s="53" t="str">
        <f>_xlfn.CONCAT(Table_PrescriptLights_Input[[#This Row],[Generalized Fixture Type]], ":",Table_PrescriptLights_Input[[#This Row],[Existing lamps per fixture]],":",Table_PrescriptLights_Input[[#This Row],[Existing lamp wattage]])</f>
        <v>0::</v>
      </c>
      <c r="AS18" s="53" t="e">
        <f>INDEX(Table_TRM_Fixtures[Fixture Code], MATCH(Table_PrescriptLights_Input[[#This Row],[Generalized Fixture Baseline Lookup]], Table_TRM_Fixtures[Generalized Baseline Fixture Lookup], 0))</f>
        <v>#N/A</v>
      </c>
      <c r="AT18"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8"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8"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8"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8"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8" s="53" t="e">
        <f>IFERROR(Table_PrescriptLights_Input[[#This Row],[Detailed Baseline Fixture Code]],Table_PrescriptLights_Input[[#This Row],[Generalized Baseline Fixture Code]])</f>
        <v>#N/A</v>
      </c>
      <c r="AZ18" s="3"/>
      <c r="BA18" s="3"/>
      <c r="BB18" s="3"/>
      <c r="BC18" s="3"/>
      <c r="BD18" s="3"/>
      <c r="BE18" s="3"/>
      <c r="BF18" s="3"/>
      <c r="BG18" s="3"/>
      <c r="BH18" s="3"/>
      <c r="BI18" s="3"/>
      <c r="BJ18" s="3"/>
      <c r="BK18" s="3"/>
      <c r="BL18" s="3"/>
      <c r="BM18" s="3"/>
      <c r="BN18" s="3"/>
      <c r="BO18" s="3"/>
      <c r="BP18" s="3"/>
      <c r="BQ18" s="3"/>
    </row>
    <row r="19" spans="1:69" x14ac:dyDescent="0.2">
      <c r="A19" s="3"/>
      <c r="B19" s="189">
        <v>15</v>
      </c>
      <c r="C19" s="61" t="str">
        <f>IFERROR(INDEX(Table_Prescript_Meas[Measure Number], MATCH(Table_PrescriptLights_Input[[#This Row],[Prescriptive lighting measure]], Table_Prescript_Meas[Measure Description], 0)), "")</f>
        <v/>
      </c>
      <c r="D19" s="192"/>
      <c r="E19" s="179"/>
      <c r="F19" s="179"/>
      <c r="G19" s="61" t="str">
        <f>IFERROR(INDEX(Table_Prescript_Meas[Unit], MATCH(Table_PrescriptLights_Input[[#This Row],[Measure number]], Table_Prescript_Meas[Measure Number], 0)), "")</f>
        <v/>
      </c>
      <c r="H19" s="180"/>
      <c r="I19" s="179"/>
      <c r="J19" s="179"/>
      <c r="K19" s="180"/>
      <c r="L19" s="179"/>
      <c r="M19" s="180"/>
      <c r="N19" s="180"/>
      <c r="O19" s="180"/>
      <c r="P19" s="180"/>
      <c r="Q19" s="180"/>
      <c r="R19" s="181"/>
      <c r="S19" s="181"/>
      <c r="T19"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9"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9" s="69" t="str">
        <f>IF(Table_PrescriptLights_Input[[#This Row],[Prescriptive lighting measure]]="","",Table_PrescriptLights_Input[[#This Row],[Calculated Energy Savings]])</f>
        <v/>
      </c>
      <c r="W19" s="73" t="str">
        <f>IF(Table_PrescriptLights_Input[[#This Row],[Prescriptive lighting measure]]="","",Table_PrescriptLights_Input[[#This Row],[Calculated Demand Savings]])</f>
        <v/>
      </c>
      <c r="X19" s="67" t="str">
        <f>IFERROR(Table_PrescriptLights_Input[[#This Row],[Energy savings (kWh)]]*Input_AvgkWhRate, "")</f>
        <v/>
      </c>
      <c r="Y19" s="67" t="str">
        <f>IF(Table_PrescriptLights_Input[[#This Row],[Prescriptive lighting measure]]="", "",Table_PrescriptLights_Input[[#This Row],[Material cost per fixture]]*Table_PrescriptLights_Input[[#This Row],[Number of proposed fixtures]]+Table_PrescriptLights_Input[[#This Row],[Total labor cost]])</f>
        <v/>
      </c>
      <c r="Z19" s="67" t="str">
        <f>IFERROR(Table_PrescriptLights_Input[[#This Row],[Gross measure cost]]-Table_PrescriptLights_Input[[#This Row],[Estimated incentive]], "")</f>
        <v/>
      </c>
      <c r="AA19" s="69" t="str">
        <f t="shared" si="0"/>
        <v/>
      </c>
      <c r="AB19" s="69" t="str">
        <f>IF(ISNUMBER(Table_PrescriptLights_Input[[#This Row],[Detailed Fixture Calculation Wattage]]), "Detailed", "General")</f>
        <v>General</v>
      </c>
      <c r="AC19" s="53" t="e">
        <f>INDEX(Table_IntExt_Match[Measure Selection List], MATCH(Table_PrescriptLights_Input[[#This Row],[Interior or exterior?]], Table_IntExt_Match[Inetrior or Exterior], 0))</f>
        <v>#N/A</v>
      </c>
      <c r="AD19" s="53" t="e">
        <f>INDEX(Table_Prescript_Meas[Unit], MATCH(C19, Table_Prescript_Meas[Measure Number], 0))</f>
        <v>#N/A</v>
      </c>
      <c r="AE19" s="53" t="e">
        <f>INDEX(Table_Prescript_Meas[Lighting Type Selection List], MATCH(C19, Table_Prescript_Meas[Measure Number], 0))</f>
        <v>#N/A</v>
      </c>
      <c r="AF19" s="53" t="e">
        <f>INDEX(Table_Prescript_Meas[AOH Type], MATCH(Table_PrescriptLights_Input[[#This Row],[Measure number]], Table_Prescript_Meas[Measure Number],0))</f>
        <v>#N/A</v>
      </c>
      <c r="AG19"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9" s="53" t="str">
        <f>_xlfn.CONCAT(Table_PrescriptLights_Input[[#This Row],[Existing lighting type]],":",Table_PrescriptLights_Input[[#This Row],[Existing lamps per fixture]], ":",Table_PrescriptLights_Input[[#This Row],[Existing lamp wattage]])</f>
        <v>::</v>
      </c>
      <c r="AI19" s="53" t="e">
        <f>INDEX(Table_TRM_Fixtures[Fixture Code], MATCH(Table_PrescriptLights_Input[[#This Row],[Detailed Baseline Fixture Lookup]], Table_TRM_Fixtures[Detailed Prescriptive Baseline Fixture Lookup], 0))</f>
        <v>#N/A</v>
      </c>
      <c r="AJ19" s="53" t="e">
        <f>INDEX(Table_TRM_Fixtures[Fixture Wattage for Baseline Calculations],MATCH(Table_PrescriptLights_Input[[#This Row],[Detailed Baseline Fixture Lookup]], Table_TRM_Fixtures[Detailed Prescriptive Baseline Fixture Lookup],0))</f>
        <v>#N/A</v>
      </c>
      <c r="AK19" s="127" t="e">
        <f>INDEX(Table_Bldg_IEFD_IEFC[IEFE], MATCH( Input_HVACType,Table_Bldg_IEFD_IEFC[List_HVAC], 0))</f>
        <v>#N/A</v>
      </c>
      <c r="AL19" s="127" t="e">
        <f>INDEX( Table_Bldg_IEFD_IEFC[IEFE],MATCH( Input_HVACType, Table_Bldg_IEFD_IEFC[List_HVAC],0 ))</f>
        <v>#N/A</v>
      </c>
      <c r="AM19" s="127" t="e">
        <f>INDEX(Table_Control_PAF[PAF], MATCH(Table_PrescriptLights_Input[[#This Row],[Existing controls]], Table_Control_PAF[List_Control_Types], 0 ) )</f>
        <v>#N/A</v>
      </c>
      <c r="AN19"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9"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9"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9" s="53">
        <f>IFERROR(LEFT(Table_PrescriptLights_Input[[#This Row],[Existing lighting type]], FIND(",",Table_PrescriptLights_Input[[#This Row],[Existing lighting type]])-1), Table_PrescriptLights_Input[[#This Row],[Existing lighting type]])</f>
        <v>0</v>
      </c>
      <c r="AR19" s="53" t="str">
        <f>_xlfn.CONCAT(Table_PrescriptLights_Input[[#This Row],[Generalized Fixture Type]], ":",Table_PrescriptLights_Input[[#This Row],[Existing lamps per fixture]],":",Table_PrescriptLights_Input[[#This Row],[Existing lamp wattage]])</f>
        <v>0::</v>
      </c>
      <c r="AS19" s="53" t="e">
        <f>INDEX(Table_TRM_Fixtures[Fixture Code], MATCH(Table_PrescriptLights_Input[[#This Row],[Generalized Fixture Baseline Lookup]], Table_TRM_Fixtures[Generalized Baseline Fixture Lookup], 0))</f>
        <v>#N/A</v>
      </c>
      <c r="AT19"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9"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9"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9"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9"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9" s="53" t="e">
        <f>IFERROR(Table_PrescriptLights_Input[[#This Row],[Detailed Baseline Fixture Code]],Table_PrescriptLights_Input[[#This Row],[Generalized Baseline Fixture Code]])</f>
        <v>#N/A</v>
      </c>
      <c r="AZ19" s="3"/>
      <c r="BA19" s="3"/>
      <c r="BB19" s="3"/>
      <c r="BC19" s="3"/>
      <c r="BD19" s="3"/>
      <c r="BE19" s="3"/>
      <c r="BF19" s="3"/>
      <c r="BG19" s="3"/>
      <c r="BH19" s="3"/>
      <c r="BI19" s="3"/>
      <c r="BJ19" s="3"/>
      <c r="BK19" s="3"/>
      <c r="BL19" s="3"/>
      <c r="BM19" s="3"/>
      <c r="BN19" s="3"/>
      <c r="BO19" s="3"/>
      <c r="BP19" s="3"/>
      <c r="BQ19" s="3"/>
    </row>
    <row r="20" spans="1:69" x14ac:dyDescent="0.2">
      <c r="A20" s="3"/>
      <c r="B20" s="189">
        <v>16</v>
      </c>
      <c r="C20" s="61" t="str">
        <f>IFERROR(INDEX(Table_Prescript_Meas[Measure Number], MATCH(Table_PrescriptLights_Input[[#This Row],[Prescriptive lighting measure]], Table_Prescript_Meas[Measure Description], 0)), "")</f>
        <v/>
      </c>
      <c r="D20" s="192"/>
      <c r="E20" s="179"/>
      <c r="F20" s="179"/>
      <c r="G20" s="61" t="str">
        <f>IFERROR(INDEX(Table_Prescript_Meas[Unit], MATCH(Table_PrescriptLights_Input[[#This Row],[Measure number]], Table_Prescript_Meas[Measure Number], 0)), "")</f>
        <v/>
      </c>
      <c r="H20" s="180"/>
      <c r="I20" s="179"/>
      <c r="J20" s="179"/>
      <c r="K20" s="180"/>
      <c r="L20" s="179"/>
      <c r="M20" s="180"/>
      <c r="N20" s="180"/>
      <c r="O20" s="180"/>
      <c r="P20" s="180"/>
      <c r="Q20" s="180"/>
      <c r="R20" s="181"/>
      <c r="S20" s="181"/>
      <c r="T20"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20"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20" s="69" t="str">
        <f>IF(Table_PrescriptLights_Input[[#This Row],[Prescriptive lighting measure]]="","",Table_PrescriptLights_Input[[#This Row],[Calculated Energy Savings]])</f>
        <v/>
      </c>
      <c r="W20" s="73" t="str">
        <f>IF(Table_PrescriptLights_Input[[#This Row],[Prescriptive lighting measure]]="","",Table_PrescriptLights_Input[[#This Row],[Calculated Demand Savings]])</f>
        <v/>
      </c>
      <c r="X20" s="67" t="str">
        <f>IFERROR(Table_PrescriptLights_Input[[#This Row],[Energy savings (kWh)]]*Input_AvgkWhRate, "")</f>
        <v/>
      </c>
      <c r="Y20" s="67" t="str">
        <f>IF(Table_PrescriptLights_Input[[#This Row],[Prescriptive lighting measure]]="", "",Table_PrescriptLights_Input[[#This Row],[Material cost per fixture]]*Table_PrescriptLights_Input[[#This Row],[Number of proposed fixtures]]+Table_PrescriptLights_Input[[#This Row],[Total labor cost]])</f>
        <v/>
      </c>
      <c r="Z20" s="67" t="str">
        <f>IFERROR(Table_PrescriptLights_Input[[#This Row],[Gross measure cost]]-Table_PrescriptLights_Input[[#This Row],[Estimated incentive]], "")</f>
        <v/>
      </c>
      <c r="AA20" s="69" t="str">
        <f t="shared" si="0"/>
        <v/>
      </c>
      <c r="AB20" s="69" t="str">
        <f>IF(ISNUMBER(Table_PrescriptLights_Input[[#This Row],[Detailed Fixture Calculation Wattage]]), "Detailed", "General")</f>
        <v>General</v>
      </c>
      <c r="AC20" s="53" t="e">
        <f>INDEX(Table_IntExt_Match[Measure Selection List], MATCH(Table_PrescriptLights_Input[[#This Row],[Interior or exterior?]], Table_IntExt_Match[Inetrior or Exterior], 0))</f>
        <v>#N/A</v>
      </c>
      <c r="AD20" s="53" t="e">
        <f>INDEX(Table_Prescript_Meas[Unit], MATCH(C20, Table_Prescript_Meas[Measure Number], 0))</f>
        <v>#N/A</v>
      </c>
      <c r="AE20" s="53" t="e">
        <f>INDEX(Table_Prescript_Meas[Lighting Type Selection List], MATCH(C20, Table_Prescript_Meas[Measure Number], 0))</f>
        <v>#N/A</v>
      </c>
      <c r="AF20" s="53" t="e">
        <f>INDEX(Table_Prescript_Meas[AOH Type], MATCH(Table_PrescriptLights_Input[[#This Row],[Measure number]], Table_Prescript_Meas[Measure Number],0))</f>
        <v>#N/A</v>
      </c>
      <c r="AG20"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20" s="53" t="str">
        <f>_xlfn.CONCAT(Table_PrescriptLights_Input[[#This Row],[Existing lighting type]],":",Table_PrescriptLights_Input[[#This Row],[Existing lamps per fixture]], ":",Table_PrescriptLights_Input[[#This Row],[Existing lamp wattage]])</f>
        <v>::</v>
      </c>
      <c r="AI20" s="53" t="e">
        <f>INDEX(Table_TRM_Fixtures[Fixture Code], MATCH(Table_PrescriptLights_Input[[#This Row],[Detailed Baseline Fixture Lookup]], Table_TRM_Fixtures[Detailed Prescriptive Baseline Fixture Lookup], 0))</f>
        <v>#N/A</v>
      </c>
      <c r="AJ20" s="53" t="e">
        <f>INDEX(Table_TRM_Fixtures[Fixture Wattage for Baseline Calculations],MATCH(Table_PrescriptLights_Input[[#This Row],[Detailed Baseline Fixture Lookup]], Table_TRM_Fixtures[Detailed Prescriptive Baseline Fixture Lookup],0))</f>
        <v>#N/A</v>
      </c>
      <c r="AK20" s="127" t="e">
        <f>INDEX(Table_Bldg_IEFD_IEFC[IEFE], MATCH( Input_HVACType,Table_Bldg_IEFD_IEFC[List_HVAC], 0))</f>
        <v>#N/A</v>
      </c>
      <c r="AL20" s="127" t="e">
        <f>INDEX( Table_Bldg_IEFD_IEFC[IEFE],MATCH( Input_HVACType, Table_Bldg_IEFD_IEFC[List_HVAC],0 ))</f>
        <v>#N/A</v>
      </c>
      <c r="AM20" s="127" t="e">
        <f>INDEX(Table_Control_PAF[PAF], MATCH(Table_PrescriptLights_Input[[#This Row],[Existing controls]], Table_Control_PAF[List_Control_Types], 0 ) )</f>
        <v>#N/A</v>
      </c>
      <c r="AN20"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20"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20"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20" s="53">
        <f>IFERROR(LEFT(Table_PrescriptLights_Input[[#This Row],[Existing lighting type]], FIND(",",Table_PrescriptLights_Input[[#This Row],[Existing lighting type]])-1), Table_PrescriptLights_Input[[#This Row],[Existing lighting type]])</f>
        <v>0</v>
      </c>
      <c r="AR20" s="53" t="str">
        <f>_xlfn.CONCAT(Table_PrescriptLights_Input[[#This Row],[Generalized Fixture Type]], ":",Table_PrescriptLights_Input[[#This Row],[Existing lamps per fixture]],":",Table_PrescriptLights_Input[[#This Row],[Existing lamp wattage]])</f>
        <v>0::</v>
      </c>
      <c r="AS20" s="53" t="e">
        <f>INDEX(Table_TRM_Fixtures[Fixture Code], MATCH(Table_PrescriptLights_Input[[#This Row],[Generalized Fixture Baseline Lookup]], Table_TRM_Fixtures[Generalized Baseline Fixture Lookup], 0))</f>
        <v>#N/A</v>
      </c>
      <c r="AT20"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20"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20"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20"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20"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20" s="53" t="e">
        <f>IFERROR(Table_PrescriptLights_Input[[#This Row],[Detailed Baseline Fixture Code]],Table_PrescriptLights_Input[[#This Row],[Generalized Baseline Fixture Code]])</f>
        <v>#N/A</v>
      </c>
      <c r="AZ20" s="3"/>
      <c r="BA20" s="3"/>
      <c r="BB20" s="3"/>
      <c r="BC20" s="3"/>
      <c r="BD20" s="3"/>
      <c r="BE20" s="3"/>
      <c r="BF20" s="3"/>
      <c r="BG20" s="3"/>
      <c r="BH20" s="3"/>
      <c r="BI20" s="3"/>
      <c r="BJ20" s="3"/>
      <c r="BK20" s="3"/>
      <c r="BL20" s="3"/>
      <c r="BM20" s="3"/>
      <c r="BN20" s="3"/>
      <c r="BO20" s="3"/>
      <c r="BP20" s="3"/>
      <c r="BQ20" s="3"/>
    </row>
    <row r="21" spans="1:69" x14ac:dyDescent="0.2">
      <c r="A21" s="3"/>
      <c r="B21" s="189">
        <v>17</v>
      </c>
      <c r="C21" s="61" t="str">
        <f>IFERROR(INDEX(Table_Prescript_Meas[Measure Number], MATCH(Table_PrescriptLights_Input[[#This Row],[Prescriptive lighting measure]], Table_Prescript_Meas[Measure Description], 0)), "")</f>
        <v/>
      </c>
      <c r="D21" s="192"/>
      <c r="E21" s="179"/>
      <c r="F21" s="179"/>
      <c r="G21" s="61" t="str">
        <f>IFERROR(INDEX(Table_Prescript_Meas[Unit], MATCH(Table_PrescriptLights_Input[[#This Row],[Measure number]], Table_Prescript_Meas[Measure Number], 0)), "")</f>
        <v/>
      </c>
      <c r="H21" s="180"/>
      <c r="I21" s="179"/>
      <c r="J21" s="179"/>
      <c r="K21" s="180"/>
      <c r="L21" s="179"/>
      <c r="M21" s="180"/>
      <c r="N21" s="180"/>
      <c r="O21" s="180"/>
      <c r="P21" s="180"/>
      <c r="Q21" s="180"/>
      <c r="R21" s="181"/>
      <c r="S21" s="181"/>
      <c r="T21"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21"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21" s="69" t="str">
        <f>IF(Table_PrescriptLights_Input[[#This Row],[Prescriptive lighting measure]]="","",Table_PrescriptLights_Input[[#This Row],[Calculated Energy Savings]])</f>
        <v/>
      </c>
      <c r="W21" s="73" t="str">
        <f>IF(Table_PrescriptLights_Input[[#This Row],[Prescriptive lighting measure]]="","",Table_PrescriptLights_Input[[#This Row],[Calculated Demand Savings]])</f>
        <v/>
      </c>
      <c r="X21" s="67" t="str">
        <f>IFERROR(Table_PrescriptLights_Input[[#This Row],[Energy savings (kWh)]]*Input_AvgkWhRate, "")</f>
        <v/>
      </c>
      <c r="Y21" s="67" t="str">
        <f>IF(Table_PrescriptLights_Input[[#This Row],[Prescriptive lighting measure]]="", "",Table_PrescriptLights_Input[[#This Row],[Material cost per fixture]]*Table_PrescriptLights_Input[[#This Row],[Number of proposed fixtures]]+Table_PrescriptLights_Input[[#This Row],[Total labor cost]])</f>
        <v/>
      </c>
      <c r="Z21" s="67" t="str">
        <f>IFERROR(Table_PrescriptLights_Input[[#This Row],[Gross measure cost]]-Table_PrescriptLights_Input[[#This Row],[Estimated incentive]], "")</f>
        <v/>
      </c>
      <c r="AA21" s="69" t="str">
        <f t="shared" si="0"/>
        <v/>
      </c>
      <c r="AB21" s="69" t="str">
        <f>IF(ISNUMBER(Table_PrescriptLights_Input[[#This Row],[Detailed Fixture Calculation Wattage]]), "Detailed", "General")</f>
        <v>General</v>
      </c>
      <c r="AC21" s="53" t="e">
        <f>INDEX(Table_IntExt_Match[Measure Selection List], MATCH(Table_PrescriptLights_Input[[#This Row],[Interior or exterior?]], Table_IntExt_Match[Inetrior or Exterior], 0))</f>
        <v>#N/A</v>
      </c>
      <c r="AD21" s="53" t="e">
        <f>INDEX(Table_Prescript_Meas[Unit], MATCH(C21, Table_Prescript_Meas[Measure Number], 0))</f>
        <v>#N/A</v>
      </c>
      <c r="AE21" s="53" t="e">
        <f>INDEX(Table_Prescript_Meas[Lighting Type Selection List], MATCH(C21, Table_Prescript_Meas[Measure Number], 0))</f>
        <v>#N/A</v>
      </c>
      <c r="AF21" s="53" t="e">
        <f>INDEX(Table_Prescript_Meas[AOH Type], MATCH(Table_PrescriptLights_Input[[#This Row],[Measure number]], Table_Prescript_Meas[Measure Number],0))</f>
        <v>#N/A</v>
      </c>
      <c r="AG21"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21" s="53" t="str">
        <f>_xlfn.CONCAT(Table_PrescriptLights_Input[[#This Row],[Existing lighting type]],":",Table_PrescriptLights_Input[[#This Row],[Existing lamps per fixture]], ":",Table_PrescriptLights_Input[[#This Row],[Existing lamp wattage]])</f>
        <v>::</v>
      </c>
      <c r="AI21" s="53" t="e">
        <f>INDEX(Table_TRM_Fixtures[Fixture Code], MATCH(Table_PrescriptLights_Input[[#This Row],[Detailed Baseline Fixture Lookup]], Table_TRM_Fixtures[Detailed Prescriptive Baseline Fixture Lookup], 0))</f>
        <v>#N/A</v>
      </c>
      <c r="AJ21" s="53" t="e">
        <f>INDEX(Table_TRM_Fixtures[Fixture Wattage for Baseline Calculations],MATCH(Table_PrescriptLights_Input[[#This Row],[Detailed Baseline Fixture Lookup]], Table_TRM_Fixtures[Detailed Prescriptive Baseline Fixture Lookup],0))</f>
        <v>#N/A</v>
      </c>
      <c r="AK21" s="127" t="e">
        <f>INDEX(Table_Bldg_IEFD_IEFC[IEFE], MATCH( Input_HVACType,Table_Bldg_IEFD_IEFC[List_HVAC], 0))</f>
        <v>#N/A</v>
      </c>
      <c r="AL21" s="127" t="e">
        <f>INDEX( Table_Bldg_IEFD_IEFC[IEFE],MATCH( Input_HVACType, Table_Bldg_IEFD_IEFC[List_HVAC],0 ))</f>
        <v>#N/A</v>
      </c>
      <c r="AM21" s="127" t="e">
        <f>INDEX(Table_Control_PAF[PAF], MATCH(Table_PrescriptLights_Input[[#This Row],[Existing controls]], Table_Control_PAF[List_Control_Types], 0 ) )</f>
        <v>#N/A</v>
      </c>
      <c r="AN21"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21"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21"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21" s="53">
        <f>IFERROR(LEFT(Table_PrescriptLights_Input[[#This Row],[Existing lighting type]], FIND(",",Table_PrescriptLights_Input[[#This Row],[Existing lighting type]])-1), Table_PrescriptLights_Input[[#This Row],[Existing lighting type]])</f>
        <v>0</v>
      </c>
      <c r="AR21" s="53" t="str">
        <f>_xlfn.CONCAT(Table_PrescriptLights_Input[[#This Row],[Generalized Fixture Type]], ":",Table_PrescriptLights_Input[[#This Row],[Existing lamps per fixture]],":",Table_PrescriptLights_Input[[#This Row],[Existing lamp wattage]])</f>
        <v>0::</v>
      </c>
      <c r="AS21" s="53" t="e">
        <f>INDEX(Table_TRM_Fixtures[Fixture Code], MATCH(Table_PrescriptLights_Input[[#This Row],[Generalized Fixture Baseline Lookup]], Table_TRM_Fixtures[Generalized Baseline Fixture Lookup], 0))</f>
        <v>#N/A</v>
      </c>
      <c r="AT21"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21"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21"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21"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21"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21" s="53" t="e">
        <f>IFERROR(Table_PrescriptLights_Input[[#This Row],[Detailed Baseline Fixture Code]],Table_PrescriptLights_Input[[#This Row],[Generalized Baseline Fixture Code]])</f>
        <v>#N/A</v>
      </c>
      <c r="AZ21" s="3"/>
      <c r="BA21" s="3"/>
      <c r="BB21" s="3"/>
      <c r="BC21" s="3"/>
      <c r="BD21" s="3"/>
      <c r="BE21" s="3"/>
      <c r="BF21" s="3"/>
      <c r="BG21" s="3"/>
      <c r="BH21" s="3"/>
      <c r="BI21" s="3"/>
      <c r="BJ21" s="3"/>
      <c r="BK21" s="3"/>
      <c r="BL21" s="3"/>
      <c r="BM21" s="3"/>
      <c r="BN21" s="3"/>
      <c r="BO21" s="3"/>
      <c r="BP21" s="3"/>
      <c r="BQ21" s="3"/>
    </row>
    <row r="22" spans="1:69" x14ac:dyDescent="0.2">
      <c r="A22" s="3"/>
      <c r="B22" s="189">
        <v>18</v>
      </c>
      <c r="C22" s="61" t="str">
        <f>IFERROR(INDEX(Table_Prescript_Meas[Measure Number], MATCH(Table_PrescriptLights_Input[[#This Row],[Prescriptive lighting measure]], Table_Prescript_Meas[Measure Description], 0)), "")</f>
        <v/>
      </c>
      <c r="D22" s="192"/>
      <c r="E22" s="179"/>
      <c r="F22" s="179"/>
      <c r="G22" s="61" t="str">
        <f>IFERROR(INDEX(Table_Prescript_Meas[Unit], MATCH(Table_PrescriptLights_Input[[#This Row],[Measure number]], Table_Prescript_Meas[Measure Number], 0)), "")</f>
        <v/>
      </c>
      <c r="H22" s="180"/>
      <c r="I22" s="179"/>
      <c r="J22" s="179"/>
      <c r="K22" s="180"/>
      <c r="L22" s="179"/>
      <c r="M22" s="180"/>
      <c r="N22" s="180"/>
      <c r="O22" s="180"/>
      <c r="P22" s="180"/>
      <c r="Q22" s="180"/>
      <c r="R22" s="181"/>
      <c r="S22" s="181"/>
      <c r="T22"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22"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22" s="69" t="str">
        <f>IF(Table_PrescriptLights_Input[[#This Row],[Prescriptive lighting measure]]="","",Table_PrescriptLights_Input[[#This Row],[Calculated Energy Savings]])</f>
        <v/>
      </c>
      <c r="W22" s="73" t="str">
        <f>IF(Table_PrescriptLights_Input[[#This Row],[Prescriptive lighting measure]]="","",Table_PrescriptLights_Input[[#This Row],[Calculated Demand Savings]])</f>
        <v/>
      </c>
      <c r="X22" s="67" t="str">
        <f>IFERROR(Table_PrescriptLights_Input[[#This Row],[Energy savings (kWh)]]*Input_AvgkWhRate, "")</f>
        <v/>
      </c>
      <c r="Y22" s="67" t="str">
        <f>IF(Table_PrescriptLights_Input[[#This Row],[Prescriptive lighting measure]]="", "",Table_PrescriptLights_Input[[#This Row],[Material cost per fixture]]*Table_PrescriptLights_Input[[#This Row],[Number of proposed fixtures]]+Table_PrescriptLights_Input[[#This Row],[Total labor cost]])</f>
        <v/>
      </c>
      <c r="Z22" s="67" t="str">
        <f>IFERROR(Table_PrescriptLights_Input[[#This Row],[Gross measure cost]]-Table_PrescriptLights_Input[[#This Row],[Estimated incentive]], "")</f>
        <v/>
      </c>
      <c r="AA22" s="69" t="str">
        <f t="shared" si="0"/>
        <v/>
      </c>
      <c r="AB22" s="69" t="str">
        <f>IF(ISNUMBER(Table_PrescriptLights_Input[[#This Row],[Detailed Fixture Calculation Wattage]]), "Detailed", "General")</f>
        <v>General</v>
      </c>
      <c r="AC22" s="53" t="e">
        <f>INDEX(Table_IntExt_Match[Measure Selection List], MATCH(Table_PrescriptLights_Input[[#This Row],[Interior or exterior?]], Table_IntExt_Match[Inetrior or Exterior], 0))</f>
        <v>#N/A</v>
      </c>
      <c r="AD22" s="53" t="e">
        <f>INDEX(Table_Prescript_Meas[Unit], MATCH(C22, Table_Prescript_Meas[Measure Number], 0))</f>
        <v>#N/A</v>
      </c>
      <c r="AE22" s="53" t="e">
        <f>INDEX(Table_Prescript_Meas[Lighting Type Selection List], MATCH(C22, Table_Prescript_Meas[Measure Number], 0))</f>
        <v>#N/A</v>
      </c>
      <c r="AF22" s="53" t="e">
        <f>INDEX(Table_Prescript_Meas[AOH Type], MATCH(Table_PrescriptLights_Input[[#This Row],[Measure number]], Table_Prescript_Meas[Measure Number],0))</f>
        <v>#N/A</v>
      </c>
      <c r="AG22"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22" s="53" t="str">
        <f>_xlfn.CONCAT(Table_PrescriptLights_Input[[#This Row],[Existing lighting type]],":",Table_PrescriptLights_Input[[#This Row],[Existing lamps per fixture]], ":",Table_PrescriptLights_Input[[#This Row],[Existing lamp wattage]])</f>
        <v>::</v>
      </c>
      <c r="AI22" s="53" t="e">
        <f>INDEX(Table_TRM_Fixtures[Fixture Code], MATCH(Table_PrescriptLights_Input[[#This Row],[Detailed Baseline Fixture Lookup]], Table_TRM_Fixtures[Detailed Prescriptive Baseline Fixture Lookup], 0))</f>
        <v>#N/A</v>
      </c>
      <c r="AJ22" s="53" t="e">
        <f>INDEX(Table_TRM_Fixtures[Fixture Wattage for Baseline Calculations],MATCH(Table_PrescriptLights_Input[[#This Row],[Detailed Baseline Fixture Lookup]], Table_TRM_Fixtures[Detailed Prescriptive Baseline Fixture Lookup],0))</f>
        <v>#N/A</v>
      </c>
      <c r="AK22" s="127" t="e">
        <f>INDEX(Table_Bldg_IEFD_IEFC[IEFE], MATCH( Input_HVACType,Table_Bldg_IEFD_IEFC[List_HVAC], 0))</f>
        <v>#N/A</v>
      </c>
      <c r="AL22" s="127" t="e">
        <f>INDEX( Table_Bldg_IEFD_IEFC[IEFE],MATCH( Input_HVACType, Table_Bldg_IEFD_IEFC[List_HVAC],0 ))</f>
        <v>#N/A</v>
      </c>
      <c r="AM22" s="127" t="e">
        <f>INDEX(Table_Control_PAF[PAF], MATCH(Table_PrescriptLights_Input[[#This Row],[Existing controls]], Table_Control_PAF[List_Control_Types], 0 ) )</f>
        <v>#N/A</v>
      </c>
      <c r="AN22"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22"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22"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22" s="53">
        <f>IFERROR(LEFT(Table_PrescriptLights_Input[[#This Row],[Existing lighting type]], FIND(",",Table_PrescriptLights_Input[[#This Row],[Existing lighting type]])-1), Table_PrescriptLights_Input[[#This Row],[Existing lighting type]])</f>
        <v>0</v>
      </c>
      <c r="AR22" s="53" t="str">
        <f>_xlfn.CONCAT(Table_PrescriptLights_Input[[#This Row],[Generalized Fixture Type]], ":",Table_PrescriptLights_Input[[#This Row],[Existing lamps per fixture]],":",Table_PrescriptLights_Input[[#This Row],[Existing lamp wattage]])</f>
        <v>0::</v>
      </c>
      <c r="AS22" s="53" t="e">
        <f>INDEX(Table_TRM_Fixtures[Fixture Code], MATCH(Table_PrescriptLights_Input[[#This Row],[Generalized Fixture Baseline Lookup]], Table_TRM_Fixtures[Generalized Baseline Fixture Lookup], 0))</f>
        <v>#N/A</v>
      </c>
      <c r="AT22"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22"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22"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22"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22"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22" s="53" t="e">
        <f>IFERROR(Table_PrescriptLights_Input[[#This Row],[Detailed Baseline Fixture Code]],Table_PrescriptLights_Input[[#This Row],[Generalized Baseline Fixture Code]])</f>
        <v>#N/A</v>
      </c>
      <c r="AZ22" s="3"/>
      <c r="BA22" s="3"/>
      <c r="BB22" s="3"/>
      <c r="BC22" s="3"/>
      <c r="BD22" s="3"/>
      <c r="BE22" s="3"/>
      <c r="BF22" s="3"/>
      <c r="BG22" s="3"/>
      <c r="BH22" s="3"/>
      <c r="BI22" s="3"/>
      <c r="BJ22" s="3"/>
      <c r="BK22" s="3"/>
      <c r="BL22" s="3"/>
      <c r="BM22" s="3"/>
      <c r="BN22" s="3"/>
      <c r="BO22" s="3"/>
      <c r="BP22" s="3"/>
      <c r="BQ22" s="3"/>
    </row>
    <row r="23" spans="1:69" x14ac:dyDescent="0.2">
      <c r="A23" s="3"/>
      <c r="B23" s="189">
        <v>19</v>
      </c>
      <c r="C23" s="61" t="str">
        <f>IFERROR(INDEX(Table_Prescript_Meas[Measure Number], MATCH(Table_PrescriptLights_Input[[#This Row],[Prescriptive lighting measure]], Table_Prescript_Meas[Measure Description], 0)), "")</f>
        <v/>
      </c>
      <c r="D23" s="192"/>
      <c r="E23" s="179"/>
      <c r="F23" s="179"/>
      <c r="G23" s="61" t="str">
        <f>IFERROR(INDEX(Table_Prescript_Meas[Unit], MATCH(Table_PrescriptLights_Input[[#This Row],[Measure number]], Table_Prescript_Meas[Measure Number], 0)), "")</f>
        <v/>
      </c>
      <c r="H23" s="180"/>
      <c r="I23" s="179"/>
      <c r="J23" s="179"/>
      <c r="K23" s="180"/>
      <c r="L23" s="179"/>
      <c r="M23" s="180"/>
      <c r="N23" s="180"/>
      <c r="O23" s="180"/>
      <c r="P23" s="180"/>
      <c r="Q23" s="180"/>
      <c r="R23" s="181"/>
      <c r="S23" s="181"/>
      <c r="T23"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23"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23" s="69" t="str">
        <f>IF(Table_PrescriptLights_Input[[#This Row],[Prescriptive lighting measure]]="","",Table_PrescriptLights_Input[[#This Row],[Calculated Energy Savings]])</f>
        <v/>
      </c>
      <c r="W23" s="73" t="str">
        <f>IF(Table_PrescriptLights_Input[[#This Row],[Prescriptive lighting measure]]="","",Table_PrescriptLights_Input[[#This Row],[Calculated Demand Savings]])</f>
        <v/>
      </c>
      <c r="X23" s="67" t="str">
        <f>IFERROR(Table_PrescriptLights_Input[[#This Row],[Energy savings (kWh)]]*Input_AvgkWhRate, "")</f>
        <v/>
      </c>
      <c r="Y23" s="67" t="str">
        <f>IF(Table_PrescriptLights_Input[[#This Row],[Prescriptive lighting measure]]="", "",Table_PrescriptLights_Input[[#This Row],[Material cost per fixture]]*Table_PrescriptLights_Input[[#This Row],[Number of proposed fixtures]]+Table_PrescriptLights_Input[[#This Row],[Total labor cost]])</f>
        <v/>
      </c>
      <c r="Z23" s="67" t="str">
        <f>IFERROR(Table_PrescriptLights_Input[[#This Row],[Gross measure cost]]-Table_PrescriptLights_Input[[#This Row],[Estimated incentive]], "")</f>
        <v/>
      </c>
      <c r="AA23" s="69" t="str">
        <f t="shared" si="0"/>
        <v/>
      </c>
      <c r="AB23" s="69" t="str">
        <f>IF(ISNUMBER(Table_PrescriptLights_Input[[#This Row],[Detailed Fixture Calculation Wattage]]), "Detailed", "General")</f>
        <v>General</v>
      </c>
      <c r="AC23" s="53" t="e">
        <f>INDEX(Table_IntExt_Match[Measure Selection List], MATCH(Table_PrescriptLights_Input[[#This Row],[Interior or exterior?]], Table_IntExt_Match[Inetrior or Exterior], 0))</f>
        <v>#N/A</v>
      </c>
      <c r="AD23" s="53" t="e">
        <f>INDEX(Table_Prescript_Meas[Unit], MATCH(C23, Table_Prescript_Meas[Measure Number], 0))</f>
        <v>#N/A</v>
      </c>
      <c r="AE23" s="53" t="e">
        <f>INDEX(Table_Prescript_Meas[Lighting Type Selection List], MATCH(C23, Table_Prescript_Meas[Measure Number], 0))</f>
        <v>#N/A</v>
      </c>
      <c r="AF23" s="53" t="e">
        <f>INDEX(Table_Prescript_Meas[AOH Type], MATCH(Table_PrescriptLights_Input[[#This Row],[Measure number]], Table_Prescript_Meas[Measure Number],0))</f>
        <v>#N/A</v>
      </c>
      <c r="AG23"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23" s="53" t="str">
        <f>_xlfn.CONCAT(Table_PrescriptLights_Input[[#This Row],[Existing lighting type]],":",Table_PrescriptLights_Input[[#This Row],[Existing lamps per fixture]], ":",Table_PrescriptLights_Input[[#This Row],[Existing lamp wattage]])</f>
        <v>::</v>
      </c>
      <c r="AI23" s="53" t="e">
        <f>INDEX(Table_TRM_Fixtures[Fixture Code], MATCH(Table_PrescriptLights_Input[[#This Row],[Detailed Baseline Fixture Lookup]], Table_TRM_Fixtures[Detailed Prescriptive Baseline Fixture Lookup], 0))</f>
        <v>#N/A</v>
      </c>
      <c r="AJ23" s="53" t="e">
        <f>INDEX(Table_TRM_Fixtures[Fixture Wattage for Baseline Calculations],MATCH(Table_PrescriptLights_Input[[#This Row],[Detailed Baseline Fixture Lookup]], Table_TRM_Fixtures[Detailed Prescriptive Baseline Fixture Lookup],0))</f>
        <v>#N/A</v>
      </c>
      <c r="AK23" s="127" t="e">
        <f>INDEX(Table_Bldg_IEFD_IEFC[IEFE], MATCH( Input_HVACType,Table_Bldg_IEFD_IEFC[List_HVAC], 0))</f>
        <v>#N/A</v>
      </c>
      <c r="AL23" s="127" t="e">
        <f>INDEX( Table_Bldg_IEFD_IEFC[IEFE],MATCH( Input_HVACType, Table_Bldg_IEFD_IEFC[List_HVAC],0 ))</f>
        <v>#N/A</v>
      </c>
      <c r="AM23" s="127" t="e">
        <f>INDEX(Table_Control_PAF[PAF], MATCH(Table_PrescriptLights_Input[[#This Row],[Existing controls]], Table_Control_PAF[List_Control_Types], 0 ) )</f>
        <v>#N/A</v>
      </c>
      <c r="AN23"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23"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23"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23" s="53">
        <f>IFERROR(LEFT(Table_PrescriptLights_Input[[#This Row],[Existing lighting type]], FIND(",",Table_PrescriptLights_Input[[#This Row],[Existing lighting type]])-1), Table_PrescriptLights_Input[[#This Row],[Existing lighting type]])</f>
        <v>0</v>
      </c>
      <c r="AR23" s="53" t="str">
        <f>_xlfn.CONCAT(Table_PrescriptLights_Input[[#This Row],[Generalized Fixture Type]], ":",Table_PrescriptLights_Input[[#This Row],[Existing lamps per fixture]],":",Table_PrescriptLights_Input[[#This Row],[Existing lamp wattage]])</f>
        <v>0::</v>
      </c>
      <c r="AS23" s="53" t="e">
        <f>INDEX(Table_TRM_Fixtures[Fixture Code], MATCH(Table_PrescriptLights_Input[[#This Row],[Generalized Fixture Baseline Lookup]], Table_TRM_Fixtures[Generalized Baseline Fixture Lookup], 0))</f>
        <v>#N/A</v>
      </c>
      <c r="AT23"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23"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23"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23"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23"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23" s="53" t="e">
        <f>IFERROR(Table_PrescriptLights_Input[[#This Row],[Detailed Baseline Fixture Code]],Table_PrescriptLights_Input[[#This Row],[Generalized Baseline Fixture Code]])</f>
        <v>#N/A</v>
      </c>
      <c r="AZ23" s="3"/>
      <c r="BA23" s="3"/>
      <c r="BB23" s="3"/>
      <c r="BC23" s="3"/>
      <c r="BD23" s="3"/>
      <c r="BE23" s="3"/>
      <c r="BF23" s="3"/>
      <c r="BG23" s="3"/>
      <c r="BH23" s="3"/>
      <c r="BI23" s="3"/>
      <c r="BJ23" s="3"/>
      <c r="BK23" s="3"/>
      <c r="BL23" s="3"/>
      <c r="BM23" s="3"/>
      <c r="BN23" s="3"/>
      <c r="BO23" s="3"/>
      <c r="BP23" s="3"/>
      <c r="BQ23" s="3"/>
    </row>
    <row r="24" spans="1:69" x14ac:dyDescent="0.2">
      <c r="A24" s="3"/>
      <c r="B24" s="189">
        <v>20</v>
      </c>
      <c r="C24" s="61" t="str">
        <f>IFERROR(INDEX(Table_Prescript_Meas[Measure Number], MATCH(Table_PrescriptLights_Input[[#This Row],[Prescriptive lighting measure]], Table_Prescript_Meas[Measure Description], 0)), "")</f>
        <v/>
      </c>
      <c r="D24" s="192"/>
      <c r="E24" s="179"/>
      <c r="F24" s="179"/>
      <c r="G24" s="61" t="str">
        <f>IFERROR(INDEX(Table_Prescript_Meas[Unit], MATCH(Table_PrescriptLights_Input[[#This Row],[Measure number]], Table_Prescript_Meas[Measure Number], 0)), "")</f>
        <v/>
      </c>
      <c r="H24" s="180"/>
      <c r="I24" s="179"/>
      <c r="J24" s="179"/>
      <c r="K24" s="180"/>
      <c r="L24" s="179"/>
      <c r="M24" s="180"/>
      <c r="N24" s="180"/>
      <c r="O24" s="180"/>
      <c r="P24" s="180"/>
      <c r="Q24" s="180"/>
      <c r="R24" s="181"/>
      <c r="S24" s="181"/>
      <c r="T24"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24"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24" s="69" t="str">
        <f>IF(Table_PrescriptLights_Input[[#This Row],[Prescriptive lighting measure]]="","",Table_PrescriptLights_Input[[#This Row],[Calculated Energy Savings]])</f>
        <v/>
      </c>
      <c r="W24" s="73" t="str">
        <f>IF(Table_PrescriptLights_Input[[#This Row],[Prescriptive lighting measure]]="","",Table_PrescriptLights_Input[[#This Row],[Calculated Demand Savings]])</f>
        <v/>
      </c>
      <c r="X24" s="67" t="str">
        <f>IFERROR(Table_PrescriptLights_Input[[#This Row],[Energy savings (kWh)]]*Input_AvgkWhRate, "")</f>
        <v/>
      </c>
      <c r="Y24" s="67" t="str">
        <f>IF(Table_PrescriptLights_Input[[#This Row],[Prescriptive lighting measure]]="", "",Table_PrescriptLights_Input[[#This Row],[Material cost per fixture]]*Table_PrescriptLights_Input[[#This Row],[Number of proposed fixtures]]+Table_PrescriptLights_Input[[#This Row],[Total labor cost]])</f>
        <v/>
      </c>
      <c r="Z24" s="67" t="str">
        <f>IFERROR(Table_PrescriptLights_Input[[#This Row],[Gross measure cost]]-Table_PrescriptLights_Input[[#This Row],[Estimated incentive]], "")</f>
        <v/>
      </c>
      <c r="AA24" s="69" t="str">
        <f t="shared" si="0"/>
        <v/>
      </c>
      <c r="AB24" s="69" t="str">
        <f>IF(ISNUMBER(Table_PrescriptLights_Input[[#This Row],[Detailed Fixture Calculation Wattage]]), "Detailed", "General")</f>
        <v>General</v>
      </c>
      <c r="AC24" s="53" t="e">
        <f>INDEX(Table_IntExt_Match[Measure Selection List], MATCH(Table_PrescriptLights_Input[[#This Row],[Interior or exterior?]], Table_IntExt_Match[Inetrior or Exterior], 0))</f>
        <v>#N/A</v>
      </c>
      <c r="AD24" s="53" t="e">
        <f>INDEX(Table_Prescript_Meas[Unit], MATCH(C24, Table_Prescript_Meas[Measure Number], 0))</f>
        <v>#N/A</v>
      </c>
      <c r="AE24" s="53" t="e">
        <f>INDEX(Table_Prescript_Meas[Lighting Type Selection List], MATCH(C24, Table_Prescript_Meas[Measure Number], 0))</f>
        <v>#N/A</v>
      </c>
      <c r="AF24" s="53" t="e">
        <f>INDEX(Table_Prescript_Meas[AOH Type], MATCH(Table_PrescriptLights_Input[[#This Row],[Measure number]], Table_Prescript_Meas[Measure Number],0))</f>
        <v>#N/A</v>
      </c>
      <c r="AG24"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24" s="53" t="str">
        <f>_xlfn.CONCAT(Table_PrescriptLights_Input[[#This Row],[Existing lighting type]],":",Table_PrescriptLights_Input[[#This Row],[Existing lamps per fixture]], ":",Table_PrescriptLights_Input[[#This Row],[Existing lamp wattage]])</f>
        <v>::</v>
      </c>
      <c r="AI24" s="53" t="e">
        <f>INDEX(Table_TRM_Fixtures[Fixture Code], MATCH(Table_PrescriptLights_Input[[#This Row],[Detailed Baseline Fixture Lookup]], Table_TRM_Fixtures[Detailed Prescriptive Baseline Fixture Lookup], 0))</f>
        <v>#N/A</v>
      </c>
      <c r="AJ24" s="53" t="e">
        <f>INDEX(Table_TRM_Fixtures[Fixture Wattage for Baseline Calculations],MATCH(Table_PrescriptLights_Input[[#This Row],[Detailed Baseline Fixture Lookup]], Table_TRM_Fixtures[Detailed Prescriptive Baseline Fixture Lookup],0))</f>
        <v>#N/A</v>
      </c>
      <c r="AK24" s="127" t="e">
        <f>INDEX(Table_Bldg_IEFD_IEFC[IEFE], MATCH( Input_HVACType,Table_Bldg_IEFD_IEFC[List_HVAC], 0))</f>
        <v>#N/A</v>
      </c>
      <c r="AL24" s="127" t="e">
        <f>INDEX( Table_Bldg_IEFD_IEFC[IEFE],MATCH( Input_HVACType, Table_Bldg_IEFD_IEFC[List_HVAC],0 ))</f>
        <v>#N/A</v>
      </c>
      <c r="AM24" s="127" t="e">
        <f>INDEX(Table_Control_PAF[PAF], MATCH(Table_PrescriptLights_Input[[#This Row],[Existing controls]], Table_Control_PAF[List_Control_Types], 0 ) )</f>
        <v>#N/A</v>
      </c>
      <c r="AN24"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24"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24"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24" s="53">
        <f>IFERROR(LEFT(Table_PrescriptLights_Input[[#This Row],[Existing lighting type]], FIND(",",Table_PrescriptLights_Input[[#This Row],[Existing lighting type]])-1), Table_PrescriptLights_Input[[#This Row],[Existing lighting type]])</f>
        <v>0</v>
      </c>
      <c r="AR24" s="53" t="str">
        <f>_xlfn.CONCAT(Table_PrescriptLights_Input[[#This Row],[Generalized Fixture Type]], ":",Table_PrescriptLights_Input[[#This Row],[Existing lamps per fixture]],":",Table_PrescriptLights_Input[[#This Row],[Existing lamp wattage]])</f>
        <v>0::</v>
      </c>
      <c r="AS24" s="53" t="e">
        <f>INDEX(Table_TRM_Fixtures[Fixture Code], MATCH(Table_PrescriptLights_Input[[#This Row],[Generalized Fixture Baseline Lookup]], Table_TRM_Fixtures[Generalized Baseline Fixture Lookup], 0))</f>
        <v>#N/A</v>
      </c>
      <c r="AT24"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24"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24"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24"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24"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24" s="53" t="e">
        <f>IFERROR(Table_PrescriptLights_Input[[#This Row],[Detailed Baseline Fixture Code]],Table_PrescriptLights_Input[[#This Row],[Generalized Baseline Fixture Code]])</f>
        <v>#N/A</v>
      </c>
      <c r="AZ24" s="3"/>
      <c r="BA24" s="3"/>
      <c r="BB24" s="3"/>
      <c r="BC24" s="3"/>
      <c r="BD24" s="3"/>
      <c r="BE24" s="3"/>
      <c r="BF24" s="3"/>
      <c r="BG24" s="3"/>
      <c r="BH24" s="3"/>
      <c r="BI24" s="3"/>
      <c r="BJ24" s="3"/>
      <c r="BK24" s="3"/>
      <c r="BL24" s="3"/>
      <c r="BM24" s="3"/>
      <c r="BN24" s="3"/>
      <c r="BO24" s="3"/>
      <c r="BP24" s="3"/>
      <c r="BQ24" s="3"/>
    </row>
    <row r="25" spans="1:69" x14ac:dyDescent="0.2">
      <c r="A25" s="3"/>
      <c r="B25" s="189">
        <v>21</v>
      </c>
      <c r="C25" s="61" t="str">
        <f>IFERROR(INDEX(Table_Prescript_Meas[Measure Number], MATCH(Table_PrescriptLights_Input[[#This Row],[Prescriptive lighting measure]], Table_Prescript_Meas[Measure Description], 0)), "")</f>
        <v/>
      </c>
      <c r="D25" s="192"/>
      <c r="E25" s="179"/>
      <c r="F25" s="179"/>
      <c r="G25" s="61" t="str">
        <f>IFERROR(INDEX(Table_Prescript_Meas[Unit], MATCH(Table_PrescriptLights_Input[[#This Row],[Measure number]], Table_Prescript_Meas[Measure Number], 0)), "")</f>
        <v/>
      </c>
      <c r="H25" s="180"/>
      <c r="I25" s="179"/>
      <c r="J25" s="179"/>
      <c r="K25" s="180"/>
      <c r="L25" s="179"/>
      <c r="M25" s="180"/>
      <c r="N25" s="180"/>
      <c r="O25" s="180"/>
      <c r="P25" s="180"/>
      <c r="Q25" s="180"/>
      <c r="R25" s="181"/>
      <c r="S25" s="181"/>
      <c r="T25"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25"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25" s="69" t="str">
        <f>IF(Table_PrescriptLights_Input[[#This Row],[Prescriptive lighting measure]]="","",Table_PrescriptLights_Input[[#This Row],[Calculated Energy Savings]])</f>
        <v/>
      </c>
      <c r="W25" s="73" t="str">
        <f>IF(Table_PrescriptLights_Input[[#This Row],[Prescriptive lighting measure]]="","",Table_PrescriptLights_Input[[#This Row],[Calculated Demand Savings]])</f>
        <v/>
      </c>
      <c r="X25" s="67" t="str">
        <f>IFERROR(Table_PrescriptLights_Input[[#This Row],[Energy savings (kWh)]]*Input_AvgkWhRate, "")</f>
        <v/>
      </c>
      <c r="Y25" s="67" t="str">
        <f>IF(Table_PrescriptLights_Input[[#This Row],[Prescriptive lighting measure]]="", "",Table_PrescriptLights_Input[[#This Row],[Material cost per fixture]]*Table_PrescriptLights_Input[[#This Row],[Number of proposed fixtures]]+Table_PrescriptLights_Input[[#This Row],[Total labor cost]])</f>
        <v/>
      </c>
      <c r="Z25" s="67" t="str">
        <f>IFERROR(Table_PrescriptLights_Input[[#This Row],[Gross measure cost]]-Table_PrescriptLights_Input[[#This Row],[Estimated incentive]], "")</f>
        <v/>
      </c>
      <c r="AA25" s="69" t="str">
        <f t="shared" si="0"/>
        <v/>
      </c>
      <c r="AB25" s="69" t="str">
        <f>IF(ISNUMBER(Table_PrescriptLights_Input[[#This Row],[Detailed Fixture Calculation Wattage]]), "Detailed", "General")</f>
        <v>General</v>
      </c>
      <c r="AC25" s="53" t="e">
        <f>INDEX(Table_IntExt_Match[Measure Selection List], MATCH(Table_PrescriptLights_Input[[#This Row],[Interior or exterior?]], Table_IntExt_Match[Inetrior or Exterior], 0))</f>
        <v>#N/A</v>
      </c>
      <c r="AD25" s="53" t="e">
        <f>INDEX(Table_Prescript_Meas[Unit], MATCH(C25, Table_Prescript_Meas[Measure Number], 0))</f>
        <v>#N/A</v>
      </c>
      <c r="AE25" s="53" t="e">
        <f>INDEX(Table_Prescript_Meas[Lighting Type Selection List], MATCH(C25, Table_Prescript_Meas[Measure Number], 0))</f>
        <v>#N/A</v>
      </c>
      <c r="AF25" s="53" t="e">
        <f>INDEX(Table_Prescript_Meas[AOH Type], MATCH(Table_PrescriptLights_Input[[#This Row],[Measure number]], Table_Prescript_Meas[Measure Number],0))</f>
        <v>#N/A</v>
      </c>
      <c r="AG25"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25" s="53" t="str">
        <f>_xlfn.CONCAT(Table_PrescriptLights_Input[[#This Row],[Existing lighting type]],":",Table_PrescriptLights_Input[[#This Row],[Existing lamps per fixture]], ":",Table_PrescriptLights_Input[[#This Row],[Existing lamp wattage]])</f>
        <v>::</v>
      </c>
      <c r="AI25" s="53" t="e">
        <f>INDEX(Table_TRM_Fixtures[Fixture Code], MATCH(Table_PrescriptLights_Input[[#This Row],[Detailed Baseline Fixture Lookup]], Table_TRM_Fixtures[Detailed Prescriptive Baseline Fixture Lookup], 0))</f>
        <v>#N/A</v>
      </c>
      <c r="AJ25" s="53" t="e">
        <f>INDEX(Table_TRM_Fixtures[Fixture Wattage for Baseline Calculations],MATCH(Table_PrescriptLights_Input[[#This Row],[Detailed Baseline Fixture Lookup]], Table_TRM_Fixtures[Detailed Prescriptive Baseline Fixture Lookup],0))</f>
        <v>#N/A</v>
      </c>
      <c r="AK25" s="127" t="e">
        <f>INDEX(Table_Bldg_IEFD_IEFC[IEFE], MATCH( Input_HVACType,Table_Bldg_IEFD_IEFC[List_HVAC], 0))</f>
        <v>#N/A</v>
      </c>
      <c r="AL25" s="127" t="e">
        <f>INDEX( Table_Bldg_IEFD_IEFC[IEFE],MATCH( Input_HVACType, Table_Bldg_IEFD_IEFC[List_HVAC],0 ))</f>
        <v>#N/A</v>
      </c>
      <c r="AM25" s="127" t="e">
        <f>INDEX(Table_Control_PAF[PAF], MATCH(Table_PrescriptLights_Input[[#This Row],[Existing controls]], Table_Control_PAF[List_Control_Types], 0 ) )</f>
        <v>#N/A</v>
      </c>
      <c r="AN25"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25"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25"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25" s="53">
        <f>IFERROR(LEFT(Table_PrescriptLights_Input[[#This Row],[Existing lighting type]], FIND(",",Table_PrescriptLights_Input[[#This Row],[Existing lighting type]])-1), Table_PrescriptLights_Input[[#This Row],[Existing lighting type]])</f>
        <v>0</v>
      </c>
      <c r="AR25" s="53" t="str">
        <f>_xlfn.CONCAT(Table_PrescriptLights_Input[[#This Row],[Generalized Fixture Type]], ":",Table_PrescriptLights_Input[[#This Row],[Existing lamps per fixture]],":",Table_PrescriptLights_Input[[#This Row],[Existing lamp wattage]])</f>
        <v>0::</v>
      </c>
      <c r="AS25" s="53" t="e">
        <f>INDEX(Table_TRM_Fixtures[Fixture Code], MATCH(Table_PrescriptLights_Input[[#This Row],[Generalized Fixture Baseline Lookup]], Table_TRM_Fixtures[Generalized Baseline Fixture Lookup], 0))</f>
        <v>#N/A</v>
      </c>
      <c r="AT25"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25"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25"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25"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25"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25" s="53" t="e">
        <f>IFERROR(Table_PrescriptLights_Input[[#This Row],[Detailed Baseline Fixture Code]],Table_PrescriptLights_Input[[#This Row],[Generalized Baseline Fixture Code]])</f>
        <v>#N/A</v>
      </c>
      <c r="AZ25" s="3"/>
      <c r="BA25" s="3"/>
      <c r="BB25" s="3"/>
      <c r="BC25" s="3"/>
      <c r="BD25" s="3"/>
      <c r="BE25" s="3"/>
      <c r="BF25" s="3"/>
      <c r="BG25" s="3"/>
      <c r="BH25" s="3"/>
      <c r="BI25" s="3"/>
      <c r="BJ25" s="3"/>
      <c r="BK25" s="3"/>
      <c r="BL25" s="3"/>
      <c r="BM25" s="3"/>
      <c r="BN25" s="3"/>
      <c r="BO25" s="3"/>
      <c r="BP25" s="3"/>
      <c r="BQ25" s="3"/>
    </row>
    <row r="26" spans="1:69" x14ac:dyDescent="0.2">
      <c r="A26" s="3"/>
      <c r="B26" s="189">
        <v>22</v>
      </c>
      <c r="C26" s="61" t="str">
        <f>IFERROR(INDEX(Table_Prescript_Meas[Measure Number], MATCH(Table_PrescriptLights_Input[[#This Row],[Prescriptive lighting measure]], Table_Prescript_Meas[Measure Description], 0)), "")</f>
        <v/>
      </c>
      <c r="D26" s="192"/>
      <c r="E26" s="179"/>
      <c r="F26" s="179"/>
      <c r="G26" s="61" t="str">
        <f>IFERROR(INDEX(Table_Prescript_Meas[Unit], MATCH(Table_PrescriptLights_Input[[#This Row],[Measure number]], Table_Prescript_Meas[Measure Number], 0)), "")</f>
        <v/>
      </c>
      <c r="H26" s="180"/>
      <c r="I26" s="179"/>
      <c r="J26" s="179"/>
      <c r="K26" s="180"/>
      <c r="L26" s="179"/>
      <c r="M26" s="180"/>
      <c r="N26" s="180"/>
      <c r="O26" s="180"/>
      <c r="P26" s="180"/>
      <c r="Q26" s="180"/>
      <c r="R26" s="181"/>
      <c r="S26" s="181"/>
      <c r="T26"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26"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26" s="69" t="str">
        <f>IF(Table_PrescriptLights_Input[[#This Row],[Prescriptive lighting measure]]="","",Table_PrescriptLights_Input[[#This Row],[Calculated Energy Savings]])</f>
        <v/>
      </c>
      <c r="W26" s="73" t="str">
        <f>IF(Table_PrescriptLights_Input[[#This Row],[Prescriptive lighting measure]]="","",Table_PrescriptLights_Input[[#This Row],[Calculated Demand Savings]])</f>
        <v/>
      </c>
      <c r="X26" s="67" t="str">
        <f>IFERROR(Table_PrescriptLights_Input[[#This Row],[Energy savings (kWh)]]*Input_AvgkWhRate, "")</f>
        <v/>
      </c>
      <c r="Y26" s="67" t="str">
        <f>IF(Table_PrescriptLights_Input[[#This Row],[Prescriptive lighting measure]]="", "",Table_PrescriptLights_Input[[#This Row],[Material cost per fixture]]*Table_PrescriptLights_Input[[#This Row],[Number of proposed fixtures]]+Table_PrescriptLights_Input[[#This Row],[Total labor cost]])</f>
        <v/>
      </c>
      <c r="Z26" s="67" t="str">
        <f>IFERROR(Table_PrescriptLights_Input[[#This Row],[Gross measure cost]]-Table_PrescriptLights_Input[[#This Row],[Estimated incentive]], "")</f>
        <v/>
      </c>
      <c r="AA26" s="69" t="str">
        <f t="shared" si="0"/>
        <v/>
      </c>
      <c r="AB26" s="69" t="str">
        <f>IF(ISNUMBER(Table_PrescriptLights_Input[[#This Row],[Detailed Fixture Calculation Wattage]]), "Detailed", "General")</f>
        <v>General</v>
      </c>
      <c r="AC26" s="53" t="e">
        <f>INDEX(Table_IntExt_Match[Measure Selection List], MATCH(Table_PrescriptLights_Input[[#This Row],[Interior or exterior?]], Table_IntExt_Match[Inetrior or Exterior], 0))</f>
        <v>#N/A</v>
      </c>
      <c r="AD26" s="53" t="e">
        <f>INDEX(Table_Prescript_Meas[Unit], MATCH(C26, Table_Prescript_Meas[Measure Number], 0))</f>
        <v>#N/A</v>
      </c>
      <c r="AE26" s="53" t="e">
        <f>INDEX(Table_Prescript_Meas[Lighting Type Selection List], MATCH(C26, Table_Prescript_Meas[Measure Number], 0))</f>
        <v>#N/A</v>
      </c>
      <c r="AF26" s="53" t="e">
        <f>INDEX(Table_Prescript_Meas[AOH Type], MATCH(Table_PrescriptLights_Input[[#This Row],[Measure number]], Table_Prescript_Meas[Measure Number],0))</f>
        <v>#N/A</v>
      </c>
      <c r="AG26"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26" s="53" t="str">
        <f>_xlfn.CONCAT(Table_PrescriptLights_Input[[#This Row],[Existing lighting type]],":",Table_PrescriptLights_Input[[#This Row],[Existing lamps per fixture]], ":",Table_PrescriptLights_Input[[#This Row],[Existing lamp wattage]])</f>
        <v>::</v>
      </c>
      <c r="AI26" s="53" t="e">
        <f>INDEX(Table_TRM_Fixtures[Fixture Code], MATCH(Table_PrescriptLights_Input[[#This Row],[Detailed Baseline Fixture Lookup]], Table_TRM_Fixtures[Detailed Prescriptive Baseline Fixture Lookup], 0))</f>
        <v>#N/A</v>
      </c>
      <c r="AJ26" s="53" t="e">
        <f>INDEX(Table_TRM_Fixtures[Fixture Wattage for Baseline Calculations],MATCH(Table_PrescriptLights_Input[[#This Row],[Detailed Baseline Fixture Lookup]], Table_TRM_Fixtures[Detailed Prescriptive Baseline Fixture Lookup],0))</f>
        <v>#N/A</v>
      </c>
      <c r="AK26" s="127" t="e">
        <f>INDEX(Table_Bldg_IEFD_IEFC[IEFE], MATCH( Input_HVACType,Table_Bldg_IEFD_IEFC[List_HVAC], 0))</f>
        <v>#N/A</v>
      </c>
      <c r="AL26" s="127" t="e">
        <f>INDEX( Table_Bldg_IEFD_IEFC[IEFE],MATCH( Input_HVACType, Table_Bldg_IEFD_IEFC[List_HVAC],0 ))</f>
        <v>#N/A</v>
      </c>
      <c r="AM26" s="127" t="e">
        <f>INDEX(Table_Control_PAF[PAF], MATCH(Table_PrescriptLights_Input[[#This Row],[Existing controls]], Table_Control_PAF[List_Control_Types], 0 ) )</f>
        <v>#N/A</v>
      </c>
      <c r="AN26"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26"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26"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26" s="53">
        <f>IFERROR(LEFT(Table_PrescriptLights_Input[[#This Row],[Existing lighting type]], FIND(",",Table_PrescriptLights_Input[[#This Row],[Existing lighting type]])-1), Table_PrescriptLights_Input[[#This Row],[Existing lighting type]])</f>
        <v>0</v>
      </c>
      <c r="AR26" s="53" t="str">
        <f>_xlfn.CONCAT(Table_PrescriptLights_Input[[#This Row],[Generalized Fixture Type]], ":",Table_PrescriptLights_Input[[#This Row],[Existing lamps per fixture]],":",Table_PrescriptLights_Input[[#This Row],[Existing lamp wattage]])</f>
        <v>0::</v>
      </c>
      <c r="AS26" s="53" t="e">
        <f>INDEX(Table_TRM_Fixtures[Fixture Code], MATCH(Table_PrescriptLights_Input[[#This Row],[Generalized Fixture Baseline Lookup]], Table_TRM_Fixtures[Generalized Baseline Fixture Lookup], 0))</f>
        <v>#N/A</v>
      </c>
      <c r="AT26"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26"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26"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26"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26"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26" s="53" t="e">
        <f>IFERROR(Table_PrescriptLights_Input[[#This Row],[Detailed Baseline Fixture Code]],Table_PrescriptLights_Input[[#This Row],[Generalized Baseline Fixture Code]])</f>
        <v>#N/A</v>
      </c>
      <c r="AZ26" s="3"/>
      <c r="BA26" s="3"/>
      <c r="BB26" s="3"/>
      <c r="BC26" s="3"/>
      <c r="BD26" s="3"/>
      <c r="BE26" s="3"/>
      <c r="BF26" s="3"/>
      <c r="BG26" s="3"/>
      <c r="BH26" s="3"/>
      <c r="BI26" s="3"/>
      <c r="BJ26" s="3"/>
      <c r="BK26" s="3"/>
      <c r="BL26" s="3"/>
      <c r="BM26" s="3"/>
      <c r="BN26" s="3"/>
      <c r="BO26" s="3"/>
      <c r="BP26" s="3"/>
      <c r="BQ26" s="3"/>
    </row>
    <row r="27" spans="1:69" x14ac:dyDescent="0.2">
      <c r="A27" s="3"/>
      <c r="B27" s="189">
        <v>23</v>
      </c>
      <c r="C27" s="61" t="str">
        <f>IFERROR(INDEX(Table_Prescript_Meas[Measure Number], MATCH(Table_PrescriptLights_Input[[#This Row],[Prescriptive lighting measure]], Table_Prescript_Meas[Measure Description], 0)), "")</f>
        <v/>
      </c>
      <c r="D27" s="192"/>
      <c r="E27" s="179"/>
      <c r="F27" s="179"/>
      <c r="G27" s="61" t="str">
        <f>IFERROR(INDEX(Table_Prescript_Meas[Unit], MATCH(Table_PrescriptLights_Input[[#This Row],[Measure number]], Table_Prescript_Meas[Measure Number], 0)), "")</f>
        <v/>
      </c>
      <c r="H27" s="180"/>
      <c r="I27" s="179"/>
      <c r="J27" s="179"/>
      <c r="K27" s="180"/>
      <c r="L27" s="179"/>
      <c r="M27" s="180"/>
      <c r="N27" s="180"/>
      <c r="O27" s="180"/>
      <c r="P27" s="180"/>
      <c r="Q27" s="180"/>
      <c r="R27" s="181"/>
      <c r="S27" s="181"/>
      <c r="T27"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27"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27" s="69" t="str">
        <f>IF(Table_PrescriptLights_Input[[#This Row],[Prescriptive lighting measure]]="","",Table_PrescriptLights_Input[[#This Row],[Calculated Energy Savings]])</f>
        <v/>
      </c>
      <c r="W27" s="73" t="str">
        <f>IF(Table_PrescriptLights_Input[[#This Row],[Prescriptive lighting measure]]="","",Table_PrescriptLights_Input[[#This Row],[Calculated Demand Savings]])</f>
        <v/>
      </c>
      <c r="X27" s="67" t="str">
        <f>IFERROR(Table_PrescriptLights_Input[[#This Row],[Energy savings (kWh)]]*Input_AvgkWhRate, "")</f>
        <v/>
      </c>
      <c r="Y27" s="67" t="str">
        <f>IF(Table_PrescriptLights_Input[[#This Row],[Prescriptive lighting measure]]="", "",Table_PrescriptLights_Input[[#This Row],[Material cost per fixture]]*Table_PrescriptLights_Input[[#This Row],[Number of proposed fixtures]]+Table_PrescriptLights_Input[[#This Row],[Total labor cost]])</f>
        <v/>
      </c>
      <c r="Z27" s="67" t="str">
        <f>IFERROR(Table_PrescriptLights_Input[[#This Row],[Gross measure cost]]-Table_PrescriptLights_Input[[#This Row],[Estimated incentive]], "")</f>
        <v/>
      </c>
      <c r="AA27" s="69" t="str">
        <f t="shared" si="0"/>
        <v/>
      </c>
      <c r="AB27" s="69" t="str">
        <f>IF(ISNUMBER(Table_PrescriptLights_Input[[#This Row],[Detailed Fixture Calculation Wattage]]), "Detailed", "General")</f>
        <v>General</v>
      </c>
      <c r="AC27" s="53" t="e">
        <f>INDEX(Table_IntExt_Match[Measure Selection List], MATCH(Table_PrescriptLights_Input[[#This Row],[Interior or exterior?]], Table_IntExt_Match[Inetrior or Exterior], 0))</f>
        <v>#N/A</v>
      </c>
      <c r="AD27" s="53" t="e">
        <f>INDEX(Table_Prescript_Meas[Unit], MATCH(C27, Table_Prescript_Meas[Measure Number], 0))</f>
        <v>#N/A</v>
      </c>
      <c r="AE27" s="53" t="e">
        <f>INDEX(Table_Prescript_Meas[Lighting Type Selection List], MATCH(C27, Table_Prescript_Meas[Measure Number], 0))</f>
        <v>#N/A</v>
      </c>
      <c r="AF27" s="53" t="e">
        <f>INDEX(Table_Prescript_Meas[AOH Type], MATCH(Table_PrescriptLights_Input[[#This Row],[Measure number]], Table_Prescript_Meas[Measure Number],0))</f>
        <v>#N/A</v>
      </c>
      <c r="AG27"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27" s="53" t="str">
        <f>_xlfn.CONCAT(Table_PrescriptLights_Input[[#This Row],[Existing lighting type]],":",Table_PrescriptLights_Input[[#This Row],[Existing lamps per fixture]], ":",Table_PrescriptLights_Input[[#This Row],[Existing lamp wattage]])</f>
        <v>::</v>
      </c>
      <c r="AI27" s="53" t="e">
        <f>INDEX(Table_TRM_Fixtures[Fixture Code], MATCH(Table_PrescriptLights_Input[[#This Row],[Detailed Baseline Fixture Lookup]], Table_TRM_Fixtures[Detailed Prescriptive Baseline Fixture Lookup], 0))</f>
        <v>#N/A</v>
      </c>
      <c r="AJ27" s="53" t="e">
        <f>INDEX(Table_TRM_Fixtures[Fixture Wattage for Baseline Calculations],MATCH(Table_PrescriptLights_Input[[#This Row],[Detailed Baseline Fixture Lookup]], Table_TRM_Fixtures[Detailed Prescriptive Baseline Fixture Lookup],0))</f>
        <v>#N/A</v>
      </c>
      <c r="AK27" s="127" t="e">
        <f>INDEX(Table_Bldg_IEFD_IEFC[IEFE], MATCH( Input_HVACType,Table_Bldg_IEFD_IEFC[List_HVAC], 0))</f>
        <v>#N/A</v>
      </c>
      <c r="AL27" s="127" t="e">
        <f>INDEX( Table_Bldg_IEFD_IEFC[IEFE],MATCH( Input_HVACType, Table_Bldg_IEFD_IEFC[List_HVAC],0 ))</f>
        <v>#N/A</v>
      </c>
      <c r="AM27" s="127" t="e">
        <f>INDEX(Table_Control_PAF[PAF], MATCH(Table_PrescriptLights_Input[[#This Row],[Existing controls]], Table_Control_PAF[List_Control_Types], 0 ) )</f>
        <v>#N/A</v>
      </c>
      <c r="AN27"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27"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27"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27" s="53">
        <f>IFERROR(LEFT(Table_PrescriptLights_Input[[#This Row],[Existing lighting type]], FIND(",",Table_PrescriptLights_Input[[#This Row],[Existing lighting type]])-1), Table_PrescriptLights_Input[[#This Row],[Existing lighting type]])</f>
        <v>0</v>
      </c>
      <c r="AR27" s="53" t="str">
        <f>_xlfn.CONCAT(Table_PrescriptLights_Input[[#This Row],[Generalized Fixture Type]], ":",Table_PrescriptLights_Input[[#This Row],[Existing lamps per fixture]],":",Table_PrescriptLights_Input[[#This Row],[Existing lamp wattage]])</f>
        <v>0::</v>
      </c>
      <c r="AS27" s="53" t="e">
        <f>INDEX(Table_TRM_Fixtures[Fixture Code], MATCH(Table_PrescriptLights_Input[[#This Row],[Generalized Fixture Baseline Lookup]], Table_TRM_Fixtures[Generalized Baseline Fixture Lookup], 0))</f>
        <v>#N/A</v>
      </c>
      <c r="AT27"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27"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27"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27"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27"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27" s="53" t="e">
        <f>IFERROR(Table_PrescriptLights_Input[[#This Row],[Detailed Baseline Fixture Code]],Table_PrescriptLights_Input[[#This Row],[Generalized Baseline Fixture Code]])</f>
        <v>#N/A</v>
      </c>
      <c r="AZ27" s="3"/>
      <c r="BA27" s="3"/>
      <c r="BB27" s="3"/>
      <c r="BC27" s="3"/>
      <c r="BD27" s="3"/>
      <c r="BE27" s="3"/>
      <c r="BF27" s="3"/>
      <c r="BG27" s="3"/>
      <c r="BH27" s="3"/>
      <c r="BI27" s="3"/>
      <c r="BJ27" s="3"/>
      <c r="BK27" s="3"/>
      <c r="BL27" s="3"/>
      <c r="BM27" s="3"/>
      <c r="BN27" s="3"/>
      <c r="BO27" s="3"/>
      <c r="BP27" s="3"/>
      <c r="BQ27" s="3"/>
    </row>
    <row r="28" spans="1:69" x14ac:dyDescent="0.2">
      <c r="A28" s="3"/>
      <c r="B28" s="189">
        <v>24</v>
      </c>
      <c r="C28" s="61" t="str">
        <f>IFERROR(INDEX(Table_Prescript_Meas[Measure Number], MATCH(Table_PrescriptLights_Input[[#This Row],[Prescriptive lighting measure]], Table_Prescript_Meas[Measure Description], 0)), "")</f>
        <v/>
      </c>
      <c r="D28" s="192"/>
      <c r="E28" s="179"/>
      <c r="F28" s="179"/>
      <c r="G28" s="61" t="str">
        <f>IFERROR(INDEX(Table_Prescript_Meas[Unit], MATCH(Table_PrescriptLights_Input[[#This Row],[Measure number]], Table_Prescript_Meas[Measure Number], 0)), "")</f>
        <v/>
      </c>
      <c r="H28" s="180"/>
      <c r="I28" s="179"/>
      <c r="J28" s="179"/>
      <c r="K28" s="180"/>
      <c r="L28" s="179"/>
      <c r="M28" s="180"/>
      <c r="N28" s="180"/>
      <c r="O28" s="180"/>
      <c r="P28" s="180"/>
      <c r="Q28" s="180"/>
      <c r="R28" s="181"/>
      <c r="S28" s="181"/>
      <c r="T28"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28"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28" s="69" t="str">
        <f>IF(Table_PrescriptLights_Input[[#This Row],[Prescriptive lighting measure]]="","",Table_PrescriptLights_Input[[#This Row],[Calculated Energy Savings]])</f>
        <v/>
      </c>
      <c r="W28" s="73" t="str">
        <f>IF(Table_PrescriptLights_Input[[#This Row],[Prescriptive lighting measure]]="","",Table_PrescriptLights_Input[[#This Row],[Calculated Demand Savings]])</f>
        <v/>
      </c>
      <c r="X28" s="67" t="str">
        <f>IFERROR(Table_PrescriptLights_Input[[#This Row],[Energy savings (kWh)]]*Input_AvgkWhRate, "")</f>
        <v/>
      </c>
      <c r="Y28" s="67" t="str">
        <f>IF(Table_PrescriptLights_Input[[#This Row],[Prescriptive lighting measure]]="", "",Table_PrescriptLights_Input[[#This Row],[Material cost per fixture]]*Table_PrescriptLights_Input[[#This Row],[Number of proposed fixtures]]+Table_PrescriptLights_Input[[#This Row],[Total labor cost]])</f>
        <v/>
      </c>
      <c r="Z28" s="67" t="str">
        <f>IFERROR(Table_PrescriptLights_Input[[#This Row],[Gross measure cost]]-Table_PrescriptLights_Input[[#This Row],[Estimated incentive]], "")</f>
        <v/>
      </c>
      <c r="AA28" s="69" t="str">
        <f t="shared" si="0"/>
        <v/>
      </c>
      <c r="AB28" s="69" t="str">
        <f>IF(ISNUMBER(Table_PrescriptLights_Input[[#This Row],[Detailed Fixture Calculation Wattage]]), "Detailed", "General")</f>
        <v>General</v>
      </c>
      <c r="AC28" s="53" t="e">
        <f>INDEX(Table_IntExt_Match[Measure Selection List], MATCH(Table_PrescriptLights_Input[[#This Row],[Interior or exterior?]], Table_IntExt_Match[Inetrior or Exterior], 0))</f>
        <v>#N/A</v>
      </c>
      <c r="AD28" s="53" t="e">
        <f>INDEX(Table_Prescript_Meas[Unit], MATCH(C28, Table_Prescript_Meas[Measure Number], 0))</f>
        <v>#N/A</v>
      </c>
      <c r="AE28" s="53" t="e">
        <f>INDEX(Table_Prescript_Meas[Lighting Type Selection List], MATCH(C28, Table_Prescript_Meas[Measure Number], 0))</f>
        <v>#N/A</v>
      </c>
      <c r="AF28" s="53" t="e">
        <f>INDEX(Table_Prescript_Meas[AOH Type], MATCH(Table_PrescriptLights_Input[[#This Row],[Measure number]], Table_Prescript_Meas[Measure Number],0))</f>
        <v>#N/A</v>
      </c>
      <c r="AG28"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28" s="53" t="str">
        <f>_xlfn.CONCAT(Table_PrescriptLights_Input[[#This Row],[Existing lighting type]],":",Table_PrescriptLights_Input[[#This Row],[Existing lamps per fixture]], ":",Table_PrescriptLights_Input[[#This Row],[Existing lamp wattage]])</f>
        <v>::</v>
      </c>
      <c r="AI28" s="53" t="e">
        <f>INDEX(Table_TRM_Fixtures[Fixture Code], MATCH(Table_PrescriptLights_Input[[#This Row],[Detailed Baseline Fixture Lookup]], Table_TRM_Fixtures[Detailed Prescriptive Baseline Fixture Lookup], 0))</f>
        <v>#N/A</v>
      </c>
      <c r="AJ28" s="53" t="e">
        <f>INDEX(Table_TRM_Fixtures[Fixture Wattage for Baseline Calculations],MATCH(Table_PrescriptLights_Input[[#This Row],[Detailed Baseline Fixture Lookup]], Table_TRM_Fixtures[Detailed Prescriptive Baseline Fixture Lookup],0))</f>
        <v>#N/A</v>
      </c>
      <c r="AK28" s="127" t="e">
        <f>INDEX(Table_Bldg_IEFD_IEFC[IEFE], MATCH( Input_HVACType,Table_Bldg_IEFD_IEFC[List_HVAC], 0))</f>
        <v>#N/A</v>
      </c>
      <c r="AL28" s="127" t="e">
        <f>INDEX( Table_Bldg_IEFD_IEFC[IEFE],MATCH( Input_HVACType, Table_Bldg_IEFD_IEFC[List_HVAC],0 ))</f>
        <v>#N/A</v>
      </c>
      <c r="AM28" s="127" t="e">
        <f>INDEX(Table_Control_PAF[PAF], MATCH(Table_PrescriptLights_Input[[#This Row],[Existing controls]], Table_Control_PAF[List_Control_Types], 0 ) )</f>
        <v>#N/A</v>
      </c>
      <c r="AN28"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28"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28"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28" s="53">
        <f>IFERROR(LEFT(Table_PrescriptLights_Input[[#This Row],[Existing lighting type]], FIND(",",Table_PrescriptLights_Input[[#This Row],[Existing lighting type]])-1), Table_PrescriptLights_Input[[#This Row],[Existing lighting type]])</f>
        <v>0</v>
      </c>
      <c r="AR28" s="53" t="str">
        <f>_xlfn.CONCAT(Table_PrescriptLights_Input[[#This Row],[Generalized Fixture Type]], ":",Table_PrescriptLights_Input[[#This Row],[Existing lamps per fixture]],":",Table_PrescriptLights_Input[[#This Row],[Existing lamp wattage]])</f>
        <v>0::</v>
      </c>
      <c r="AS28" s="53" t="e">
        <f>INDEX(Table_TRM_Fixtures[Fixture Code], MATCH(Table_PrescriptLights_Input[[#This Row],[Generalized Fixture Baseline Lookup]], Table_TRM_Fixtures[Generalized Baseline Fixture Lookup], 0))</f>
        <v>#N/A</v>
      </c>
      <c r="AT28"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28"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28"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28"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28"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28" s="53" t="e">
        <f>IFERROR(Table_PrescriptLights_Input[[#This Row],[Detailed Baseline Fixture Code]],Table_PrescriptLights_Input[[#This Row],[Generalized Baseline Fixture Code]])</f>
        <v>#N/A</v>
      </c>
      <c r="AZ28" s="3"/>
      <c r="BA28" s="3"/>
      <c r="BB28" s="3"/>
      <c r="BC28" s="3"/>
      <c r="BD28" s="3"/>
      <c r="BE28" s="3"/>
      <c r="BF28" s="3"/>
      <c r="BG28" s="3"/>
      <c r="BH28" s="3"/>
      <c r="BI28" s="3"/>
      <c r="BJ28" s="3"/>
      <c r="BK28" s="3"/>
      <c r="BL28" s="3"/>
      <c r="BM28" s="3"/>
      <c r="BN28" s="3"/>
      <c r="BO28" s="3"/>
      <c r="BP28" s="3"/>
      <c r="BQ28" s="3"/>
    </row>
    <row r="29" spans="1:69" x14ac:dyDescent="0.2">
      <c r="A29" s="3"/>
      <c r="B29" s="189">
        <v>25</v>
      </c>
      <c r="C29" s="61" t="str">
        <f>IFERROR(INDEX(Table_Prescript_Meas[Measure Number], MATCH(Table_PrescriptLights_Input[[#This Row],[Prescriptive lighting measure]], Table_Prescript_Meas[Measure Description], 0)), "")</f>
        <v/>
      </c>
      <c r="D29" s="192"/>
      <c r="E29" s="179"/>
      <c r="F29" s="179"/>
      <c r="G29" s="61" t="str">
        <f>IFERROR(INDEX(Table_Prescript_Meas[Unit], MATCH(Table_PrescriptLights_Input[[#This Row],[Measure number]], Table_Prescript_Meas[Measure Number], 0)), "")</f>
        <v/>
      </c>
      <c r="H29" s="180"/>
      <c r="I29" s="179"/>
      <c r="J29" s="179"/>
      <c r="K29" s="180"/>
      <c r="L29" s="179"/>
      <c r="M29" s="180"/>
      <c r="N29" s="180"/>
      <c r="O29" s="180"/>
      <c r="P29" s="180"/>
      <c r="Q29" s="180"/>
      <c r="R29" s="181"/>
      <c r="S29" s="181"/>
      <c r="T29"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29"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29" s="69" t="str">
        <f>IF(Table_PrescriptLights_Input[[#This Row],[Prescriptive lighting measure]]="","",Table_PrescriptLights_Input[[#This Row],[Calculated Energy Savings]])</f>
        <v/>
      </c>
      <c r="W29" s="73" t="str">
        <f>IF(Table_PrescriptLights_Input[[#This Row],[Prescriptive lighting measure]]="","",Table_PrescriptLights_Input[[#This Row],[Calculated Demand Savings]])</f>
        <v/>
      </c>
      <c r="X29" s="67" t="str">
        <f>IFERROR(Table_PrescriptLights_Input[[#This Row],[Energy savings (kWh)]]*Input_AvgkWhRate, "")</f>
        <v/>
      </c>
      <c r="Y29" s="67" t="str">
        <f>IF(Table_PrescriptLights_Input[[#This Row],[Prescriptive lighting measure]]="", "",Table_PrescriptLights_Input[[#This Row],[Material cost per fixture]]*Table_PrescriptLights_Input[[#This Row],[Number of proposed fixtures]]+Table_PrescriptLights_Input[[#This Row],[Total labor cost]])</f>
        <v/>
      </c>
      <c r="Z29" s="67" t="str">
        <f>IFERROR(Table_PrescriptLights_Input[[#This Row],[Gross measure cost]]-Table_PrescriptLights_Input[[#This Row],[Estimated incentive]], "")</f>
        <v/>
      </c>
      <c r="AA29" s="69" t="str">
        <f t="shared" si="0"/>
        <v/>
      </c>
      <c r="AB29" s="69" t="str">
        <f>IF(ISNUMBER(Table_PrescriptLights_Input[[#This Row],[Detailed Fixture Calculation Wattage]]), "Detailed", "General")</f>
        <v>General</v>
      </c>
      <c r="AC29" s="53" t="e">
        <f>INDEX(Table_IntExt_Match[Measure Selection List], MATCH(Table_PrescriptLights_Input[[#This Row],[Interior or exterior?]], Table_IntExt_Match[Inetrior or Exterior], 0))</f>
        <v>#N/A</v>
      </c>
      <c r="AD29" s="53" t="e">
        <f>INDEX(Table_Prescript_Meas[Unit], MATCH(C29, Table_Prescript_Meas[Measure Number], 0))</f>
        <v>#N/A</v>
      </c>
      <c r="AE29" s="53" t="e">
        <f>INDEX(Table_Prescript_Meas[Lighting Type Selection List], MATCH(C29, Table_Prescript_Meas[Measure Number], 0))</f>
        <v>#N/A</v>
      </c>
      <c r="AF29" s="53" t="e">
        <f>INDEX(Table_Prescript_Meas[AOH Type], MATCH(Table_PrescriptLights_Input[[#This Row],[Measure number]], Table_Prescript_Meas[Measure Number],0))</f>
        <v>#N/A</v>
      </c>
      <c r="AG29"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29" s="53" t="str">
        <f>_xlfn.CONCAT(Table_PrescriptLights_Input[[#This Row],[Existing lighting type]],":",Table_PrescriptLights_Input[[#This Row],[Existing lamps per fixture]], ":",Table_PrescriptLights_Input[[#This Row],[Existing lamp wattage]])</f>
        <v>::</v>
      </c>
      <c r="AI29" s="53" t="e">
        <f>INDEX(Table_TRM_Fixtures[Fixture Code], MATCH(Table_PrescriptLights_Input[[#This Row],[Detailed Baseline Fixture Lookup]], Table_TRM_Fixtures[Detailed Prescriptive Baseline Fixture Lookup], 0))</f>
        <v>#N/A</v>
      </c>
      <c r="AJ29" s="53" t="e">
        <f>INDEX(Table_TRM_Fixtures[Fixture Wattage for Baseline Calculations],MATCH(Table_PrescriptLights_Input[[#This Row],[Detailed Baseline Fixture Lookup]], Table_TRM_Fixtures[Detailed Prescriptive Baseline Fixture Lookup],0))</f>
        <v>#N/A</v>
      </c>
      <c r="AK29" s="127" t="e">
        <f>INDEX(Table_Bldg_IEFD_IEFC[IEFE], MATCH( Input_HVACType,Table_Bldg_IEFD_IEFC[List_HVAC], 0))</f>
        <v>#N/A</v>
      </c>
      <c r="AL29" s="127" t="e">
        <f>INDEX( Table_Bldg_IEFD_IEFC[IEFE],MATCH( Input_HVACType, Table_Bldg_IEFD_IEFC[List_HVAC],0 ))</f>
        <v>#N/A</v>
      </c>
      <c r="AM29" s="127" t="e">
        <f>INDEX(Table_Control_PAF[PAF], MATCH(Table_PrescriptLights_Input[[#This Row],[Existing controls]], Table_Control_PAF[List_Control_Types], 0 ) )</f>
        <v>#N/A</v>
      </c>
      <c r="AN29"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29"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29"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29" s="53">
        <f>IFERROR(LEFT(Table_PrescriptLights_Input[[#This Row],[Existing lighting type]], FIND(",",Table_PrescriptLights_Input[[#This Row],[Existing lighting type]])-1), Table_PrescriptLights_Input[[#This Row],[Existing lighting type]])</f>
        <v>0</v>
      </c>
      <c r="AR29" s="53" t="str">
        <f>_xlfn.CONCAT(Table_PrescriptLights_Input[[#This Row],[Generalized Fixture Type]], ":",Table_PrescriptLights_Input[[#This Row],[Existing lamps per fixture]],":",Table_PrescriptLights_Input[[#This Row],[Existing lamp wattage]])</f>
        <v>0::</v>
      </c>
      <c r="AS29" s="53" t="e">
        <f>INDEX(Table_TRM_Fixtures[Fixture Code], MATCH(Table_PrescriptLights_Input[[#This Row],[Generalized Fixture Baseline Lookup]], Table_TRM_Fixtures[Generalized Baseline Fixture Lookup], 0))</f>
        <v>#N/A</v>
      </c>
      <c r="AT29"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29"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29"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29"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29"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29" s="53" t="e">
        <f>IFERROR(Table_PrescriptLights_Input[[#This Row],[Detailed Baseline Fixture Code]],Table_PrescriptLights_Input[[#This Row],[Generalized Baseline Fixture Code]])</f>
        <v>#N/A</v>
      </c>
      <c r="AZ29" s="3"/>
      <c r="BA29" s="3"/>
      <c r="BB29" s="3"/>
      <c r="BC29" s="3"/>
      <c r="BD29" s="3"/>
      <c r="BE29" s="3"/>
      <c r="BF29" s="3"/>
      <c r="BG29" s="3"/>
      <c r="BH29" s="3"/>
      <c r="BI29" s="3"/>
      <c r="BJ29" s="3"/>
      <c r="BK29" s="3"/>
      <c r="BL29" s="3"/>
      <c r="BM29" s="3"/>
      <c r="BN29" s="3"/>
      <c r="BO29" s="3"/>
      <c r="BP29" s="3"/>
      <c r="BQ29" s="3"/>
    </row>
    <row r="30" spans="1:69" x14ac:dyDescent="0.2">
      <c r="A30" s="3"/>
      <c r="B30" s="189">
        <v>26</v>
      </c>
      <c r="C30" s="61" t="str">
        <f>IFERROR(INDEX(Table_Prescript_Meas[Measure Number], MATCH(Table_PrescriptLights_Input[[#This Row],[Prescriptive lighting measure]], Table_Prescript_Meas[Measure Description], 0)), "")</f>
        <v/>
      </c>
      <c r="D30" s="192"/>
      <c r="E30" s="179"/>
      <c r="F30" s="179"/>
      <c r="G30" s="61" t="str">
        <f>IFERROR(INDEX(Table_Prescript_Meas[Unit], MATCH(Table_PrescriptLights_Input[[#This Row],[Measure number]], Table_Prescript_Meas[Measure Number], 0)), "")</f>
        <v/>
      </c>
      <c r="H30" s="180"/>
      <c r="I30" s="179"/>
      <c r="J30" s="179"/>
      <c r="K30" s="180"/>
      <c r="L30" s="179"/>
      <c r="M30" s="180"/>
      <c r="N30" s="180"/>
      <c r="O30" s="180"/>
      <c r="P30" s="180"/>
      <c r="Q30" s="180"/>
      <c r="R30" s="181"/>
      <c r="S30" s="181"/>
      <c r="T30"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30"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30" s="69" t="str">
        <f>IF(Table_PrescriptLights_Input[[#This Row],[Prescriptive lighting measure]]="","",Table_PrescriptLights_Input[[#This Row],[Calculated Energy Savings]])</f>
        <v/>
      </c>
      <c r="W30" s="73" t="str">
        <f>IF(Table_PrescriptLights_Input[[#This Row],[Prescriptive lighting measure]]="","",Table_PrescriptLights_Input[[#This Row],[Calculated Demand Savings]])</f>
        <v/>
      </c>
      <c r="X30" s="67" t="str">
        <f>IFERROR(Table_PrescriptLights_Input[[#This Row],[Energy savings (kWh)]]*Input_AvgkWhRate, "")</f>
        <v/>
      </c>
      <c r="Y30" s="67" t="str">
        <f>IF(Table_PrescriptLights_Input[[#This Row],[Prescriptive lighting measure]]="", "",Table_PrescriptLights_Input[[#This Row],[Material cost per fixture]]*Table_PrescriptLights_Input[[#This Row],[Number of proposed fixtures]]+Table_PrescriptLights_Input[[#This Row],[Total labor cost]])</f>
        <v/>
      </c>
      <c r="Z30" s="67" t="str">
        <f>IFERROR(Table_PrescriptLights_Input[[#This Row],[Gross measure cost]]-Table_PrescriptLights_Input[[#This Row],[Estimated incentive]], "")</f>
        <v/>
      </c>
      <c r="AA30" s="69" t="str">
        <f t="shared" si="0"/>
        <v/>
      </c>
      <c r="AB30" s="69" t="str">
        <f>IF(ISNUMBER(Table_PrescriptLights_Input[[#This Row],[Detailed Fixture Calculation Wattage]]), "Detailed", "General")</f>
        <v>General</v>
      </c>
      <c r="AC30" s="53" t="e">
        <f>INDEX(Table_IntExt_Match[Measure Selection List], MATCH(Table_PrescriptLights_Input[[#This Row],[Interior or exterior?]], Table_IntExt_Match[Inetrior or Exterior], 0))</f>
        <v>#N/A</v>
      </c>
      <c r="AD30" s="53" t="e">
        <f>INDEX(Table_Prescript_Meas[Unit], MATCH(C30, Table_Prescript_Meas[Measure Number], 0))</f>
        <v>#N/A</v>
      </c>
      <c r="AE30" s="53" t="e">
        <f>INDEX(Table_Prescript_Meas[Lighting Type Selection List], MATCH(C30, Table_Prescript_Meas[Measure Number], 0))</f>
        <v>#N/A</v>
      </c>
      <c r="AF30" s="53" t="e">
        <f>INDEX(Table_Prescript_Meas[AOH Type], MATCH(Table_PrescriptLights_Input[[#This Row],[Measure number]], Table_Prescript_Meas[Measure Number],0))</f>
        <v>#N/A</v>
      </c>
      <c r="AG30"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30" s="53" t="str">
        <f>_xlfn.CONCAT(Table_PrescriptLights_Input[[#This Row],[Existing lighting type]],":",Table_PrescriptLights_Input[[#This Row],[Existing lamps per fixture]], ":",Table_PrescriptLights_Input[[#This Row],[Existing lamp wattage]])</f>
        <v>::</v>
      </c>
      <c r="AI30" s="53" t="e">
        <f>INDEX(Table_TRM_Fixtures[Fixture Code], MATCH(Table_PrescriptLights_Input[[#This Row],[Detailed Baseline Fixture Lookup]], Table_TRM_Fixtures[Detailed Prescriptive Baseline Fixture Lookup], 0))</f>
        <v>#N/A</v>
      </c>
      <c r="AJ30" s="53" t="e">
        <f>INDEX(Table_TRM_Fixtures[Fixture Wattage for Baseline Calculations],MATCH(Table_PrescriptLights_Input[[#This Row],[Detailed Baseline Fixture Lookup]], Table_TRM_Fixtures[Detailed Prescriptive Baseline Fixture Lookup],0))</f>
        <v>#N/A</v>
      </c>
      <c r="AK30" s="127" t="e">
        <f>INDEX(Table_Bldg_IEFD_IEFC[IEFE], MATCH( Input_HVACType,Table_Bldg_IEFD_IEFC[List_HVAC], 0))</f>
        <v>#N/A</v>
      </c>
      <c r="AL30" s="127" t="e">
        <f>INDEX( Table_Bldg_IEFD_IEFC[IEFE],MATCH( Input_HVACType, Table_Bldg_IEFD_IEFC[List_HVAC],0 ))</f>
        <v>#N/A</v>
      </c>
      <c r="AM30" s="127" t="e">
        <f>INDEX(Table_Control_PAF[PAF], MATCH(Table_PrescriptLights_Input[[#This Row],[Existing controls]], Table_Control_PAF[List_Control_Types], 0 ) )</f>
        <v>#N/A</v>
      </c>
      <c r="AN30"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30"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30"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30" s="53">
        <f>IFERROR(LEFT(Table_PrescriptLights_Input[[#This Row],[Existing lighting type]], FIND(",",Table_PrescriptLights_Input[[#This Row],[Existing lighting type]])-1), Table_PrescriptLights_Input[[#This Row],[Existing lighting type]])</f>
        <v>0</v>
      </c>
      <c r="AR30" s="53" t="str">
        <f>_xlfn.CONCAT(Table_PrescriptLights_Input[[#This Row],[Generalized Fixture Type]], ":",Table_PrescriptLights_Input[[#This Row],[Existing lamps per fixture]],":",Table_PrescriptLights_Input[[#This Row],[Existing lamp wattage]])</f>
        <v>0::</v>
      </c>
      <c r="AS30" s="53" t="e">
        <f>INDEX(Table_TRM_Fixtures[Fixture Code], MATCH(Table_PrescriptLights_Input[[#This Row],[Generalized Fixture Baseline Lookup]], Table_TRM_Fixtures[Generalized Baseline Fixture Lookup], 0))</f>
        <v>#N/A</v>
      </c>
      <c r="AT30"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30"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30"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30"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30"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30" s="53" t="e">
        <f>IFERROR(Table_PrescriptLights_Input[[#This Row],[Detailed Baseline Fixture Code]],Table_PrescriptLights_Input[[#This Row],[Generalized Baseline Fixture Code]])</f>
        <v>#N/A</v>
      </c>
      <c r="AZ30" s="3"/>
      <c r="BA30" s="3"/>
      <c r="BB30" s="3"/>
      <c r="BC30" s="3"/>
      <c r="BD30" s="3"/>
      <c r="BE30" s="3"/>
      <c r="BF30" s="3"/>
      <c r="BG30" s="3"/>
      <c r="BH30" s="3"/>
      <c r="BI30" s="3"/>
      <c r="BJ30" s="3"/>
      <c r="BK30" s="3"/>
      <c r="BL30" s="3"/>
      <c r="BM30" s="3"/>
      <c r="BN30" s="3"/>
      <c r="BO30" s="3"/>
      <c r="BP30" s="3"/>
      <c r="BQ30" s="3"/>
    </row>
    <row r="31" spans="1:69" x14ac:dyDescent="0.2">
      <c r="A31" s="4"/>
      <c r="B31" s="189">
        <v>27</v>
      </c>
      <c r="C31" s="61" t="str">
        <f>IFERROR(INDEX(Table_Prescript_Meas[Measure Number], MATCH(Table_PrescriptLights_Input[[#This Row],[Prescriptive lighting measure]], Table_Prescript_Meas[Measure Description], 0)), "")</f>
        <v/>
      </c>
      <c r="D31" s="192"/>
      <c r="E31" s="179"/>
      <c r="F31" s="179"/>
      <c r="G31" s="61" t="str">
        <f>IFERROR(INDEX(Table_Prescript_Meas[Unit], MATCH(Table_PrescriptLights_Input[[#This Row],[Measure number]], Table_Prescript_Meas[Measure Number], 0)), "")</f>
        <v/>
      </c>
      <c r="H31" s="180"/>
      <c r="I31" s="179"/>
      <c r="J31" s="179"/>
      <c r="K31" s="180"/>
      <c r="L31" s="179"/>
      <c r="M31" s="180"/>
      <c r="N31" s="180"/>
      <c r="O31" s="180"/>
      <c r="P31" s="180"/>
      <c r="Q31" s="180"/>
      <c r="R31" s="181"/>
      <c r="S31" s="181"/>
      <c r="T31"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31"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31" s="69" t="str">
        <f>IF(Table_PrescriptLights_Input[[#This Row],[Prescriptive lighting measure]]="","",Table_PrescriptLights_Input[[#This Row],[Calculated Energy Savings]])</f>
        <v/>
      </c>
      <c r="W31" s="73" t="str">
        <f>IF(Table_PrescriptLights_Input[[#This Row],[Prescriptive lighting measure]]="","",Table_PrescriptLights_Input[[#This Row],[Calculated Demand Savings]])</f>
        <v/>
      </c>
      <c r="X31" s="67" t="str">
        <f>IFERROR(Table_PrescriptLights_Input[[#This Row],[Energy savings (kWh)]]*Input_AvgkWhRate, "")</f>
        <v/>
      </c>
      <c r="Y31" s="67" t="str">
        <f>IF(Table_PrescriptLights_Input[[#This Row],[Prescriptive lighting measure]]="", "",Table_PrescriptLights_Input[[#This Row],[Material cost per fixture]]*Table_PrescriptLights_Input[[#This Row],[Number of proposed fixtures]]+Table_PrescriptLights_Input[[#This Row],[Total labor cost]])</f>
        <v/>
      </c>
      <c r="Z31" s="67" t="str">
        <f>IFERROR(Table_PrescriptLights_Input[[#This Row],[Gross measure cost]]-Table_PrescriptLights_Input[[#This Row],[Estimated incentive]], "")</f>
        <v/>
      </c>
      <c r="AA31" s="69" t="str">
        <f t="shared" si="0"/>
        <v/>
      </c>
      <c r="AB31" s="69" t="str">
        <f>IF(ISNUMBER(Table_PrescriptLights_Input[[#This Row],[Detailed Fixture Calculation Wattage]]), "Detailed", "General")</f>
        <v>General</v>
      </c>
      <c r="AC31" s="53" t="e">
        <f>INDEX(Table_IntExt_Match[Measure Selection List], MATCH(Table_PrescriptLights_Input[[#This Row],[Interior or exterior?]], Table_IntExt_Match[Inetrior or Exterior], 0))</f>
        <v>#N/A</v>
      </c>
      <c r="AD31" s="53" t="e">
        <f>INDEX(Table_Prescript_Meas[Unit], MATCH(C31, Table_Prescript_Meas[Measure Number], 0))</f>
        <v>#N/A</v>
      </c>
      <c r="AE31" s="53" t="e">
        <f>INDEX(Table_Prescript_Meas[Lighting Type Selection List], MATCH(C31, Table_Prescript_Meas[Measure Number], 0))</f>
        <v>#N/A</v>
      </c>
      <c r="AF31" s="53" t="e">
        <f>INDEX(Table_Prescript_Meas[AOH Type], MATCH(Table_PrescriptLights_Input[[#This Row],[Measure number]], Table_Prescript_Meas[Measure Number],0))</f>
        <v>#N/A</v>
      </c>
      <c r="AG31"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31" s="53" t="str">
        <f>_xlfn.CONCAT(Table_PrescriptLights_Input[[#This Row],[Existing lighting type]],":",Table_PrescriptLights_Input[[#This Row],[Existing lamps per fixture]], ":",Table_PrescriptLights_Input[[#This Row],[Existing lamp wattage]])</f>
        <v>::</v>
      </c>
      <c r="AI31" s="53" t="e">
        <f>INDEX(Table_TRM_Fixtures[Fixture Code], MATCH(Table_PrescriptLights_Input[[#This Row],[Detailed Baseline Fixture Lookup]], Table_TRM_Fixtures[Detailed Prescriptive Baseline Fixture Lookup], 0))</f>
        <v>#N/A</v>
      </c>
      <c r="AJ31" s="53" t="e">
        <f>INDEX(Table_TRM_Fixtures[Fixture Wattage for Baseline Calculations],MATCH(Table_PrescriptLights_Input[[#This Row],[Detailed Baseline Fixture Lookup]], Table_TRM_Fixtures[Detailed Prescriptive Baseline Fixture Lookup],0))</f>
        <v>#N/A</v>
      </c>
      <c r="AK31" s="127" t="e">
        <f>INDEX(Table_Bldg_IEFD_IEFC[IEFE], MATCH( Input_HVACType,Table_Bldg_IEFD_IEFC[List_HVAC], 0))</f>
        <v>#N/A</v>
      </c>
      <c r="AL31" s="127" t="e">
        <f>INDEX( Table_Bldg_IEFD_IEFC[IEFE],MATCH( Input_HVACType, Table_Bldg_IEFD_IEFC[List_HVAC],0 ))</f>
        <v>#N/A</v>
      </c>
      <c r="AM31" s="127" t="e">
        <f>INDEX(Table_Control_PAF[PAF], MATCH(Table_PrescriptLights_Input[[#This Row],[Existing controls]], Table_Control_PAF[List_Control_Types], 0 ) )</f>
        <v>#N/A</v>
      </c>
      <c r="AN31"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31"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31"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31" s="53">
        <f>IFERROR(LEFT(Table_PrescriptLights_Input[[#This Row],[Existing lighting type]], FIND(",",Table_PrescriptLights_Input[[#This Row],[Existing lighting type]])-1), Table_PrescriptLights_Input[[#This Row],[Existing lighting type]])</f>
        <v>0</v>
      </c>
      <c r="AR31" s="53" t="str">
        <f>_xlfn.CONCAT(Table_PrescriptLights_Input[[#This Row],[Generalized Fixture Type]], ":",Table_PrescriptLights_Input[[#This Row],[Existing lamps per fixture]],":",Table_PrescriptLights_Input[[#This Row],[Existing lamp wattage]])</f>
        <v>0::</v>
      </c>
      <c r="AS31" s="53" t="e">
        <f>INDEX(Table_TRM_Fixtures[Fixture Code], MATCH(Table_PrescriptLights_Input[[#This Row],[Generalized Fixture Baseline Lookup]], Table_TRM_Fixtures[Generalized Baseline Fixture Lookup], 0))</f>
        <v>#N/A</v>
      </c>
      <c r="AT31"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31"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31"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31"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31"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31" s="53" t="e">
        <f>IFERROR(Table_PrescriptLights_Input[[#This Row],[Detailed Baseline Fixture Code]],Table_PrescriptLights_Input[[#This Row],[Generalized Baseline Fixture Code]])</f>
        <v>#N/A</v>
      </c>
      <c r="AZ31" s="4"/>
      <c r="BA31" s="4"/>
      <c r="BB31" s="4"/>
      <c r="BC31" s="4"/>
      <c r="BD31" s="4"/>
      <c r="BE31" s="4"/>
      <c r="BF31" s="4"/>
      <c r="BG31" s="4"/>
      <c r="BH31" s="4"/>
      <c r="BI31" s="4"/>
      <c r="BJ31" s="4"/>
      <c r="BK31" s="4"/>
      <c r="BL31" s="4"/>
      <c r="BM31" s="4"/>
      <c r="BN31" s="4"/>
      <c r="BO31" s="4"/>
      <c r="BP31" s="4"/>
      <c r="BQ31" s="4"/>
    </row>
    <row r="32" spans="1:69" x14ac:dyDescent="0.2">
      <c r="A32" s="4"/>
      <c r="B32" s="189">
        <v>28</v>
      </c>
      <c r="C32" s="61" t="str">
        <f>IFERROR(INDEX(Table_Prescript_Meas[Measure Number], MATCH(Table_PrescriptLights_Input[[#This Row],[Prescriptive lighting measure]], Table_Prescript_Meas[Measure Description], 0)), "")</f>
        <v/>
      </c>
      <c r="D32" s="192"/>
      <c r="E32" s="179"/>
      <c r="F32" s="179"/>
      <c r="G32" s="61" t="str">
        <f>IFERROR(INDEX(Table_Prescript_Meas[Unit], MATCH(Table_PrescriptLights_Input[[#This Row],[Measure number]], Table_Prescript_Meas[Measure Number], 0)), "")</f>
        <v/>
      </c>
      <c r="H32" s="180"/>
      <c r="I32" s="179"/>
      <c r="J32" s="179"/>
      <c r="K32" s="180"/>
      <c r="L32" s="179"/>
      <c r="M32" s="180"/>
      <c r="N32" s="180"/>
      <c r="O32" s="180"/>
      <c r="P32" s="180"/>
      <c r="Q32" s="180"/>
      <c r="R32" s="181"/>
      <c r="S32" s="181"/>
      <c r="T32"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32"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32" s="69" t="str">
        <f>IF(Table_PrescriptLights_Input[[#This Row],[Prescriptive lighting measure]]="","",Table_PrescriptLights_Input[[#This Row],[Calculated Energy Savings]])</f>
        <v/>
      </c>
      <c r="W32" s="73" t="str">
        <f>IF(Table_PrescriptLights_Input[[#This Row],[Prescriptive lighting measure]]="","",Table_PrescriptLights_Input[[#This Row],[Calculated Demand Savings]])</f>
        <v/>
      </c>
      <c r="X32" s="67" t="str">
        <f>IFERROR(Table_PrescriptLights_Input[[#This Row],[Energy savings (kWh)]]*Input_AvgkWhRate, "")</f>
        <v/>
      </c>
      <c r="Y32" s="67" t="str">
        <f>IF(Table_PrescriptLights_Input[[#This Row],[Prescriptive lighting measure]]="", "",Table_PrescriptLights_Input[[#This Row],[Material cost per fixture]]*Table_PrescriptLights_Input[[#This Row],[Number of proposed fixtures]]+Table_PrescriptLights_Input[[#This Row],[Total labor cost]])</f>
        <v/>
      </c>
      <c r="Z32" s="67" t="str">
        <f>IFERROR(Table_PrescriptLights_Input[[#This Row],[Gross measure cost]]-Table_PrescriptLights_Input[[#This Row],[Estimated incentive]], "")</f>
        <v/>
      </c>
      <c r="AA32" s="69" t="str">
        <f t="shared" si="0"/>
        <v/>
      </c>
      <c r="AB32" s="69" t="str">
        <f>IF(ISNUMBER(Table_PrescriptLights_Input[[#This Row],[Detailed Fixture Calculation Wattage]]), "Detailed", "General")</f>
        <v>General</v>
      </c>
      <c r="AC32" s="53" t="e">
        <f>INDEX(Table_IntExt_Match[Measure Selection List], MATCH(Table_PrescriptLights_Input[[#This Row],[Interior or exterior?]], Table_IntExt_Match[Inetrior or Exterior], 0))</f>
        <v>#N/A</v>
      </c>
      <c r="AD32" s="53" t="e">
        <f>INDEX(Table_Prescript_Meas[Unit], MATCH(C32, Table_Prescript_Meas[Measure Number], 0))</f>
        <v>#N/A</v>
      </c>
      <c r="AE32" s="53" t="e">
        <f>INDEX(Table_Prescript_Meas[Lighting Type Selection List], MATCH(C32, Table_Prescript_Meas[Measure Number], 0))</f>
        <v>#N/A</v>
      </c>
      <c r="AF32" s="53" t="e">
        <f>INDEX(Table_Prescript_Meas[AOH Type], MATCH(Table_PrescriptLights_Input[[#This Row],[Measure number]], Table_Prescript_Meas[Measure Number],0))</f>
        <v>#N/A</v>
      </c>
      <c r="AG32"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32" s="53" t="str">
        <f>_xlfn.CONCAT(Table_PrescriptLights_Input[[#This Row],[Existing lighting type]],":",Table_PrescriptLights_Input[[#This Row],[Existing lamps per fixture]], ":",Table_PrescriptLights_Input[[#This Row],[Existing lamp wattage]])</f>
        <v>::</v>
      </c>
      <c r="AI32" s="53" t="e">
        <f>INDEX(Table_TRM_Fixtures[Fixture Code], MATCH(Table_PrescriptLights_Input[[#This Row],[Detailed Baseline Fixture Lookup]], Table_TRM_Fixtures[Detailed Prescriptive Baseline Fixture Lookup], 0))</f>
        <v>#N/A</v>
      </c>
      <c r="AJ32" s="53" t="e">
        <f>INDEX(Table_TRM_Fixtures[Fixture Wattage for Baseline Calculations],MATCH(Table_PrescriptLights_Input[[#This Row],[Detailed Baseline Fixture Lookup]], Table_TRM_Fixtures[Detailed Prescriptive Baseline Fixture Lookup],0))</f>
        <v>#N/A</v>
      </c>
      <c r="AK32" s="127" t="e">
        <f>INDEX(Table_Bldg_IEFD_IEFC[IEFE], MATCH( Input_HVACType,Table_Bldg_IEFD_IEFC[List_HVAC], 0))</f>
        <v>#N/A</v>
      </c>
      <c r="AL32" s="127" t="e">
        <f>INDEX( Table_Bldg_IEFD_IEFC[IEFE],MATCH( Input_HVACType, Table_Bldg_IEFD_IEFC[List_HVAC],0 ))</f>
        <v>#N/A</v>
      </c>
      <c r="AM32" s="127" t="e">
        <f>INDEX(Table_Control_PAF[PAF], MATCH(Table_PrescriptLights_Input[[#This Row],[Existing controls]], Table_Control_PAF[List_Control_Types], 0 ) )</f>
        <v>#N/A</v>
      </c>
      <c r="AN32"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32"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32"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32" s="53">
        <f>IFERROR(LEFT(Table_PrescriptLights_Input[[#This Row],[Existing lighting type]], FIND(",",Table_PrescriptLights_Input[[#This Row],[Existing lighting type]])-1), Table_PrescriptLights_Input[[#This Row],[Existing lighting type]])</f>
        <v>0</v>
      </c>
      <c r="AR32" s="53" t="str">
        <f>_xlfn.CONCAT(Table_PrescriptLights_Input[[#This Row],[Generalized Fixture Type]], ":",Table_PrescriptLights_Input[[#This Row],[Existing lamps per fixture]],":",Table_PrescriptLights_Input[[#This Row],[Existing lamp wattage]])</f>
        <v>0::</v>
      </c>
      <c r="AS32" s="53" t="e">
        <f>INDEX(Table_TRM_Fixtures[Fixture Code], MATCH(Table_PrescriptLights_Input[[#This Row],[Generalized Fixture Baseline Lookup]], Table_TRM_Fixtures[Generalized Baseline Fixture Lookup], 0))</f>
        <v>#N/A</v>
      </c>
      <c r="AT32"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32"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32"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32"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32"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32" s="53" t="e">
        <f>IFERROR(Table_PrescriptLights_Input[[#This Row],[Detailed Baseline Fixture Code]],Table_PrescriptLights_Input[[#This Row],[Generalized Baseline Fixture Code]])</f>
        <v>#N/A</v>
      </c>
      <c r="AZ32" s="4"/>
      <c r="BA32" s="4"/>
      <c r="BB32" s="4"/>
      <c r="BC32" s="4"/>
      <c r="BD32" s="4"/>
      <c r="BE32" s="4"/>
      <c r="BF32" s="4"/>
      <c r="BG32" s="4"/>
      <c r="BH32" s="4"/>
      <c r="BI32" s="4"/>
      <c r="BJ32" s="4"/>
      <c r="BK32" s="4"/>
      <c r="BL32" s="4"/>
      <c r="BM32" s="4"/>
      <c r="BN32" s="4"/>
      <c r="BO32" s="4"/>
      <c r="BP32" s="4"/>
      <c r="BQ32" s="4"/>
    </row>
    <row r="33" spans="1:69" x14ac:dyDescent="0.2">
      <c r="A33" s="4"/>
      <c r="B33" s="189">
        <v>29</v>
      </c>
      <c r="C33" s="61" t="str">
        <f>IFERROR(INDEX(Table_Prescript_Meas[Measure Number], MATCH(Table_PrescriptLights_Input[[#This Row],[Prescriptive lighting measure]], Table_Prescript_Meas[Measure Description], 0)), "")</f>
        <v/>
      </c>
      <c r="D33" s="192"/>
      <c r="E33" s="179"/>
      <c r="F33" s="179"/>
      <c r="G33" s="61" t="str">
        <f>IFERROR(INDEX(Table_Prescript_Meas[Unit], MATCH(Table_PrescriptLights_Input[[#This Row],[Measure number]], Table_Prescript_Meas[Measure Number], 0)), "")</f>
        <v/>
      </c>
      <c r="H33" s="180"/>
      <c r="I33" s="179"/>
      <c r="J33" s="179"/>
      <c r="K33" s="180"/>
      <c r="L33" s="179"/>
      <c r="M33" s="180"/>
      <c r="N33" s="180"/>
      <c r="O33" s="180"/>
      <c r="P33" s="180"/>
      <c r="Q33" s="180"/>
      <c r="R33" s="181"/>
      <c r="S33" s="181"/>
      <c r="T33"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33"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33" s="69" t="str">
        <f>IF(Table_PrescriptLights_Input[[#This Row],[Prescriptive lighting measure]]="","",Table_PrescriptLights_Input[[#This Row],[Calculated Energy Savings]])</f>
        <v/>
      </c>
      <c r="W33" s="73" t="str">
        <f>IF(Table_PrescriptLights_Input[[#This Row],[Prescriptive lighting measure]]="","",Table_PrescriptLights_Input[[#This Row],[Calculated Demand Savings]])</f>
        <v/>
      </c>
      <c r="X33" s="67" t="str">
        <f>IFERROR(Table_PrescriptLights_Input[[#This Row],[Energy savings (kWh)]]*Input_AvgkWhRate, "")</f>
        <v/>
      </c>
      <c r="Y33" s="67" t="str">
        <f>IF(Table_PrescriptLights_Input[[#This Row],[Prescriptive lighting measure]]="", "",Table_PrescriptLights_Input[[#This Row],[Material cost per fixture]]*Table_PrescriptLights_Input[[#This Row],[Number of proposed fixtures]]+Table_PrescriptLights_Input[[#This Row],[Total labor cost]])</f>
        <v/>
      </c>
      <c r="Z33" s="67" t="str">
        <f>IFERROR(Table_PrescriptLights_Input[[#This Row],[Gross measure cost]]-Table_PrescriptLights_Input[[#This Row],[Estimated incentive]], "")</f>
        <v/>
      </c>
      <c r="AA33" s="69" t="str">
        <f t="shared" si="0"/>
        <v/>
      </c>
      <c r="AB33" s="69" t="str">
        <f>IF(ISNUMBER(Table_PrescriptLights_Input[[#This Row],[Detailed Fixture Calculation Wattage]]), "Detailed", "General")</f>
        <v>General</v>
      </c>
      <c r="AC33" s="53" t="e">
        <f>INDEX(Table_IntExt_Match[Measure Selection List], MATCH(Table_PrescriptLights_Input[[#This Row],[Interior or exterior?]], Table_IntExt_Match[Inetrior or Exterior], 0))</f>
        <v>#N/A</v>
      </c>
      <c r="AD33" s="53" t="e">
        <f>INDEX(Table_Prescript_Meas[Unit], MATCH(C33, Table_Prescript_Meas[Measure Number], 0))</f>
        <v>#N/A</v>
      </c>
      <c r="AE33" s="53" t="e">
        <f>INDEX(Table_Prescript_Meas[Lighting Type Selection List], MATCH(C33, Table_Prescript_Meas[Measure Number], 0))</f>
        <v>#N/A</v>
      </c>
      <c r="AF33" s="53" t="e">
        <f>INDEX(Table_Prescript_Meas[AOH Type], MATCH(Table_PrescriptLights_Input[[#This Row],[Measure number]], Table_Prescript_Meas[Measure Number],0))</f>
        <v>#N/A</v>
      </c>
      <c r="AG33"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33" s="53" t="str">
        <f>_xlfn.CONCAT(Table_PrescriptLights_Input[[#This Row],[Existing lighting type]],":",Table_PrescriptLights_Input[[#This Row],[Existing lamps per fixture]], ":",Table_PrescriptLights_Input[[#This Row],[Existing lamp wattage]])</f>
        <v>::</v>
      </c>
      <c r="AI33" s="53" t="e">
        <f>INDEX(Table_TRM_Fixtures[Fixture Code], MATCH(Table_PrescriptLights_Input[[#This Row],[Detailed Baseline Fixture Lookup]], Table_TRM_Fixtures[Detailed Prescriptive Baseline Fixture Lookup], 0))</f>
        <v>#N/A</v>
      </c>
      <c r="AJ33" s="53" t="e">
        <f>INDEX(Table_TRM_Fixtures[Fixture Wattage for Baseline Calculations],MATCH(Table_PrescriptLights_Input[[#This Row],[Detailed Baseline Fixture Lookup]], Table_TRM_Fixtures[Detailed Prescriptive Baseline Fixture Lookup],0))</f>
        <v>#N/A</v>
      </c>
      <c r="AK33" s="127" t="e">
        <f>INDEX(Table_Bldg_IEFD_IEFC[IEFE], MATCH( Input_HVACType,Table_Bldg_IEFD_IEFC[List_HVAC], 0))</f>
        <v>#N/A</v>
      </c>
      <c r="AL33" s="127" t="e">
        <f>INDEX( Table_Bldg_IEFD_IEFC[IEFE],MATCH( Input_HVACType, Table_Bldg_IEFD_IEFC[List_HVAC],0 ))</f>
        <v>#N/A</v>
      </c>
      <c r="AM33" s="127" t="e">
        <f>INDEX(Table_Control_PAF[PAF], MATCH(Table_PrescriptLights_Input[[#This Row],[Existing controls]], Table_Control_PAF[List_Control_Types], 0 ) )</f>
        <v>#N/A</v>
      </c>
      <c r="AN33"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33"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33"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33" s="53">
        <f>IFERROR(LEFT(Table_PrescriptLights_Input[[#This Row],[Existing lighting type]], FIND(",",Table_PrescriptLights_Input[[#This Row],[Existing lighting type]])-1), Table_PrescriptLights_Input[[#This Row],[Existing lighting type]])</f>
        <v>0</v>
      </c>
      <c r="AR33" s="53" t="str">
        <f>_xlfn.CONCAT(Table_PrescriptLights_Input[[#This Row],[Generalized Fixture Type]], ":",Table_PrescriptLights_Input[[#This Row],[Existing lamps per fixture]],":",Table_PrescriptLights_Input[[#This Row],[Existing lamp wattage]])</f>
        <v>0::</v>
      </c>
      <c r="AS33" s="53" t="e">
        <f>INDEX(Table_TRM_Fixtures[Fixture Code], MATCH(Table_PrescriptLights_Input[[#This Row],[Generalized Fixture Baseline Lookup]], Table_TRM_Fixtures[Generalized Baseline Fixture Lookup], 0))</f>
        <v>#N/A</v>
      </c>
      <c r="AT33"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33"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33"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33"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33"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33" s="53" t="e">
        <f>IFERROR(Table_PrescriptLights_Input[[#This Row],[Detailed Baseline Fixture Code]],Table_PrescriptLights_Input[[#This Row],[Generalized Baseline Fixture Code]])</f>
        <v>#N/A</v>
      </c>
      <c r="AZ33" s="4"/>
      <c r="BA33" s="4"/>
      <c r="BB33" s="4"/>
      <c r="BC33" s="4"/>
      <c r="BD33" s="4"/>
      <c r="BE33" s="4"/>
      <c r="BF33" s="4"/>
      <c r="BG33" s="4"/>
      <c r="BH33" s="4"/>
      <c r="BI33" s="4"/>
      <c r="BJ33" s="4"/>
      <c r="BK33" s="4"/>
      <c r="BL33" s="4"/>
      <c r="BM33" s="4"/>
      <c r="BN33" s="4"/>
      <c r="BO33" s="4"/>
      <c r="BP33" s="4"/>
      <c r="BQ33" s="4"/>
    </row>
    <row r="34" spans="1:69" x14ac:dyDescent="0.2">
      <c r="A34" s="4"/>
      <c r="B34" s="189">
        <v>30</v>
      </c>
      <c r="C34" s="61" t="str">
        <f>IFERROR(INDEX(Table_Prescript_Meas[Measure Number], MATCH(Table_PrescriptLights_Input[[#This Row],[Prescriptive lighting measure]], Table_Prescript_Meas[Measure Description], 0)), "")</f>
        <v/>
      </c>
      <c r="D34" s="192"/>
      <c r="E34" s="179"/>
      <c r="F34" s="179"/>
      <c r="G34" s="61" t="str">
        <f>IFERROR(INDEX(Table_Prescript_Meas[Unit], MATCH(Table_PrescriptLights_Input[[#This Row],[Measure number]], Table_Prescript_Meas[Measure Number], 0)), "")</f>
        <v/>
      </c>
      <c r="H34" s="180"/>
      <c r="I34" s="179"/>
      <c r="J34" s="179"/>
      <c r="K34" s="180"/>
      <c r="L34" s="179"/>
      <c r="M34" s="180"/>
      <c r="N34" s="180"/>
      <c r="O34" s="180"/>
      <c r="P34" s="180"/>
      <c r="Q34" s="180"/>
      <c r="R34" s="181"/>
      <c r="S34" s="181"/>
      <c r="T34"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34"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34" s="69" t="str">
        <f>IF(Table_PrescriptLights_Input[[#This Row],[Prescriptive lighting measure]]="","",Table_PrescriptLights_Input[[#This Row],[Calculated Energy Savings]])</f>
        <v/>
      </c>
      <c r="W34" s="73" t="str">
        <f>IF(Table_PrescriptLights_Input[[#This Row],[Prescriptive lighting measure]]="","",Table_PrescriptLights_Input[[#This Row],[Calculated Demand Savings]])</f>
        <v/>
      </c>
      <c r="X34" s="67" t="str">
        <f>IFERROR(Table_PrescriptLights_Input[[#This Row],[Energy savings (kWh)]]*Input_AvgkWhRate, "")</f>
        <v/>
      </c>
      <c r="Y34" s="67" t="str">
        <f>IF(Table_PrescriptLights_Input[[#This Row],[Prescriptive lighting measure]]="", "",Table_PrescriptLights_Input[[#This Row],[Material cost per fixture]]*Table_PrescriptLights_Input[[#This Row],[Number of proposed fixtures]]+Table_PrescriptLights_Input[[#This Row],[Total labor cost]])</f>
        <v/>
      </c>
      <c r="Z34" s="67" t="str">
        <f>IFERROR(Table_PrescriptLights_Input[[#This Row],[Gross measure cost]]-Table_PrescriptLights_Input[[#This Row],[Estimated incentive]], "")</f>
        <v/>
      </c>
      <c r="AA34" s="69" t="str">
        <f t="shared" si="0"/>
        <v/>
      </c>
      <c r="AB34" s="69" t="str">
        <f>IF(ISNUMBER(Table_PrescriptLights_Input[[#This Row],[Detailed Fixture Calculation Wattage]]), "Detailed", "General")</f>
        <v>General</v>
      </c>
      <c r="AC34" s="53" t="e">
        <f>INDEX(Table_IntExt_Match[Measure Selection List], MATCH(Table_PrescriptLights_Input[[#This Row],[Interior or exterior?]], Table_IntExt_Match[Inetrior or Exterior], 0))</f>
        <v>#N/A</v>
      </c>
      <c r="AD34" s="53" t="e">
        <f>INDEX(Table_Prescript_Meas[Unit], MATCH(C34, Table_Prescript_Meas[Measure Number], 0))</f>
        <v>#N/A</v>
      </c>
      <c r="AE34" s="53" t="e">
        <f>INDEX(Table_Prescript_Meas[Lighting Type Selection List], MATCH(C34, Table_Prescript_Meas[Measure Number], 0))</f>
        <v>#N/A</v>
      </c>
      <c r="AF34" s="53" t="e">
        <f>INDEX(Table_Prescript_Meas[AOH Type], MATCH(Table_PrescriptLights_Input[[#This Row],[Measure number]], Table_Prescript_Meas[Measure Number],0))</f>
        <v>#N/A</v>
      </c>
      <c r="AG34"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34" s="53" t="str">
        <f>_xlfn.CONCAT(Table_PrescriptLights_Input[[#This Row],[Existing lighting type]],":",Table_PrescriptLights_Input[[#This Row],[Existing lamps per fixture]], ":",Table_PrescriptLights_Input[[#This Row],[Existing lamp wattage]])</f>
        <v>::</v>
      </c>
      <c r="AI34" s="53" t="e">
        <f>INDEX(Table_TRM_Fixtures[Fixture Code], MATCH(Table_PrescriptLights_Input[[#This Row],[Detailed Baseline Fixture Lookup]], Table_TRM_Fixtures[Detailed Prescriptive Baseline Fixture Lookup], 0))</f>
        <v>#N/A</v>
      </c>
      <c r="AJ34" s="53" t="e">
        <f>INDEX(Table_TRM_Fixtures[Fixture Wattage for Baseline Calculations],MATCH(Table_PrescriptLights_Input[[#This Row],[Detailed Baseline Fixture Lookup]], Table_TRM_Fixtures[Detailed Prescriptive Baseline Fixture Lookup],0))</f>
        <v>#N/A</v>
      </c>
      <c r="AK34" s="127" t="e">
        <f>INDEX(Table_Bldg_IEFD_IEFC[IEFE], MATCH( Input_HVACType,Table_Bldg_IEFD_IEFC[List_HVAC], 0))</f>
        <v>#N/A</v>
      </c>
      <c r="AL34" s="127" t="e">
        <f>INDEX( Table_Bldg_IEFD_IEFC[IEFE],MATCH( Input_HVACType, Table_Bldg_IEFD_IEFC[List_HVAC],0 ))</f>
        <v>#N/A</v>
      </c>
      <c r="AM34" s="127" t="e">
        <f>INDEX(Table_Control_PAF[PAF], MATCH(Table_PrescriptLights_Input[[#This Row],[Existing controls]], Table_Control_PAF[List_Control_Types], 0 ) )</f>
        <v>#N/A</v>
      </c>
      <c r="AN34"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34"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34"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34" s="53">
        <f>IFERROR(LEFT(Table_PrescriptLights_Input[[#This Row],[Existing lighting type]], FIND(",",Table_PrescriptLights_Input[[#This Row],[Existing lighting type]])-1), Table_PrescriptLights_Input[[#This Row],[Existing lighting type]])</f>
        <v>0</v>
      </c>
      <c r="AR34" s="53" t="str">
        <f>_xlfn.CONCAT(Table_PrescriptLights_Input[[#This Row],[Generalized Fixture Type]], ":",Table_PrescriptLights_Input[[#This Row],[Existing lamps per fixture]],":",Table_PrescriptLights_Input[[#This Row],[Existing lamp wattage]])</f>
        <v>0::</v>
      </c>
      <c r="AS34" s="53" t="e">
        <f>INDEX(Table_TRM_Fixtures[Fixture Code], MATCH(Table_PrescriptLights_Input[[#This Row],[Generalized Fixture Baseline Lookup]], Table_TRM_Fixtures[Generalized Baseline Fixture Lookup], 0))</f>
        <v>#N/A</v>
      </c>
      <c r="AT34"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34"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34"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34"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34"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34" s="53" t="e">
        <f>IFERROR(Table_PrescriptLights_Input[[#This Row],[Detailed Baseline Fixture Code]],Table_PrescriptLights_Input[[#This Row],[Generalized Baseline Fixture Code]])</f>
        <v>#N/A</v>
      </c>
      <c r="AZ34" s="4"/>
      <c r="BA34" s="4"/>
      <c r="BB34" s="4"/>
      <c r="BC34" s="4"/>
      <c r="BD34" s="4"/>
      <c r="BE34" s="4"/>
      <c r="BF34" s="4"/>
      <c r="BG34" s="4"/>
      <c r="BH34" s="4"/>
      <c r="BI34" s="4"/>
      <c r="BJ34" s="4"/>
      <c r="BK34" s="4"/>
      <c r="BL34" s="4"/>
      <c r="BM34" s="4"/>
      <c r="BN34" s="4"/>
      <c r="BO34" s="4"/>
      <c r="BP34" s="4"/>
      <c r="BQ34" s="4"/>
    </row>
    <row r="35" spans="1:69" x14ac:dyDescent="0.2">
      <c r="A35" s="4"/>
      <c r="B35" s="189">
        <v>31</v>
      </c>
      <c r="C35" s="61" t="str">
        <f>IFERROR(INDEX(Table_Prescript_Meas[Measure Number], MATCH(Table_PrescriptLights_Input[[#This Row],[Prescriptive lighting measure]], Table_Prescript_Meas[Measure Description], 0)), "")</f>
        <v/>
      </c>
      <c r="D35" s="192"/>
      <c r="E35" s="179"/>
      <c r="F35" s="179"/>
      <c r="G35" s="61" t="str">
        <f>IFERROR(INDEX(Table_Prescript_Meas[Unit], MATCH(Table_PrescriptLights_Input[[#This Row],[Measure number]], Table_Prescript_Meas[Measure Number], 0)), "")</f>
        <v/>
      </c>
      <c r="H35" s="180"/>
      <c r="I35" s="179"/>
      <c r="J35" s="179"/>
      <c r="K35" s="180"/>
      <c r="L35" s="179"/>
      <c r="M35" s="180"/>
      <c r="N35" s="180"/>
      <c r="O35" s="180"/>
      <c r="P35" s="180"/>
      <c r="Q35" s="180"/>
      <c r="R35" s="181"/>
      <c r="S35" s="181"/>
      <c r="T35"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35"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35" s="69" t="str">
        <f>IF(Table_PrescriptLights_Input[[#This Row],[Prescriptive lighting measure]]="","",Table_PrescriptLights_Input[[#This Row],[Calculated Energy Savings]])</f>
        <v/>
      </c>
      <c r="W35" s="73" t="str">
        <f>IF(Table_PrescriptLights_Input[[#This Row],[Prescriptive lighting measure]]="","",Table_PrescriptLights_Input[[#This Row],[Calculated Demand Savings]])</f>
        <v/>
      </c>
      <c r="X35" s="67" t="str">
        <f>IFERROR(Table_PrescriptLights_Input[[#This Row],[Energy savings (kWh)]]*Input_AvgkWhRate, "")</f>
        <v/>
      </c>
      <c r="Y35" s="67" t="str">
        <f>IF(Table_PrescriptLights_Input[[#This Row],[Prescriptive lighting measure]]="", "",Table_PrescriptLights_Input[[#This Row],[Material cost per fixture]]*Table_PrescriptLights_Input[[#This Row],[Number of proposed fixtures]]+Table_PrescriptLights_Input[[#This Row],[Total labor cost]])</f>
        <v/>
      </c>
      <c r="Z35" s="67" t="str">
        <f>IFERROR(Table_PrescriptLights_Input[[#This Row],[Gross measure cost]]-Table_PrescriptLights_Input[[#This Row],[Estimated incentive]], "")</f>
        <v/>
      </c>
      <c r="AA35" s="69" t="str">
        <f t="shared" si="0"/>
        <v/>
      </c>
      <c r="AB35" s="69" t="str">
        <f>IF(ISNUMBER(Table_PrescriptLights_Input[[#This Row],[Detailed Fixture Calculation Wattage]]), "Detailed", "General")</f>
        <v>General</v>
      </c>
      <c r="AC35" s="53" t="e">
        <f>INDEX(Table_IntExt_Match[Measure Selection List], MATCH(Table_PrescriptLights_Input[[#This Row],[Interior or exterior?]], Table_IntExt_Match[Inetrior or Exterior], 0))</f>
        <v>#N/A</v>
      </c>
      <c r="AD35" s="53" t="e">
        <f>INDEX(Table_Prescript_Meas[Unit], MATCH(C35, Table_Prescript_Meas[Measure Number], 0))</f>
        <v>#N/A</v>
      </c>
      <c r="AE35" s="53" t="e">
        <f>INDEX(Table_Prescript_Meas[Lighting Type Selection List], MATCH(C35, Table_Prescript_Meas[Measure Number], 0))</f>
        <v>#N/A</v>
      </c>
      <c r="AF35" s="53" t="e">
        <f>INDEX(Table_Prescript_Meas[AOH Type], MATCH(Table_PrescriptLights_Input[[#This Row],[Measure number]], Table_Prescript_Meas[Measure Number],0))</f>
        <v>#N/A</v>
      </c>
      <c r="AG35"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35" s="53" t="str">
        <f>_xlfn.CONCAT(Table_PrescriptLights_Input[[#This Row],[Existing lighting type]],":",Table_PrescriptLights_Input[[#This Row],[Existing lamps per fixture]], ":",Table_PrescriptLights_Input[[#This Row],[Existing lamp wattage]])</f>
        <v>::</v>
      </c>
      <c r="AI35" s="53" t="e">
        <f>INDEX(Table_TRM_Fixtures[Fixture Code], MATCH(Table_PrescriptLights_Input[[#This Row],[Detailed Baseline Fixture Lookup]], Table_TRM_Fixtures[Detailed Prescriptive Baseline Fixture Lookup], 0))</f>
        <v>#N/A</v>
      </c>
      <c r="AJ35" s="53" t="e">
        <f>INDEX(Table_TRM_Fixtures[Fixture Wattage for Baseline Calculations],MATCH(Table_PrescriptLights_Input[[#This Row],[Detailed Baseline Fixture Lookup]], Table_TRM_Fixtures[Detailed Prescriptive Baseline Fixture Lookup],0))</f>
        <v>#N/A</v>
      </c>
      <c r="AK35" s="127" t="e">
        <f>INDEX(Table_Bldg_IEFD_IEFC[IEFE], MATCH( Input_HVACType,Table_Bldg_IEFD_IEFC[List_HVAC], 0))</f>
        <v>#N/A</v>
      </c>
      <c r="AL35" s="127" t="e">
        <f>INDEX( Table_Bldg_IEFD_IEFC[IEFE],MATCH( Input_HVACType, Table_Bldg_IEFD_IEFC[List_HVAC],0 ))</f>
        <v>#N/A</v>
      </c>
      <c r="AM35" s="127" t="e">
        <f>INDEX(Table_Control_PAF[PAF], MATCH(Table_PrescriptLights_Input[[#This Row],[Existing controls]], Table_Control_PAF[List_Control_Types], 0 ) )</f>
        <v>#N/A</v>
      </c>
      <c r="AN35"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35"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35"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35" s="53">
        <f>IFERROR(LEFT(Table_PrescriptLights_Input[[#This Row],[Existing lighting type]], FIND(",",Table_PrescriptLights_Input[[#This Row],[Existing lighting type]])-1), Table_PrescriptLights_Input[[#This Row],[Existing lighting type]])</f>
        <v>0</v>
      </c>
      <c r="AR35" s="53" t="str">
        <f>_xlfn.CONCAT(Table_PrescriptLights_Input[[#This Row],[Generalized Fixture Type]], ":",Table_PrescriptLights_Input[[#This Row],[Existing lamps per fixture]],":",Table_PrescriptLights_Input[[#This Row],[Existing lamp wattage]])</f>
        <v>0::</v>
      </c>
      <c r="AS35" s="53" t="e">
        <f>INDEX(Table_TRM_Fixtures[Fixture Code], MATCH(Table_PrescriptLights_Input[[#This Row],[Generalized Fixture Baseline Lookup]], Table_TRM_Fixtures[Generalized Baseline Fixture Lookup], 0))</f>
        <v>#N/A</v>
      </c>
      <c r="AT35"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35"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35"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35"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35"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35" s="53" t="e">
        <f>IFERROR(Table_PrescriptLights_Input[[#This Row],[Detailed Baseline Fixture Code]],Table_PrescriptLights_Input[[#This Row],[Generalized Baseline Fixture Code]])</f>
        <v>#N/A</v>
      </c>
      <c r="AZ35" s="4"/>
      <c r="BA35" s="4"/>
      <c r="BB35" s="4"/>
      <c r="BC35" s="4"/>
      <c r="BD35" s="4"/>
      <c r="BE35" s="4"/>
      <c r="BF35" s="4"/>
      <c r="BG35" s="4"/>
      <c r="BH35" s="4"/>
      <c r="BI35" s="4"/>
      <c r="BJ35" s="4"/>
      <c r="BK35" s="4"/>
      <c r="BL35" s="4"/>
      <c r="BM35" s="4"/>
      <c r="BN35" s="4"/>
      <c r="BO35" s="4"/>
      <c r="BP35" s="4"/>
      <c r="BQ35" s="4"/>
    </row>
    <row r="36" spans="1:69" x14ac:dyDescent="0.2">
      <c r="A36" s="4"/>
      <c r="B36" s="189">
        <v>32</v>
      </c>
      <c r="C36" s="61" t="str">
        <f>IFERROR(INDEX(Table_Prescript_Meas[Measure Number], MATCH(Table_PrescriptLights_Input[[#This Row],[Prescriptive lighting measure]], Table_Prescript_Meas[Measure Description], 0)), "")</f>
        <v/>
      </c>
      <c r="D36" s="192"/>
      <c r="E36" s="179"/>
      <c r="F36" s="179"/>
      <c r="G36" s="61" t="str">
        <f>IFERROR(INDEX(Table_Prescript_Meas[Unit], MATCH(Table_PrescriptLights_Input[[#This Row],[Measure number]], Table_Prescript_Meas[Measure Number], 0)), "")</f>
        <v/>
      </c>
      <c r="H36" s="180"/>
      <c r="I36" s="179"/>
      <c r="J36" s="179"/>
      <c r="K36" s="180"/>
      <c r="L36" s="179"/>
      <c r="M36" s="180"/>
      <c r="N36" s="180"/>
      <c r="O36" s="180"/>
      <c r="P36" s="180"/>
      <c r="Q36" s="180"/>
      <c r="R36" s="181"/>
      <c r="S36" s="181"/>
      <c r="T36"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36"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36" s="69" t="str">
        <f>IF(Table_PrescriptLights_Input[[#This Row],[Prescriptive lighting measure]]="","",Table_PrescriptLights_Input[[#This Row],[Calculated Energy Savings]])</f>
        <v/>
      </c>
      <c r="W36" s="73" t="str">
        <f>IF(Table_PrescriptLights_Input[[#This Row],[Prescriptive lighting measure]]="","",Table_PrescriptLights_Input[[#This Row],[Calculated Demand Savings]])</f>
        <v/>
      </c>
      <c r="X36" s="67" t="str">
        <f>IFERROR(Table_PrescriptLights_Input[[#This Row],[Energy savings (kWh)]]*Input_AvgkWhRate, "")</f>
        <v/>
      </c>
      <c r="Y36" s="67" t="str">
        <f>IF(Table_PrescriptLights_Input[[#This Row],[Prescriptive lighting measure]]="", "",Table_PrescriptLights_Input[[#This Row],[Material cost per fixture]]*Table_PrescriptLights_Input[[#This Row],[Number of proposed fixtures]]+Table_PrescriptLights_Input[[#This Row],[Total labor cost]])</f>
        <v/>
      </c>
      <c r="Z36" s="67" t="str">
        <f>IFERROR(Table_PrescriptLights_Input[[#This Row],[Gross measure cost]]-Table_PrescriptLights_Input[[#This Row],[Estimated incentive]], "")</f>
        <v/>
      </c>
      <c r="AA36" s="69" t="str">
        <f t="shared" si="0"/>
        <v/>
      </c>
      <c r="AB36" s="69" t="str">
        <f>IF(ISNUMBER(Table_PrescriptLights_Input[[#This Row],[Detailed Fixture Calculation Wattage]]), "Detailed", "General")</f>
        <v>General</v>
      </c>
      <c r="AC36" s="53" t="e">
        <f>INDEX(Table_IntExt_Match[Measure Selection List], MATCH(Table_PrescriptLights_Input[[#This Row],[Interior or exterior?]], Table_IntExt_Match[Inetrior or Exterior], 0))</f>
        <v>#N/A</v>
      </c>
      <c r="AD36" s="53" t="e">
        <f>INDEX(Table_Prescript_Meas[Unit], MATCH(C36, Table_Prescript_Meas[Measure Number], 0))</f>
        <v>#N/A</v>
      </c>
      <c r="AE36" s="53" t="e">
        <f>INDEX(Table_Prescript_Meas[Lighting Type Selection List], MATCH(C36, Table_Prescript_Meas[Measure Number], 0))</f>
        <v>#N/A</v>
      </c>
      <c r="AF36" s="53" t="e">
        <f>INDEX(Table_Prescript_Meas[AOH Type], MATCH(Table_PrescriptLights_Input[[#This Row],[Measure number]], Table_Prescript_Meas[Measure Number],0))</f>
        <v>#N/A</v>
      </c>
      <c r="AG36"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36" s="53" t="str">
        <f>_xlfn.CONCAT(Table_PrescriptLights_Input[[#This Row],[Existing lighting type]],":",Table_PrescriptLights_Input[[#This Row],[Existing lamps per fixture]], ":",Table_PrescriptLights_Input[[#This Row],[Existing lamp wattage]])</f>
        <v>::</v>
      </c>
      <c r="AI36" s="53" t="e">
        <f>INDEX(Table_TRM_Fixtures[Fixture Code], MATCH(Table_PrescriptLights_Input[[#This Row],[Detailed Baseline Fixture Lookup]], Table_TRM_Fixtures[Detailed Prescriptive Baseline Fixture Lookup], 0))</f>
        <v>#N/A</v>
      </c>
      <c r="AJ36" s="53" t="e">
        <f>INDEX(Table_TRM_Fixtures[Fixture Wattage for Baseline Calculations],MATCH(Table_PrescriptLights_Input[[#This Row],[Detailed Baseline Fixture Lookup]], Table_TRM_Fixtures[Detailed Prescriptive Baseline Fixture Lookup],0))</f>
        <v>#N/A</v>
      </c>
      <c r="AK36" s="127" t="e">
        <f>INDEX(Table_Bldg_IEFD_IEFC[IEFE], MATCH( Input_HVACType,Table_Bldg_IEFD_IEFC[List_HVAC], 0))</f>
        <v>#N/A</v>
      </c>
      <c r="AL36" s="127" t="e">
        <f>INDEX( Table_Bldg_IEFD_IEFC[IEFE],MATCH( Input_HVACType, Table_Bldg_IEFD_IEFC[List_HVAC],0 ))</f>
        <v>#N/A</v>
      </c>
      <c r="AM36" s="127" t="e">
        <f>INDEX(Table_Control_PAF[PAF], MATCH(Table_PrescriptLights_Input[[#This Row],[Existing controls]], Table_Control_PAF[List_Control_Types], 0 ) )</f>
        <v>#N/A</v>
      </c>
      <c r="AN36"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36"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36"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36" s="53">
        <f>IFERROR(LEFT(Table_PrescriptLights_Input[[#This Row],[Existing lighting type]], FIND(",",Table_PrescriptLights_Input[[#This Row],[Existing lighting type]])-1), Table_PrescriptLights_Input[[#This Row],[Existing lighting type]])</f>
        <v>0</v>
      </c>
      <c r="AR36" s="53" t="str">
        <f>_xlfn.CONCAT(Table_PrescriptLights_Input[[#This Row],[Generalized Fixture Type]], ":",Table_PrescriptLights_Input[[#This Row],[Existing lamps per fixture]],":",Table_PrescriptLights_Input[[#This Row],[Existing lamp wattage]])</f>
        <v>0::</v>
      </c>
      <c r="AS36" s="53" t="e">
        <f>INDEX(Table_TRM_Fixtures[Fixture Code], MATCH(Table_PrescriptLights_Input[[#This Row],[Generalized Fixture Baseline Lookup]], Table_TRM_Fixtures[Generalized Baseline Fixture Lookup], 0))</f>
        <v>#N/A</v>
      </c>
      <c r="AT36"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36"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36"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36"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36"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36" s="53" t="e">
        <f>IFERROR(Table_PrescriptLights_Input[[#This Row],[Detailed Baseline Fixture Code]],Table_PrescriptLights_Input[[#This Row],[Generalized Baseline Fixture Code]])</f>
        <v>#N/A</v>
      </c>
      <c r="AZ36" s="4"/>
      <c r="BA36" s="4"/>
      <c r="BB36" s="4"/>
      <c r="BC36" s="4"/>
      <c r="BD36" s="4"/>
      <c r="BE36" s="4"/>
      <c r="BF36" s="4"/>
      <c r="BG36" s="4"/>
      <c r="BH36" s="4"/>
      <c r="BI36" s="4"/>
      <c r="BJ36" s="4"/>
      <c r="BK36" s="4"/>
      <c r="BL36" s="4"/>
      <c r="BM36" s="4"/>
      <c r="BN36" s="4"/>
      <c r="BO36" s="4"/>
      <c r="BP36" s="4"/>
      <c r="BQ36" s="4"/>
    </row>
    <row r="37" spans="1:69" x14ac:dyDescent="0.2">
      <c r="A37" s="4"/>
      <c r="B37" s="189">
        <v>33</v>
      </c>
      <c r="C37" s="61" t="str">
        <f>IFERROR(INDEX(Table_Prescript_Meas[Measure Number], MATCH(Table_PrescriptLights_Input[[#This Row],[Prescriptive lighting measure]], Table_Prescript_Meas[Measure Description], 0)), "")</f>
        <v/>
      </c>
      <c r="D37" s="192"/>
      <c r="E37" s="179"/>
      <c r="F37" s="179"/>
      <c r="G37" s="61" t="str">
        <f>IFERROR(INDEX(Table_Prescript_Meas[Unit], MATCH(Table_PrescriptLights_Input[[#This Row],[Measure number]], Table_Prescript_Meas[Measure Number], 0)), "")</f>
        <v/>
      </c>
      <c r="H37" s="180"/>
      <c r="I37" s="179"/>
      <c r="J37" s="179"/>
      <c r="K37" s="180"/>
      <c r="L37" s="179"/>
      <c r="M37" s="180"/>
      <c r="N37" s="180"/>
      <c r="O37" s="180"/>
      <c r="P37" s="180"/>
      <c r="Q37" s="180"/>
      <c r="R37" s="181"/>
      <c r="S37" s="181"/>
      <c r="T37"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37"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37" s="69" t="str">
        <f>IF(Table_PrescriptLights_Input[[#This Row],[Prescriptive lighting measure]]="","",Table_PrescriptLights_Input[[#This Row],[Calculated Energy Savings]])</f>
        <v/>
      </c>
      <c r="W37" s="73" t="str">
        <f>IF(Table_PrescriptLights_Input[[#This Row],[Prescriptive lighting measure]]="","",Table_PrescriptLights_Input[[#This Row],[Calculated Demand Savings]])</f>
        <v/>
      </c>
      <c r="X37" s="67" t="str">
        <f>IFERROR(Table_PrescriptLights_Input[[#This Row],[Energy savings (kWh)]]*Input_AvgkWhRate, "")</f>
        <v/>
      </c>
      <c r="Y37" s="67" t="str">
        <f>IF(Table_PrescriptLights_Input[[#This Row],[Prescriptive lighting measure]]="", "",Table_PrescriptLights_Input[[#This Row],[Material cost per fixture]]*Table_PrescriptLights_Input[[#This Row],[Number of proposed fixtures]]+Table_PrescriptLights_Input[[#This Row],[Total labor cost]])</f>
        <v/>
      </c>
      <c r="Z37" s="67" t="str">
        <f>IFERROR(Table_PrescriptLights_Input[[#This Row],[Gross measure cost]]-Table_PrescriptLights_Input[[#This Row],[Estimated incentive]], "")</f>
        <v/>
      </c>
      <c r="AA37" s="69" t="str">
        <f t="shared" ref="AA37:AA68" si="1">IFERROR($Z37/$X37,"")</f>
        <v/>
      </c>
      <c r="AB37" s="69" t="str">
        <f>IF(ISNUMBER(Table_PrescriptLights_Input[[#This Row],[Detailed Fixture Calculation Wattage]]), "Detailed", "General")</f>
        <v>General</v>
      </c>
      <c r="AC37" s="53" t="e">
        <f>INDEX(Table_IntExt_Match[Measure Selection List], MATCH(Table_PrescriptLights_Input[[#This Row],[Interior or exterior?]], Table_IntExt_Match[Inetrior or Exterior], 0))</f>
        <v>#N/A</v>
      </c>
      <c r="AD37" s="53" t="e">
        <f>INDEX(Table_Prescript_Meas[Unit], MATCH(C37, Table_Prescript_Meas[Measure Number], 0))</f>
        <v>#N/A</v>
      </c>
      <c r="AE37" s="53" t="e">
        <f>INDEX(Table_Prescript_Meas[Lighting Type Selection List], MATCH(C37, Table_Prescript_Meas[Measure Number], 0))</f>
        <v>#N/A</v>
      </c>
      <c r="AF37" s="53" t="e">
        <f>INDEX(Table_Prescript_Meas[AOH Type], MATCH(Table_PrescriptLights_Input[[#This Row],[Measure number]], Table_Prescript_Meas[Measure Number],0))</f>
        <v>#N/A</v>
      </c>
      <c r="AG37"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37" s="53" t="str">
        <f>_xlfn.CONCAT(Table_PrescriptLights_Input[[#This Row],[Existing lighting type]],":",Table_PrescriptLights_Input[[#This Row],[Existing lamps per fixture]], ":",Table_PrescriptLights_Input[[#This Row],[Existing lamp wattage]])</f>
        <v>::</v>
      </c>
      <c r="AI37" s="53" t="e">
        <f>INDEX(Table_TRM_Fixtures[Fixture Code], MATCH(Table_PrescriptLights_Input[[#This Row],[Detailed Baseline Fixture Lookup]], Table_TRM_Fixtures[Detailed Prescriptive Baseline Fixture Lookup], 0))</f>
        <v>#N/A</v>
      </c>
      <c r="AJ37" s="53" t="e">
        <f>INDEX(Table_TRM_Fixtures[Fixture Wattage for Baseline Calculations],MATCH(Table_PrescriptLights_Input[[#This Row],[Detailed Baseline Fixture Lookup]], Table_TRM_Fixtures[Detailed Prescriptive Baseline Fixture Lookup],0))</f>
        <v>#N/A</v>
      </c>
      <c r="AK37" s="127" t="e">
        <f>INDEX(Table_Bldg_IEFD_IEFC[IEFE], MATCH( Input_HVACType,Table_Bldg_IEFD_IEFC[List_HVAC], 0))</f>
        <v>#N/A</v>
      </c>
      <c r="AL37" s="127" t="e">
        <f>INDEX( Table_Bldg_IEFD_IEFC[IEFE],MATCH( Input_HVACType, Table_Bldg_IEFD_IEFC[List_HVAC],0 ))</f>
        <v>#N/A</v>
      </c>
      <c r="AM37" s="127" t="e">
        <f>INDEX(Table_Control_PAF[PAF], MATCH(Table_PrescriptLights_Input[[#This Row],[Existing controls]], Table_Control_PAF[List_Control_Types], 0 ) )</f>
        <v>#N/A</v>
      </c>
      <c r="AN37"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37"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37"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37" s="53">
        <f>IFERROR(LEFT(Table_PrescriptLights_Input[[#This Row],[Existing lighting type]], FIND(",",Table_PrescriptLights_Input[[#This Row],[Existing lighting type]])-1), Table_PrescriptLights_Input[[#This Row],[Existing lighting type]])</f>
        <v>0</v>
      </c>
      <c r="AR37" s="53" t="str">
        <f>_xlfn.CONCAT(Table_PrescriptLights_Input[[#This Row],[Generalized Fixture Type]], ":",Table_PrescriptLights_Input[[#This Row],[Existing lamps per fixture]],":",Table_PrescriptLights_Input[[#This Row],[Existing lamp wattage]])</f>
        <v>0::</v>
      </c>
      <c r="AS37" s="53" t="e">
        <f>INDEX(Table_TRM_Fixtures[Fixture Code], MATCH(Table_PrescriptLights_Input[[#This Row],[Generalized Fixture Baseline Lookup]], Table_TRM_Fixtures[Generalized Baseline Fixture Lookup], 0))</f>
        <v>#N/A</v>
      </c>
      <c r="AT37"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37"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37"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37"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37"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37" s="53" t="e">
        <f>IFERROR(Table_PrescriptLights_Input[[#This Row],[Detailed Baseline Fixture Code]],Table_PrescriptLights_Input[[#This Row],[Generalized Baseline Fixture Code]])</f>
        <v>#N/A</v>
      </c>
      <c r="AZ37" s="4"/>
      <c r="BA37" s="4"/>
      <c r="BB37" s="4"/>
      <c r="BC37" s="4"/>
      <c r="BD37" s="4"/>
      <c r="BE37" s="4"/>
      <c r="BF37" s="4"/>
      <c r="BG37" s="4"/>
      <c r="BH37" s="4"/>
      <c r="BI37" s="4"/>
      <c r="BJ37" s="4"/>
      <c r="BK37" s="4"/>
      <c r="BL37" s="4"/>
      <c r="BM37" s="4"/>
      <c r="BN37" s="4"/>
      <c r="BO37" s="4"/>
      <c r="BP37" s="4"/>
      <c r="BQ37" s="4"/>
    </row>
    <row r="38" spans="1:69" x14ac:dyDescent="0.2">
      <c r="A38" s="4"/>
      <c r="B38" s="189">
        <v>34</v>
      </c>
      <c r="C38" s="61" t="str">
        <f>IFERROR(INDEX(Table_Prescript_Meas[Measure Number], MATCH(Table_PrescriptLights_Input[[#This Row],[Prescriptive lighting measure]], Table_Prescript_Meas[Measure Description], 0)), "")</f>
        <v/>
      </c>
      <c r="D38" s="192"/>
      <c r="E38" s="179"/>
      <c r="F38" s="179"/>
      <c r="G38" s="61" t="str">
        <f>IFERROR(INDEX(Table_Prescript_Meas[Unit], MATCH(Table_PrescriptLights_Input[[#This Row],[Measure number]], Table_Prescript_Meas[Measure Number], 0)), "")</f>
        <v/>
      </c>
      <c r="H38" s="180"/>
      <c r="I38" s="179"/>
      <c r="J38" s="179"/>
      <c r="K38" s="180"/>
      <c r="L38" s="179"/>
      <c r="M38" s="180"/>
      <c r="N38" s="180"/>
      <c r="O38" s="180"/>
      <c r="P38" s="180"/>
      <c r="Q38" s="180"/>
      <c r="R38" s="181"/>
      <c r="S38" s="181"/>
      <c r="T38"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38"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38" s="69" t="str">
        <f>IF(Table_PrescriptLights_Input[[#This Row],[Prescriptive lighting measure]]="","",Table_PrescriptLights_Input[[#This Row],[Calculated Energy Savings]])</f>
        <v/>
      </c>
      <c r="W38" s="73" t="str">
        <f>IF(Table_PrescriptLights_Input[[#This Row],[Prescriptive lighting measure]]="","",Table_PrescriptLights_Input[[#This Row],[Calculated Demand Savings]])</f>
        <v/>
      </c>
      <c r="X38" s="67" t="str">
        <f>IFERROR(Table_PrescriptLights_Input[[#This Row],[Energy savings (kWh)]]*Input_AvgkWhRate, "")</f>
        <v/>
      </c>
      <c r="Y38" s="67" t="str">
        <f>IF(Table_PrescriptLights_Input[[#This Row],[Prescriptive lighting measure]]="", "",Table_PrescriptLights_Input[[#This Row],[Material cost per fixture]]*Table_PrescriptLights_Input[[#This Row],[Number of proposed fixtures]]+Table_PrescriptLights_Input[[#This Row],[Total labor cost]])</f>
        <v/>
      </c>
      <c r="Z38" s="67" t="str">
        <f>IFERROR(Table_PrescriptLights_Input[[#This Row],[Gross measure cost]]-Table_PrescriptLights_Input[[#This Row],[Estimated incentive]], "")</f>
        <v/>
      </c>
      <c r="AA38" s="69" t="str">
        <f t="shared" si="1"/>
        <v/>
      </c>
      <c r="AB38" s="69" t="str">
        <f>IF(ISNUMBER(Table_PrescriptLights_Input[[#This Row],[Detailed Fixture Calculation Wattage]]), "Detailed", "General")</f>
        <v>General</v>
      </c>
      <c r="AC38" s="53" t="e">
        <f>INDEX(Table_IntExt_Match[Measure Selection List], MATCH(Table_PrescriptLights_Input[[#This Row],[Interior or exterior?]], Table_IntExt_Match[Inetrior or Exterior], 0))</f>
        <v>#N/A</v>
      </c>
      <c r="AD38" s="53" t="e">
        <f>INDEX(Table_Prescript_Meas[Unit], MATCH(C38, Table_Prescript_Meas[Measure Number], 0))</f>
        <v>#N/A</v>
      </c>
      <c r="AE38" s="53" t="e">
        <f>INDEX(Table_Prescript_Meas[Lighting Type Selection List], MATCH(C38, Table_Prescript_Meas[Measure Number], 0))</f>
        <v>#N/A</v>
      </c>
      <c r="AF38" s="53" t="e">
        <f>INDEX(Table_Prescript_Meas[AOH Type], MATCH(Table_PrescriptLights_Input[[#This Row],[Measure number]], Table_Prescript_Meas[Measure Number],0))</f>
        <v>#N/A</v>
      </c>
      <c r="AG38"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38" s="53" t="str">
        <f>_xlfn.CONCAT(Table_PrescriptLights_Input[[#This Row],[Existing lighting type]],":",Table_PrescriptLights_Input[[#This Row],[Existing lamps per fixture]], ":",Table_PrescriptLights_Input[[#This Row],[Existing lamp wattage]])</f>
        <v>::</v>
      </c>
      <c r="AI38" s="53" t="e">
        <f>INDEX(Table_TRM_Fixtures[Fixture Code], MATCH(Table_PrescriptLights_Input[[#This Row],[Detailed Baseline Fixture Lookup]], Table_TRM_Fixtures[Detailed Prescriptive Baseline Fixture Lookup], 0))</f>
        <v>#N/A</v>
      </c>
      <c r="AJ38" s="53" t="e">
        <f>INDEX(Table_TRM_Fixtures[Fixture Wattage for Baseline Calculations],MATCH(Table_PrescriptLights_Input[[#This Row],[Detailed Baseline Fixture Lookup]], Table_TRM_Fixtures[Detailed Prescriptive Baseline Fixture Lookup],0))</f>
        <v>#N/A</v>
      </c>
      <c r="AK38" s="127" t="e">
        <f>INDEX(Table_Bldg_IEFD_IEFC[IEFE], MATCH( Input_HVACType,Table_Bldg_IEFD_IEFC[List_HVAC], 0))</f>
        <v>#N/A</v>
      </c>
      <c r="AL38" s="127" t="e">
        <f>INDEX( Table_Bldg_IEFD_IEFC[IEFE],MATCH( Input_HVACType, Table_Bldg_IEFD_IEFC[List_HVAC],0 ))</f>
        <v>#N/A</v>
      </c>
      <c r="AM38" s="127" t="e">
        <f>INDEX(Table_Control_PAF[PAF], MATCH(Table_PrescriptLights_Input[[#This Row],[Existing controls]], Table_Control_PAF[List_Control_Types], 0 ) )</f>
        <v>#N/A</v>
      </c>
      <c r="AN38"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38"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38"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38" s="53">
        <f>IFERROR(LEFT(Table_PrescriptLights_Input[[#This Row],[Existing lighting type]], FIND(",",Table_PrescriptLights_Input[[#This Row],[Existing lighting type]])-1), Table_PrescriptLights_Input[[#This Row],[Existing lighting type]])</f>
        <v>0</v>
      </c>
      <c r="AR38" s="53" t="str">
        <f>_xlfn.CONCAT(Table_PrescriptLights_Input[[#This Row],[Generalized Fixture Type]], ":",Table_PrescriptLights_Input[[#This Row],[Existing lamps per fixture]],":",Table_PrescriptLights_Input[[#This Row],[Existing lamp wattage]])</f>
        <v>0::</v>
      </c>
      <c r="AS38" s="53" t="e">
        <f>INDEX(Table_TRM_Fixtures[Fixture Code], MATCH(Table_PrescriptLights_Input[[#This Row],[Generalized Fixture Baseline Lookup]], Table_TRM_Fixtures[Generalized Baseline Fixture Lookup], 0))</f>
        <v>#N/A</v>
      </c>
      <c r="AT38"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38"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38"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38"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38"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38" s="53" t="e">
        <f>IFERROR(Table_PrescriptLights_Input[[#This Row],[Detailed Baseline Fixture Code]],Table_PrescriptLights_Input[[#This Row],[Generalized Baseline Fixture Code]])</f>
        <v>#N/A</v>
      </c>
      <c r="AZ38" s="4"/>
      <c r="BA38" s="4"/>
      <c r="BB38" s="4"/>
      <c r="BC38" s="4"/>
      <c r="BD38" s="4"/>
      <c r="BE38" s="4"/>
      <c r="BF38" s="4"/>
      <c r="BG38" s="4"/>
      <c r="BH38" s="4"/>
      <c r="BI38" s="4"/>
      <c r="BJ38" s="4"/>
      <c r="BK38" s="4"/>
      <c r="BL38" s="4"/>
      <c r="BM38" s="4"/>
      <c r="BN38" s="4"/>
      <c r="BO38" s="4"/>
      <c r="BP38" s="4"/>
      <c r="BQ38" s="4"/>
    </row>
    <row r="39" spans="1:69" x14ac:dyDescent="0.2">
      <c r="A39" s="4"/>
      <c r="B39" s="189">
        <v>35</v>
      </c>
      <c r="C39" s="61" t="str">
        <f>IFERROR(INDEX(Table_Prescript_Meas[Measure Number], MATCH(Table_PrescriptLights_Input[[#This Row],[Prescriptive lighting measure]], Table_Prescript_Meas[Measure Description], 0)), "")</f>
        <v/>
      </c>
      <c r="D39" s="192"/>
      <c r="E39" s="179"/>
      <c r="F39" s="179"/>
      <c r="G39" s="61" t="str">
        <f>IFERROR(INDEX(Table_Prescript_Meas[Unit], MATCH(Table_PrescriptLights_Input[[#This Row],[Measure number]], Table_Prescript_Meas[Measure Number], 0)), "")</f>
        <v/>
      </c>
      <c r="H39" s="180"/>
      <c r="I39" s="179"/>
      <c r="J39" s="179"/>
      <c r="K39" s="180"/>
      <c r="L39" s="179"/>
      <c r="M39" s="180"/>
      <c r="N39" s="180"/>
      <c r="O39" s="180"/>
      <c r="P39" s="180"/>
      <c r="Q39" s="180"/>
      <c r="R39" s="181"/>
      <c r="S39" s="181"/>
      <c r="T39"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39"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39" s="69" t="str">
        <f>IF(Table_PrescriptLights_Input[[#This Row],[Prescriptive lighting measure]]="","",Table_PrescriptLights_Input[[#This Row],[Calculated Energy Savings]])</f>
        <v/>
      </c>
      <c r="W39" s="73" t="str">
        <f>IF(Table_PrescriptLights_Input[[#This Row],[Prescriptive lighting measure]]="","",Table_PrescriptLights_Input[[#This Row],[Calculated Demand Savings]])</f>
        <v/>
      </c>
      <c r="X39" s="67" t="str">
        <f>IFERROR(Table_PrescriptLights_Input[[#This Row],[Energy savings (kWh)]]*Input_AvgkWhRate, "")</f>
        <v/>
      </c>
      <c r="Y39" s="67" t="str">
        <f>IF(Table_PrescriptLights_Input[[#This Row],[Prescriptive lighting measure]]="", "",Table_PrescriptLights_Input[[#This Row],[Material cost per fixture]]*Table_PrescriptLights_Input[[#This Row],[Number of proposed fixtures]]+Table_PrescriptLights_Input[[#This Row],[Total labor cost]])</f>
        <v/>
      </c>
      <c r="Z39" s="67" t="str">
        <f>IFERROR(Table_PrescriptLights_Input[[#This Row],[Gross measure cost]]-Table_PrescriptLights_Input[[#This Row],[Estimated incentive]], "")</f>
        <v/>
      </c>
      <c r="AA39" s="69" t="str">
        <f t="shared" si="1"/>
        <v/>
      </c>
      <c r="AB39" s="69" t="str">
        <f>IF(ISNUMBER(Table_PrescriptLights_Input[[#This Row],[Detailed Fixture Calculation Wattage]]), "Detailed", "General")</f>
        <v>General</v>
      </c>
      <c r="AC39" s="53" t="e">
        <f>INDEX(Table_IntExt_Match[Measure Selection List], MATCH(Table_PrescriptLights_Input[[#This Row],[Interior or exterior?]], Table_IntExt_Match[Inetrior or Exterior], 0))</f>
        <v>#N/A</v>
      </c>
      <c r="AD39" s="53" t="e">
        <f>INDEX(Table_Prescript_Meas[Unit], MATCH(C39, Table_Prescript_Meas[Measure Number], 0))</f>
        <v>#N/A</v>
      </c>
      <c r="AE39" s="53" t="e">
        <f>INDEX(Table_Prescript_Meas[Lighting Type Selection List], MATCH(C39, Table_Prescript_Meas[Measure Number], 0))</f>
        <v>#N/A</v>
      </c>
      <c r="AF39" s="53" t="e">
        <f>INDEX(Table_Prescript_Meas[AOH Type], MATCH(Table_PrescriptLights_Input[[#This Row],[Measure number]], Table_Prescript_Meas[Measure Number],0))</f>
        <v>#N/A</v>
      </c>
      <c r="AG39"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39" s="53" t="str">
        <f>_xlfn.CONCAT(Table_PrescriptLights_Input[[#This Row],[Existing lighting type]],":",Table_PrescriptLights_Input[[#This Row],[Existing lamps per fixture]], ":",Table_PrescriptLights_Input[[#This Row],[Existing lamp wattage]])</f>
        <v>::</v>
      </c>
      <c r="AI39" s="53" t="e">
        <f>INDEX(Table_TRM_Fixtures[Fixture Code], MATCH(Table_PrescriptLights_Input[[#This Row],[Detailed Baseline Fixture Lookup]], Table_TRM_Fixtures[Detailed Prescriptive Baseline Fixture Lookup], 0))</f>
        <v>#N/A</v>
      </c>
      <c r="AJ39" s="53" t="e">
        <f>INDEX(Table_TRM_Fixtures[Fixture Wattage for Baseline Calculations],MATCH(Table_PrescriptLights_Input[[#This Row],[Detailed Baseline Fixture Lookup]], Table_TRM_Fixtures[Detailed Prescriptive Baseline Fixture Lookup],0))</f>
        <v>#N/A</v>
      </c>
      <c r="AK39" s="127" t="e">
        <f>INDEX(Table_Bldg_IEFD_IEFC[IEFE], MATCH( Input_HVACType,Table_Bldg_IEFD_IEFC[List_HVAC], 0))</f>
        <v>#N/A</v>
      </c>
      <c r="AL39" s="127" t="e">
        <f>INDEX( Table_Bldg_IEFD_IEFC[IEFE],MATCH( Input_HVACType, Table_Bldg_IEFD_IEFC[List_HVAC],0 ))</f>
        <v>#N/A</v>
      </c>
      <c r="AM39" s="127" t="e">
        <f>INDEX(Table_Control_PAF[PAF], MATCH(Table_PrescriptLights_Input[[#This Row],[Existing controls]], Table_Control_PAF[List_Control_Types], 0 ) )</f>
        <v>#N/A</v>
      </c>
      <c r="AN39"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39"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39"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39" s="53">
        <f>IFERROR(LEFT(Table_PrescriptLights_Input[[#This Row],[Existing lighting type]], FIND(",",Table_PrescriptLights_Input[[#This Row],[Existing lighting type]])-1), Table_PrescriptLights_Input[[#This Row],[Existing lighting type]])</f>
        <v>0</v>
      </c>
      <c r="AR39" s="53" t="str">
        <f>_xlfn.CONCAT(Table_PrescriptLights_Input[[#This Row],[Generalized Fixture Type]], ":",Table_PrescriptLights_Input[[#This Row],[Existing lamps per fixture]],":",Table_PrescriptLights_Input[[#This Row],[Existing lamp wattage]])</f>
        <v>0::</v>
      </c>
      <c r="AS39" s="53" t="e">
        <f>INDEX(Table_TRM_Fixtures[Fixture Code], MATCH(Table_PrescriptLights_Input[[#This Row],[Generalized Fixture Baseline Lookup]], Table_TRM_Fixtures[Generalized Baseline Fixture Lookup], 0))</f>
        <v>#N/A</v>
      </c>
      <c r="AT39"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39"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39"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39"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39"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39" s="53" t="e">
        <f>IFERROR(Table_PrescriptLights_Input[[#This Row],[Detailed Baseline Fixture Code]],Table_PrescriptLights_Input[[#This Row],[Generalized Baseline Fixture Code]])</f>
        <v>#N/A</v>
      </c>
      <c r="AZ39" s="4"/>
      <c r="BA39" s="4"/>
      <c r="BB39" s="4"/>
      <c r="BC39" s="4"/>
      <c r="BD39" s="4"/>
      <c r="BE39" s="4"/>
      <c r="BF39" s="4"/>
      <c r="BG39" s="4"/>
      <c r="BH39" s="4"/>
      <c r="BI39" s="4"/>
      <c r="BJ39" s="4"/>
      <c r="BK39" s="4"/>
      <c r="BL39" s="4"/>
      <c r="BM39" s="4"/>
      <c r="BN39" s="4"/>
      <c r="BO39" s="4"/>
      <c r="BP39" s="4"/>
      <c r="BQ39" s="4"/>
    </row>
    <row r="40" spans="1:69" x14ac:dyDescent="0.2">
      <c r="A40" s="4"/>
      <c r="B40" s="189">
        <v>36</v>
      </c>
      <c r="C40" s="61" t="str">
        <f>IFERROR(INDEX(Table_Prescript_Meas[Measure Number], MATCH(Table_PrescriptLights_Input[[#This Row],[Prescriptive lighting measure]], Table_Prescript_Meas[Measure Description], 0)), "")</f>
        <v/>
      </c>
      <c r="D40" s="192"/>
      <c r="E40" s="179"/>
      <c r="F40" s="179"/>
      <c r="G40" s="61" t="str">
        <f>IFERROR(INDEX(Table_Prescript_Meas[Unit], MATCH(Table_PrescriptLights_Input[[#This Row],[Measure number]], Table_Prescript_Meas[Measure Number], 0)), "")</f>
        <v/>
      </c>
      <c r="H40" s="180"/>
      <c r="I40" s="179"/>
      <c r="J40" s="179"/>
      <c r="K40" s="180"/>
      <c r="L40" s="179"/>
      <c r="M40" s="180"/>
      <c r="N40" s="180"/>
      <c r="O40" s="180"/>
      <c r="P40" s="180"/>
      <c r="Q40" s="180"/>
      <c r="R40" s="181"/>
      <c r="S40" s="181"/>
      <c r="T40"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40"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40" s="69" t="str">
        <f>IF(Table_PrescriptLights_Input[[#This Row],[Prescriptive lighting measure]]="","",Table_PrescriptLights_Input[[#This Row],[Calculated Energy Savings]])</f>
        <v/>
      </c>
      <c r="W40" s="73" t="str">
        <f>IF(Table_PrescriptLights_Input[[#This Row],[Prescriptive lighting measure]]="","",Table_PrescriptLights_Input[[#This Row],[Calculated Demand Savings]])</f>
        <v/>
      </c>
      <c r="X40" s="67" t="str">
        <f>IFERROR(Table_PrescriptLights_Input[[#This Row],[Energy savings (kWh)]]*Input_AvgkWhRate, "")</f>
        <v/>
      </c>
      <c r="Y40" s="67" t="str">
        <f>IF(Table_PrescriptLights_Input[[#This Row],[Prescriptive lighting measure]]="", "",Table_PrescriptLights_Input[[#This Row],[Material cost per fixture]]*Table_PrescriptLights_Input[[#This Row],[Number of proposed fixtures]]+Table_PrescriptLights_Input[[#This Row],[Total labor cost]])</f>
        <v/>
      </c>
      <c r="Z40" s="67" t="str">
        <f>IFERROR(Table_PrescriptLights_Input[[#This Row],[Gross measure cost]]-Table_PrescriptLights_Input[[#This Row],[Estimated incentive]], "")</f>
        <v/>
      </c>
      <c r="AA40" s="69" t="str">
        <f t="shared" si="1"/>
        <v/>
      </c>
      <c r="AB40" s="69" t="str">
        <f>IF(ISNUMBER(Table_PrescriptLights_Input[[#This Row],[Detailed Fixture Calculation Wattage]]), "Detailed", "General")</f>
        <v>General</v>
      </c>
      <c r="AC40" s="53" t="e">
        <f>INDEX(Table_IntExt_Match[Measure Selection List], MATCH(Table_PrescriptLights_Input[[#This Row],[Interior or exterior?]], Table_IntExt_Match[Inetrior or Exterior], 0))</f>
        <v>#N/A</v>
      </c>
      <c r="AD40" s="53" t="e">
        <f>INDEX(Table_Prescript_Meas[Unit], MATCH(C40, Table_Prescript_Meas[Measure Number], 0))</f>
        <v>#N/A</v>
      </c>
      <c r="AE40" s="53" t="e">
        <f>INDEX(Table_Prescript_Meas[Lighting Type Selection List], MATCH(C40, Table_Prescript_Meas[Measure Number], 0))</f>
        <v>#N/A</v>
      </c>
      <c r="AF40" s="53" t="e">
        <f>INDEX(Table_Prescript_Meas[AOH Type], MATCH(Table_PrescriptLights_Input[[#This Row],[Measure number]], Table_Prescript_Meas[Measure Number],0))</f>
        <v>#N/A</v>
      </c>
      <c r="AG40"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40" s="53" t="str">
        <f>_xlfn.CONCAT(Table_PrescriptLights_Input[[#This Row],[Existing lighting type]],":",Table_PrescriptLights_Input[[#This Row],[Existing lamps per fixture]], ":",Table_PrescriptLights_Input[[#This Row],[Existing lamp wattage]])</f>
        <v>::</v>
      </c>
      <c r="AI40" s="53" t="e">
        <f>INDEX(Table_TRM_Fixtures[Fixture Code], MATCH(Table_PrescriptLights_Input[[#This Row],[Detailed Baseline Fixture Lookup]], Table_TRM_Fixtures[Detailed Prescriptive Baseline Fixture Lookup], 0))</f>
        <v>#N/A</v>
      </c>
      <c r="AJ40" s="53" t="e">
        <f>INDEX(Table_TRM_Fixtures[Fixture Wattage for Baseline Calculations],MATCH(Table_PrescriptLights_Input[[#This Row],[Detailed Baseline Fixture Lookup]], Table_TRM_Fixtures[Detailed Prescriptive Baseline Fixture Lookup],0))</f>
        <v>#N/A</v>
      </c>
      <c r="AK40" s="127" t="e">
        <f>INDEX(Table_Bldg_IEFD_IEFC[IEFE], MATCH( Input_HVACType,Table_Bldg_IEFD_IEFC[List_HVAC], 0))</f>
        <v>#N/A</v>
      </c>
      <c r="AL40" s="127" t="e">
        <f>INDEX( Table_Bldg_IEFD_IEFC[IEFE],MATCH( Input_HVACType, Table_Bldg_IEFD_IEFC[List_HVAC],0 ))</f>
        <v>#N/A</v>
      </c>
      <c r="AM40" s="127" t="e">
        <f>INDEX(Table_Control_PAF[PAF], MATCH(Table_PrescriptLights_Input[[#This Row],[Existing controls]], Table_Control_PAF[List_Control_Types], 0 ) )</f>
        <v>#N/A</v>
      </c>
      <c r="AN40"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40"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40"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40" s="53">
        <f>IFERROR(LEFT(Table_PrescriptLights_Input[[#This Row],[Existing lighting type]], FIND(",",Table_PrescriptLights_Input[[#This Row],[Existing lighting type]])-1), Table_PrescriptLights_Input[[#This Row],[Existing lighting type]])</f>
        <v>0</v>
      </c>
      <c r="AR40" s="53" t="str">
        <f>_xlfn.CONCAT(Table_PrescriptLights_Input[[#This Row],[Generalized Fixture Type]], ":",Table_PrescriptLights_Input[[#This Row],[Existing lamps per fixture]],":",Table_PrescriptLights_Input[[#This Row],[Existing lamp wattage]])</f>
        <v>0::</v>
      </c>
      <c r="AS40" s="53" t="e">
        <f>INDEX(Table_TRM_Fixtures[Fixture Code], MATCH(Table_PrescriptLights_Input[[#This Row],[Generalized Fixture Baseline Lookup]], Table_TRM_Fixtures[Generalized Baseline Fixture Lookup], 0))</f>
        <v>#N/A</v>
      </c>
      <c r="AT40"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40"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40"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40"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40"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40" s="53" t="e">
        <f>IFERROR(Table_PrescriptLights_Input[[#This Row],[Detailed Baseline Fixture Code]],Table_PrescriptLights_Input[[#This Row],[Generalized Baseline Fixture Code]])</f>
        <v>#N/A</v>
      </c>
      <c r="AZ40" s="4"/>
      <c r="BA40" s="4"/>
      <c r="BB40" s="4"/>
      <c r="BC40" s="4"/>
      <c r="BD40" s="4"/>
      <c r="BE40" s="4"/>
      <c r="BF40" s="4"/>
      <c r="BG40" s="4"/>
      <c r="BH40" s="4"/>
      <c r="BI40" s="4"/>
      <c r="BJ40" s="4"/>
      <c r="BK40" s="4"/>
      <c r="BL40" s="4"/>
      <c r="BM40" s="4"/>
      <c r="BN40" s="4"/>
      <c r="BO40" s="4"/>
      <c r="BP40" s="4"/>
      <c r="BQ40" s="4"/>
    </row>
    <row r="41" spans="1:69" x14ac:dyDescent="0.2">
      <c r="A41" s="4"/>
      <c r="B41" s="189">
        <v>37</v>
      </c>
      <c r="C41" s="61" t="str">
        <f>IFERROR(INDEX(Table_Prescript_Meas[Measure Number], MATCH(Table_PrescriptLights_Input[[#This Row],[Prescriptive lighting measure]], Table_Prescript_Meas[Measure Description], 0)), "")</f>
        <v/>
      </c>
      <c r="D41" s="192"/>
      <c r="E41" s="179"/>
      <c r="F41" s="179"/>
      <c r="G41" s="61" t="str">
        <f>IFERROR(INDEX(Table_Prescript_Meas[Unit], MATCH(Table_PrescriptLights_Input[[#This Row],[Measure number]], Table_Prescript_Meas[Measure Number], 0)), "")</f>
        <v/>
      </c>
      <c r="H41" s="180"/>
      <c r="I41" s="179"/>
      <c r="J41" s="179"/>
      <c r="K41" s="180"/>
      <c r="L41" s="179"/>
      <c r="M41" s="180"/>
      <c r="N41" s="180"/>
      <c r="O41" s="180"/>
      <c r="P41" s="180"/>
      <c r="Q41" s="180"/>
      <c r="R41" s="181"/>
      <c r="S41" s="181"/>
      <c r="T41"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41"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41" s="69" t="str">
        <f>IF(Table_PrescriptLights_Input[[#This Row],[Prescriptive lighting measure]]="","",Table_PrescriptLights_Input[[#This Row],[Calculated Energy Savings]])</f>
        <v/>
      </c>
      <c r="W41" s="73" t="str">
        <f>IF(Table_PrescriptLights_Input[[#This Row],[Prescriptive lighting measure]]="","",Table_PrescriptLights_Input[[#This Row],[Calculated Demand Savings]])</f>
        <v/>
      </c>
      <c r="X41" s="67" t="str">
        <f>IFERROR(Table_PrescriptLights_Input[[#This Row],[Energy savings (kWh)]]*Input_AvgkWhRate, "")</f>
        <v/>
      </c>
      <c r="Y41" s="67" t="str">
        <f>IF(Table_PrescriptLights_Input[[#This Row],[Prescriptive lighting measure]]="", "",Table_PrescriptLights_Input[[#This Row],[Material cost per fixture]]*Table_PrescriptLights_Input[[#This Row],[Number of proposed fixtures]]+Table_PrescriptLights_Input[[#This Row],[Total labor cost]])</f>
        <v/>
      </c>
      <c r="Z41" s="67" t="str">
        <f>IFERROR(Table_PrescriptLights_Input[[#This Row],[Gross measure cost]]-Table_PrescriptLights_Input[[#This Row],[Estimated incentive]], "")</f>
        <v/>
      </c>
      <c r="AA41" s="69" t="str">
        <f t="shared" si="1"/>
        <v/>
      </c>
      <c r="AB41" s="69" t="str">
        <f>IF(ISNUMBER(Table_PrescriptLights_Input[[#This Row],[Detailed Fixture Calculation Wattage]]), "Detailed", "General")</f>
        <v>General</v>
      </c>
      <c r="AC41" s="53" t="e">
        <f>INDEX(Table_IntExt_Match[Measure Selection List], MATCH(Table_PrescriptLights_Input[[#This Row],[Interior or exterior?]], Table_IntExt_Match[Inetrior or Exterior], 0))</f>
        <v>#N/A</v>
      </c>
      <c r="AD41" s="53" t="e">
        <f>INDEX(Table_Prescript_Meas[Unit], MATCH(C41, Table_Prescript_Meas[Measure Number], 0))</f>
        <v>#N/A</v>
      </c>
      <c r="AE41" s="53" t="e">
        <f>INDEX(Table_Prescript_Meas[Lighting Type Selection List], MATCH(C41, Table_Prescript_Meas[Measure Number], 0))</f>
        <v>#N/A</v>
      </c>
      <c r="AF41" s="53" t="e">
        <f>INDEX(Table_Prescript_Meas[AOH Type], MATCH(Table_PrescriptLights_Input[[#This Row],[Measure number]], Table_Prescript_Meas[Measure Number],0))</f>
        <v>#N/A</v>
      </c>
      <c r="AG41"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41" s="53" t="str">
        <f>_xlfn.CONCAT(Table_PrescriptLights_Input[[#This Row],[Existing lighting type]],":",Table_PrescriptLights_Input[[#This Row],[Existing lamps per fixture]], ":",Table_PrescriptLights_Input[[#This Row],[Existing lamp wattage]])</f>
        <v>::</v>
      </c>
      <c r="AI41" s="53" t="e">
        <f>INDEX(Table_TRM_Fixtures[Fixture Code], MATCH(Table_PrescriptLights_Input[[#This Row],[Detailed Baseline Fixture Lookup]], Table_TRM_Fixtures[Detailed Prescriptive Baseline Fixture Lookup], 0))</f>
        <v>#N/A</v>
      </c>
      <c r="AJ41" s="53" t="e">
        <f>INDEX(Table_TRM_Fixtures[Fixture Wattage for Baseline Calculations],MATCH(Table_PrescriptLights_Input[[#This Row],[Detailed Baseline Fixture Lookup]], Table_TRM_Fixtures[Detailed Prescriptive Baseline Fixture Lookup],0))</f>
        <v>#N/A</v>
      </c>
      <c r="AK41" s="127" t="e">
        <f>INDEX(Table_Bldg_IEFD_IEFC[IEFE], MATCH( Input_HVACType,Table_Bldg_IEFD_IEFC[List_HVAC], 0))</f>
        <v>#N/A</v>
      </c>
      <c r="AL41" s="127" t="e">
        <f>INDEX( Table_Bldg_IEFD_IEFC[IEFE],MATCH( Input_HVACType, Table_Bldg_IEFD_IEFC[List_HVAC],0 ))</f>
        <v>#N/A</v>
      </c>
      <c r="AM41" s="127" t="e">
        <f>INDEX(Table_Control_PAF[PAF], MATCH(Table_PrescriptLights_Input[[#This Row],[Existing controls]], Table_Control_PAF[List_Control_Types], 0 ) )</f>
        <v>#N/A</v>
      </c>
      <c r="AN41"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41"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41"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41" s="53">
        <f>IFERROR(LEFT(Table_PrescriptLights_Input[[#This Row],[Existing lighting type]], FIND(",",Table_PrescriptLights_Input[[#This Row],[Existing lighting type]])-1), Table_PrescriptLights_Input[[#This Row],[Existing lighting type]])</f>
        <v>0</v>
      </c>
      <c r="AR41" s="53" t="str">
        <f>_xlfn.CONCAT(Table_PrescriptLights_Input[[#This Row],[Generalized Fixture Type]], ":",Table_PrescriptLights_Input[[#This Row],[Existing lamps per fixture]],":",Table_PrescriptLights_Input[[#This Row],[Existing lamp wattage]])</f>
        <v>0::</v>
      </c>
      <c r="AS41" s="53" t="e">
        <f>INDEX(Table_TRM_Fixtures[Fixture Code], MATCH(Table_PrescriptLights_Input[[#This Row],[Generalized Fixture Baseline Lookup]], Table_TRM_Fixtures[Generalized Baseline Fixture Lookup], 0))</f>
        <v>#N/A</v>
      </c>
      <c r="AT41"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41"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41"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41"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41"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41" s="53" t="e">
        <f>IFERROR(Table_PrescriptLights_Input[[#This Row],[Detailed Baseline Fixture Code]],Table_PrescriptLights_Input[[#This Row],[Generalized Baseline Fixture Code]])</f>
        <v>#N/A</v>
      </c>
      <c r="AZ41" s="4"/>
      <c r="BA41" s="4"/>
      <c r="BB41" s="4"/>
      <c r="BC41" s="4"/>
      <c r="BD41" s="4"/>
      <c r="BE41" s="4"/>
      <c r="BF41" s="4"/>
      <c r="BG41" s="4"/>
      <c r="BH41" s="4"/>
      <c r="BI41" s="4"/>
      <c r="BJ41" s="4"/>
      <c r="BK41" s="4"/>
      <c r="BL41" s="4"/>
      <c r="BM41" s="4"/>
      <c r="BN41" s="4"/>
      <c r="BO41" s="4"/>
      <c r="BP41" s="4"/>
      <c r="BQ41" s="4"/>
    </row>
    <row r="42" spans="1:69" x14ac:dyDescent="0.2">
      <c r="A42" s="4"/>
      <c r="B42" s="189">
        <v>38</v>
      </c>
      <c r="C42" s="61" t="str">
        <f>IFERROR(INDEX(Table_Prescript_Meas[Measure Number], MATCH(Table_PrescriptLights_Input[[#This Row],[Prescriptive lighting measure]], Table_Prescript_Meas[Measure Description], 0)), "")</f>
        <v/>
      </c>
      <c r="D42" s="192"/>
      <c r="E42" s="179"/>
      <c r="F42" s="179"/>
      <c r="G42" s="61" t="str">
        <f>IFERROR(INDEX(Table_Prescript_Meas[Unit], MATCH(Table_PrescriptLights_Input[[#This Row],[Measure number]], Table_Prescript_Meas[Measure Number], 0)), "")</f>
        <v/>
      </c>
      <c r="H42" s="180"/>
      <c r="I42" s="179"/>
      <c r="J42" s="179"/>
      <c r="K42" s="180"/>
      <c r="L42" s="179"/>
      <c r="M42" s="180"/>
      <c r="N42" s="180"/>
      <c r="O42" s="180"/>
      <c r="P42" s="180"/>
      <c r="Q42" s="180"/>
      <c r="R42" s="181"/>
      <c r="S42" s="181"/>
      <c r="T42"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42"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42" s="69" t="str">
        <f>IF(Table_PrescriptLights_Input[[#This Row],[Prescriptive lighting measure]]="","",Table_PrescriptLights_Input[[#This Row],[Calculated Energy Savings]])</f>
        <v/>
      </c>
      <c r="W42" s="73" t="str">
        <f>IF(Table_PrescriptLights_Input[[#This Row],[Prescriptive lighting measure]]="","",Table_PrescriptLights_Input[[#This Row],[Calculated Demand Savings]])</f>
        <v/>
      </c>
      <c r="X42" s="67" t="str">
        <f>IFERROR(Table_PrescriptLights_Input[[#This Row],[Energy savings (kWh)]]*Input_AvgkWhRate, "")</f>
        <v/>
      </c>
      <c r="Y42" s="67" t="str">
        <f>IF(Table_PrescriptLights_Input[[#This Row],[Prescriptive lighting measure]]="", "",Table_PrescriptLights_Input[[#This Row],[Material cost per fixture]]*Table_PrescriptLights_Input[[#This Row],[Number of proposed fixtures]]+Table_PrescriptLights_Input[[#This Row],[Total labor cost]])</f>
        <v/>
      </c>
      <c r="Z42" s="67" t="str">
        <f>IFERROR(Table_PrescriptLights_Input[[#This Row],[Gross measure cost]]-Table_PrescriptLights_Input[[#This Row],[Estimated incentive]], "")</f>
        <v/>
      </c>
      <c r="AA42" s="69" t="str">
        <f t="shared" si="1"/>
        <v/>
      </c>
      <c r="AB42" s="69" t="str">
        <f>IF(ISNUMBER(Table_PrescriptLights_Input[[#This Row],[Detailed Fixture Calculation Wattage]]), "Detailed", "General")</f>
        <v>General</v>
      </c>
      <c r="AC42" s="53" t="e">
        <f>INDEX(Table_IntExt_Match[Measure Selection List], MATCH(Table_PrescriptLights_Input[[#This Row],[Interior or exterior?]], Table_IntExt_Match[Inetrior or Exterior], 0))</f>
        <v>#N/A</v>
      </c>
      <c r="AD42" s="53" t="e">
        <f>INDEX(Table_Prescript_Meas[Unit], MATCH(C42, Table_Prescript_Meas[Measure Number], 0))</f>
        <v>#N/A</v>
      </c>
      <c r="AE42" s="53" t="e">
        <f>INDEX(Table_Prescript_Meas[Lighting Type Selection List], MATCH(C42, Table_Prescript_Meas[Measure Number], 0))</f>
        <v>#N/A</v>
      </c>
      <c r="AF42" s="53" t="e">
        <f>INDEX(Table_Prescript_Meas[AOH Type], MATCH(Table_PrescriptLights_Input[[#This Row],[Measure number]], Table_Prescript_Meas[Measure Number],0))</f>
        <v>#N/A</v>
      </c>
      <c r="AG42"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42" s="53" t="str">
        <f>_xlfn.CONCAT(Table_PrescriptLights_Input[[#This Row],[Existing lighting type]],":",Table_PrescriptLights_Input[[#This Row],[Existing lamps per fixture]], ":",Table_PrescriptLights_Input[[#This Row],[Existing lamp wattage]])</f>
        <v>::</v>
      </c>
      <c r="AI42" s="53" t="e">
        <f>INDEX(Table_TRM_Fixtures[Fixture Code], MATCH(Table_PrescriptLights_Input[[#This Row],[Detailed Baseline Fixture Lookup]], Table_TRM_Fixtures[Detailed Prescriptive Baseline Fixture Lookup], 0))</f>
        <v>#N/A</v>
      </c>
      <c r="AJ42" s="53" t="e">
        <f>INDEX(Table_TRM_Fixtures[Fixture Wattage for Baseline Calculations],MATCH(Table_PrescriptLights_Input[[#This Row],[Detailed Baseline Fixture Lookup]], Table_TRM_Fixtures[Detailed Prescriptive Baseline Fixture Lookup],0))</f>
        <v>#N/A</v>
      </c>
      <c r="AK42" s="127" t="e">
        <f>INDEX(Table_Bldg_IEFD_IEFC[IEFE], MATCH( Input_HVACType,Table_Bldg_IEFD_IEFC[List_HVAC], 0))</f>
        <v>#N/A</v>
      </c>
      <c r="AL42" s="127" t="e">
        <f>INDEX( Table_Bldg_IEFD_IEFC[IEFE],MATCH( Input_HVACType, Table_Bldg_IEFD_IEFC[List_HVAC],0 ))</f>
        <v>#N/A</v>
      </c>
      <c r="AM42" s="127" t="e">
        <f>INDEX(Table_Control_PAF[PAF], MATCH(Table_PrescriptLights_Input[[#This Row],[Existing controls]], Table_Control_PAF[List_Control_Types], 0 ) )</f>
        <v>#N/A</v>
      </c>
      <c r="AN42"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42"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42"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42" s="53">
        <f>IFERROR(LEFT(Table_PrescriptLights_Input[[#This Row],[Existing lighting type]], FIND(",",Table_PrescriptLights_Input[[#This Row],[Existing lighting type]])-1), Table_PrescriptLights_Input[[#This Row],[Existing lighting type]])</f>
        <v>0</v>
      </c>
      <c r="AR42" s="53" t="str">
        <f>_xlfn.CONCAT(Table_PrescriptLights_Input[[#This Row],[Generalized Fixture Type]], ":",Table_PrescriptLights_Input[[#This Row],[Existing lamps per fixture]],":",Table_PrescriptLights_Input[[#This Row],[Existing lamp wattage]])</f>
        <v>0::</v>
      </c>
      <c r="AS42" s="53" t="e">
        <f>INDEX(Table_TRM_Fixtures[Fixture Code], MATCH(Table_PrescriptLights_Input[[#This Row],[Generalized Fixture Baseline Lookup]], Table_TRM_Fixtures[Generalized Baseline Fixture Lookup], 0))</f>
        <v>#N/A</v>
      </c>
      <c r="AT42"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42"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42"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42"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42"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42" s="53" t="e">
        <f>IFERROR(Table_PrescriptLights_Input[[#This Row],[Detailed Baseline Fixture Code]],Table_PrescriptLights_Input[[#This Row],[Generalized Baseline Fixture Code]])</f>
        <v>#N/A</v>
      </c>
      <c r="AZ42" s="4"/>
      <c r="BA42" s="4"/>
      <c r="BB42" s="4"/>
      <c r="BC42" s="4"/>
      <c r="BD42" s="4"/>
      <c r="BE42" s="4"/>
      <c r="BF42" s="4"/>
      <c r="BG42" s="4"/>
      <c r="BH42" s="4"/>
      <c r="BI42" s="4"/>
      <c r="BJ42" s="4"/>
      <c r="BK42" s="4"/>
      <c r="BL42" s="4"/>
      <c r="BM42" s="4"/>
      <c r="BN42" s="4"/>
      <c r="BO42" s="4"/>
      <c r="BP42" s="4"/>
      <c r="BQ42" s="4"/>
    </row>
    <row r="43" spans="1:69" x14ac:dyDescent="0.2">
      <c r="A43" s="4"/>
      <c r="B43" s="189">
        <v>39</v>
      </c>
      <c r="C43" s="61" t="str">
        <f>IFERROR(INDEX(Table_Prescript_Meas[Measure Number], MATCH(Table_PrescriptLights_Input[[#This Row],[Prescriptive lighting measure]], Table_Prescript_Meas[Measure Description], 0)), "")</f>
        <v/>
      </c>
      <c r="D43" s="192"/>
      <c r="E43" s="179"/>
      <c r="F43" s="179"/>
      <c r="G43" s="61" t="str">
        <f>IFERROR(INDEX(Table_Prescript_Meas[Unit], MATCH(Table_PrescriptLights_Input[[#This Row],[Measure number]], Table_Prescript_Meas[Measure Number], 0)), "")</f>
        <v/>
      </c>
      <c r="H43" s="180"/>
      <c r="I43" s="179"/>
      <c r="J43" s="179"/>
      <c r="K43" s="180"/>
      <c r="L43" s="179"/>
      <c r="M43" s="180"/>
      <c r="N43" s="180"/>
      <c r="O43" s="180"/>
      <c r="P43" s="180"/>
      <c r="Q43" s="180"/>
      <c r="R43" s="181"/>
      <c r="S43" s="181"/>
      <c r="T43"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43"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43" s="69" t="str">
        <f>IF(Table_PrescriptLights_Input[[#This Row],[Prescriptive lighting measure]]="","",Table_PrescriptLights_Input[[#This Row],[Calculated Energy Savings]])</f>
        <v/>
      </c>
      <c r="W43" s="73" t="str">
        <f>IF(Table_PrescriptLights_Input[[#This Row],[Prescriptive lighting measure]]="","",Table_PrescriptLights_Input[[#This Row],[Calculated Demand Savings]])</f>
        <v/>
      </c>
      <c r="X43" s="67" t="str">
        <f>IFERROR(Table_PrescriptLights_Input[[#This Row],[Energy savings (kWh)]]*Input_AvgkWhRate, "")</f>
        <v/>
      </c>
      <c r="Y43" s="67" t="str">
        <f>IF(Table_PrescriptLights_Input[[#This Row],[Prescriptive lighting measure]]="", "",Table_PrescriptLights_Input[[#This Row],[Material cost per fixture]]*Table_PrescriptLights_Input[[#This Row],[Number of proposed fixtures]]+Table_PrescriptLights_Input[[#This Row],[Total labor cost]])</f>
        <v/>
      </c>
      <c r="Z43" s="67" t="str">
        <f>IFERROR(Table_PrescriptLights_Input[[#This Row],[Gross measure cost]]-Table_PrescriptLights_Input[[#This Row],[Estimated incentive]], "")</f>
        <v/>
      </c>
      <c r="AA43" s="69" t="str">
        <f t="shared" si="1"/>
        <v/>
      </c>
      <c r="AB43" s="69" t="str">
        <f>IF(ISNUMBER(Table_PrescriptLights_Input[[#This Row],[Detailed Fixture Calculation Wattage]]), "Detailed", "General")</f>
        <v>General</v>
      </c>
      <c r="AC43" s="53" t="e">
        <f>INDEX(Table_IntExt_Match[Measure Selection List], MATCH(Table_PrescriptLights_Input[[#This Row],[Interior or exterior?]], Table_IntExt_Match[Inetrior or Exterior], 0))</f>
        <v>#N/A</v>
      </c>
      <c r="AD43" s="53" t="e">
        <f>INDEX(Table_Prescript_Meas[Unit], MATCH(C43, Table_Prescript_Meas[Measure Number], 0))</f>
        <v>#N/A</v>
      </c>
      <c r="AE43" s="53" t="e">
        <f>INDEX(Table_Prescript_Meas[Lighting Type Selection List], MATCH(C43, Table_Prescript_Meas[Measure Number], 0))</f>
        <v>#N/A</v>
      </c>
      <c r="AF43" s="53" t="e">
        <f>INDEX(Table_Prescript_Meas[AOH Type], MATCH(Table_PrescriptLights_Input[[#This Row],[Measure number]], Table_Prescript_Meas[Measure Number],0))</f>
        <v>#N/A</v>
      </c>
      <c r="AG43"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43" s="53" t="str">
        <f>_xlfn.CONCAT(Table_PrescriptLights_Input[[#This Row],[Existing lighting type]],":",Table_PrescriptLights_Input[[#This Row],[Existing lamps per fixture]], ":",Table_PrescriptLights_Input[[#This Row],[Existing lamp wattage]])</f>
        <v>::</v>
      </c>
      <c r="AI43" s="53" t="e">
        <f>INDEX(Table_TRM_Fixtures[Fixture Code], MATCH(Table_PrescriptLights_Input[[#This Row],[Detailed Baseline Fixture Lookup]], Table_TRM_Fixtures[Detailed Prescriptive Baseline Fixture Lookup], 0))</f>
        <v>#N/A</v>
      </c>
      <c r="AJ43" s="53" t="e">
        <f>INDEX(Table_TRM_Fixtures[Fixture Wattage for Baseline Calculations],MATCH(Table_PrescriptLights_Input[[#This Row],[Detailed Baseline Fixture Lookup]], Table_TRM_Fixtures[Detailed Prescriptive Baseline Fixture Lookup],0))</f>
        <v>#N/A</v>
      </c>
      <c r="AK43" s="127" t="e">
        <f>INDEX(Table_Bldg_IEFD_IEFC[IEFE], MATCH( Input_HVACType,Table_Bldg_IEFD_IEFC[List_HVAC], 0))</f>
        <v>#N/A</v>
      </c>
      <c r="AL43" s="127" t="e">
        <f>INDEX( Table_Bldg_IEFD_IEFC[IEFE],MATCH( Input_HVACType, Table_Bldg_IEFD_IEFC[List_HVAC],0 ))</f>
        <v>#N/A</v>
      </c>
      <c r="AM43" s="127" t="e">
        <f>INDEX(Table_Control_PAF[PAF], MATCH(Table_PrescriptLights_Input[[#This Row],[Existing controls]], Table_Control_PAF[List_Control_Types], 0 ) )</f>
        <v>#N/A</v>
      </c>
      <c r="AN43"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43"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43"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43" s="53">
        <f>IFERROR(LEFT(Table_PrescriptLights_Input[[#This Row],[Existing lighting type]], FIND(",",Table_PrescriptLights_Input[[#This Row],[Existing lighting type]])-1), Table_PrescriptLights_Input[[#This Row],[Existing lighting type]])</f>
        <v>0</v>
      </c>
      <c r="AR43" s="53" t="str">
        <f>_xlfn.CONCAT(Table_PrescriptLights_Input[[#This Row],[Generalized Fixture Type]], ":",Table_PrescriptLights_Input[[#This Row],[Existing lamps per fixture]],":",Table_PrescriptLights_Input[[#This Row],[Existing lamp wattage]])</f>
        <v>0::</v>
      </c>
      <c r="AS43" s="53" t="e">
        <f>INDEX(Table_TRM_Fixtures[Fixture Code], MATCH(Table_PrescriptLights_Input[[#This Row],[Generalized Fixture Baseline Lookup]], Table_TRM_Fixtures[Generalized Baseline Fixture Lookup], 0))</f>
        <v>#N/A</v>
      </c>
      <c r="AT43"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43"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43"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43"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43"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43" s="53" t="e">
        <f>IFERROR(Table_PrescriptLights_Input[[#This Row],[Detailed Baseline Fixture Code]],Table_PrescriptLights_Input[[#This Row],[Generalized Baseline Fixture Code]])</f>
        <v>#N/A</v>
      </c>
      <c r="AZ43" s="4"/>
      <c r="BA43" s="4"/>
      <c r="BB43" s="4"/>
      <c r="BC43" s="4"/>
      <c r="BD43" s="4"/>
      <c r="BE43" s="4"/>
      <c r="BF43" s="4"/>
      <c r="BG43" s="4"/>
      <c r="BH43" s="4"/>
      <c r="BI43" s="4"/>
      <c r="BJ43" s="4"/>
      <c r="BK43" s="4"/>
      <c r="BL43" s="4"/>
      <c r="BM43" s="4"/>
      <c r="BN43" s="4"/>
      <c r="BO43" s="4"/>
      <c r="BP43" s="4"/>
      <c r="BQ43" s="4"/>
    </row>
    <row r="44" spans="1:69" x14ac:dyDescent="0.2">
      <c r="A44" s="4"/>
      <c r="B44" s="189">
        <v>40</v>
      </c>
      <c r="C44" s="61" t="str">
        <f>IFERROR(INDEX(Table_Prescript_Meas[Measure Number], MATCH(Table_PrescriptLights_Input[[#This Row],[Prescriptive lighting measure]], Table_Prescript_Meas[Measure Description], 0)), "")</f>
        <v/>
      </c>
      <c r="D44" s="192"/>
      <c r="E44" s="179"/>
      <c r="F44" s="179"/>
      <c r="G44" s="61" t="str">
        <f>IFERROR(INDEX(Table_Prescript_Meas[Unit], MATCH(Table_PrescriptLights_Input[[#This Row],[Measure number]], Table_Prescript_Meas[Measure Number], 0)), "")</f>
        <v/>
      </c>
      <c r="H44" s="180"/>
      <c r="I44" s="179"/>
      <c r="J44" s="179"/>
      <c r="K44" s="180"/>
      <c r="L44" s="179"/>
      <c r="M44" s="180"/>
      <c r="N44" s="180"/>
      <c r="O44" s="180"/>
      <c r="P44" s="180"/>
      <c r="Q44" s="180"/>
      <c r="R44" s="181"/>
      <c r="S44" s="181"/>
      <c r="T44"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44"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44" s="69" t="str">
        <f>IF(Table_PrescriptLights_Input[[#This Row],[Prescriptive lighting measure]]="","",Table_PrescriptLights_Input[[#This Row],[Calculated Energy Savings]])</f>
        <v/>
      </c>
      <c r="W44" s="73" t="str">
        <f>IF(Table_PrescriptLights_Input[[#This Row],[Prescriptive lighting measure]]="","",Table_PrescriptLights_Input[[#This Row],[Calculated Demand Savings]])</f>
        <v/>
      </c>
      <c r="X44" s="67" t="str">
        <f>IFERROR(Table_PrescriptLights_Input[[#This Row],[Energy savings (kWh)]]*Input_AvgkWhRate, "")</f>
        <v/>
      </c>
      <c r="Y44" s="67" t="str">
        <f>IF(Table_PrescriptLights_Input[[#This Row],[Prescriptive lighting measure]]="", "",Table_PrescriptLights_Input[[#This Row],[Material cost per fixture]]*Table_PrescriptLights_Input[[#This Row],[Number of proposed fixtures]]+Table_PrescriptLights_Input[[#This Row],[Total labor cost]])</f>
        <v/>
      </c>
      <c r="Z44" s="67" t="str">
        <f>IFERROR(Table_PrescriptLights_Input[[#This Row],[Gross measure cost]]-Table_PrescriptLights_Input[[#This Row],[Estimated incentive]], "")</f>
        <v/>
      </c>
      <c r="AA44" s="69" t="str">
        <f t="shared" si="1"/>
        <v/>
      </c>
      <c r="AB44" s="69" t="str">
        <f>IF(ISNUMBER(Table_PrescriptLights_Input[[#This Row],[Detailed Fixture Calculation Wattage]]), "Detailed", "General")</f>
        <v>General</v>
      </c>
      <c r="AC44" s="53" t="e">
        <f>INDEX(Table_IntExt_Match[Measure Selection List], MATCH(Table_PrescriptLights_Input[[#This Row],[Interior or exterior?]], Table_IntExt_Match[Inetrior or Exterior], 0))</f>
        <v>#N/A</v>
      </c>
      <c r="AD44" s="53" t="e">
        <f>INDEX(Table_Prescript_Meas[Unit], MATCH(C44, Table_Prescript_Meas[Measure Number], 0))</f>
        <v>#N/A</v>
      </c>
      <c r="AE44" s="53" t="e">
        <f>INDEX(Table_Prescript_Meas[Lighting Type Selection List], MATCH(C44, Table_Prescript_Meas[Measure Number], 0))</f>
        <v>#N/A</v>
      </c>
      <c r="AF44" s="53" t="e">
        <f>INDEX(Table_Prescript_Meas[AOH Type], MATCH(Table_PrescriptLights_Input[[#This Row],[Measure number]], Table_Prescript_Meas[Measure Number],0))</f>
        <v>#N/A</v>
      </c>
      <c r="AG44"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44" s="53" t="str">
        <f>_xlfn.CONCAT(Table_PrescriptLights_Input[[#This Row],[Existing lighting type]],":",Table_PrescriptLights_Input[[#This Row],[Existing lamps per fixture]], ":",Table_PrescriptLights_Input[[#This Row],[Existing lamp wattage]])</f>
        <v>::</v>
      </c>
      <c r="AI44" s="53" t="e">
        <f>INDEX(Table_TRM_Fixtures[Fixture Code], MATCH(Table_PrescriptLights_Input[[#This Row],[Detailed Baseline Fixture Lookup]], Table_TRM_Fixtures[Detailed Prescriptive Baseline Fixture Lookup], 0))</f>
        <v>#N/A</v>
      </c>
      <c r="AJ44" s="53" t="e">
        <f>INDEX(Table_TRM_Fixtures[Fixture Wattage for Baseline Calculations],MATCH(Table_PrescriptLights_Input[[#This Row],[Detailed Baseline Fixture Lookup]], Table_TRM_Fixtures[Detailed Prescriptive Baseline Fixture Lookup],0))</f>
        <v>#N/A</v>
      </c>
      <c r="AK44" s="127" t="e">
        <f>INDEX(Table_Bldg_IEFD_IEFC[IEFE], MATCH( Input_HVACType,Table_Bldg_IEFD_IEFC[List_HVAC], 0))</f>
        <v>#N/A</v>
      </c>
      <c r="AL44" s="127" t="e">
        <f>INDEX( Table_Bldg_IEFD_IEFC[IEFE],MATCH( Input_HVACType, Table_Bldg_IEFD_IEFC[List_HVAC],0 ))</f>
        <v>#N/A</v>
      </c>
      <c r="AM44" s="127" t="e">
        <f>INDEX(Table_Control_PAF[PAF], MATCH(Table_PrescriptLights_Input[[#This Row],[Existing controls]], Table_Control_PAF[List_Control_Types], 0 ) )</f>
        <v>#N/A</v>
      </c>
      <c r="AN44"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44"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44"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44" s="53">
        <f>IFERROR(LEFT(Table_PrescriptLights_Input[[#This Row],[Existing lighting type]], FIND(",",Table_PrescriptLights_Input[[#This Row],[Existing lighting type]])-1), Table_PrescriptLights_Input[[#This Row],[Existing lighting type]])</f>
        <v>0</v>
      </c>
      <c r="AR44" s="53" t="str">
        <f>_xlfn.CONCAT(Table_PrescriptLights_Input[[#This Row],[Generalized Fixture Type]], ":",Table_PrescriptLights_Input[[#This Row],[Existing lamps per fixture]],":",Table_PrescriptLights_Input[[#This Row],[Existing lamp wattage]])</f>
        <v>0::</v>
      </c>
      <c r="AS44" s="53" t="e">
        <f>INDEX(Table_TRM_Fixtures[Fixture Code], MATCH(Table_PrescriptLights_Input[[#This Row],[Generalized Fixture Baseline Lookup]], Table_TRM_Fixtures[Generalized Baseline Fixture Lookup], 0))</f>
        <v>#N/A</v>
      </c>
      <c r="AT44"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44"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44"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44"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44"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44" s="53" t="e">
        <f>IFERROR(Table_PrescriptLights_Input[[#This Row],[Detailed Baseline Fixture Code]],Table_PrescriptLights_Input[[#This Row],[Generalized Baseline Fixture Code]])</f>
        <v>#N/A</v>
      </c>
      <c r="AZ44" s="4"/>
      <c r="BA44" s="4"/>
      <c r="BB44" s="4"/>
      <c r="BC44" s="4"/>
      <c r="BD44" s="4"/>
      <c r="BE44" s="4"/>
      <c r="BF44" s="4"/>
      <c r="BG44" s="4"/>
      <c r="BH44" s="4"/>
      <c r="BI44" s="4"/>
      <c r="BJ44" s="4"/>
      <c r="BK44" s="4"/>
      <c r="BL44" s="4"/>
      <c r="BM44" s="4"/>
      <c r="BN44" s="4"/>
      <c r="BO44" s="4"/>
      <c r="BP44" s="4"/>
      <c r="BQ44" s="4"/>
    </row>
    <row r="45" spans="1:69" x14ac:dyDescent="0.2">
      <c r="A45" s="4"/>
      <c r="B45" s="189">
        <v>41</v>
      </c>
      <c r="C45" s="61" t="str">
        <f>IFERROR(INDEX(Table_Prescript_Meas[Measure Number], MATCH(Table_PrescriptLights_Input[[#This Row],[Prescriptive lighting measure]], Table_Prescript_Meas[Measure Description], 0)), "")</f>
        <v/>
      </c>
      <c r="D45" s="192"/>
      <c r="E45" s="179"/>
      <c r="F45" s="179"/>
      <c r="G45" s="61" t="str">
        <f>IFERROR(INDEX(Table_Prescript_Meas[Unit], MATCH(Table_PrescriptLights_Input[[#This Row],[Measure number]], Table_Prescript_Meas[Measure Number], 0)), "")</f>
        <v/>
      </c>
      <c r="H45" s="180"/>
      <c r="I45" s="179"/>
      <c r="J45" s="179"/>
      <c r="K45" s="180"/>
      <c r="L45" s="179"/>
      <c r="M45" s="180"/>
      <c r="N45" s="180"/>
      <c r="O45" s="180"/>
      <c r="P45" s="180"/>
      <c r="Q45" s="180"/>
      <c r="R45" s="181"/>
      <c r="S45" s="181"/>
      <c r="T45"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45"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45" s="69" t="str">
        <f>IF(Table_PrescriptLights_Input[[#This Row],[Prescriptive lighting measure]]="","",Table_PrescriptLights_Input[[#This Row],[Calculated Energy Savings]])</f>
        <v/>
      </c>
      <c r="W45" s="73" t="str">
        <f>IF(Table_PrescriptLights_Input[[#This Row],[Prescriptive lighting measure]]="","",Table_PrescriptLights_Input[[#This Row],[Calculated Demand Savings]])</f>
        <v/>
      </c>
      <c r="X45" s="67" t="str">
        <f>IFERROR(Table_PrescriptLights_Input[[#This Row],[Energy savings (kWh)]]*Input_AvgkWhRate, "")</f>
        <v/>
      </c>
      <c r="Y45" s="67" t="str">
        <f>IF(Table_PrescriptLights_Input[[#This Row],[Prescriptive lighting measure]]="", "",Table_PrescriptLights_Input[[#This Row],[Material cost per fixture]]*Table_PrescriptLights_Input[[#This Row],[Number of proposed fixtures]]+Table_PrescriptLights_Input[[#This Row],[Total labor cost]])</f>
        <v/>
      </c>
      <c r="Z45" s="67" t="str">
        <f>IFERROR(Table_PrescriptLights_Input[[#This Row],[Gross measure cost]]-Table_PrescriptLights_Input[[#This Row],[Estimated incentive]], "")</f>
        <v/>
      </c>
      <c r="AA45" s="69" t="str">
        <f t="shared" si="1"/>
        <v/>
      </c>
      <c r="AB45" s="69" t="str">
        <f>IF(ISNUMBER(Table_PrescriptLights_Input[[#This Row],[Detailed Fixture Calculation Wattage]]), "Detailed", "General")</f>
        <v>General</v>
      </c>
      <c r="AC45" s="53" t="e">
        <f>INDEX(Table_IntExt_Match[Measure Selection List], MATCH(Table_PrescriptLights_Input[[#This Row],[Interior or exterior?]], Table_IntExt_Match[Inetrior or Exterior], 0))</f>
        <v>#N/A</v>
      </c>
      <c r="AD45" s="53" t="e">
        <f>INDEX(Table_Prescript_Meas[Unit], MATCH(C45, Table_Prescript_Meas[Measure Number], 0))</f>
        <v>#N/A</v>
      </c>
      <c r="AE45" s="53" t="e">
        <f>INDEX(Table_Prescript_Meas[Lighting Type Selection List], MATCH(C45, Table_Prescript_Meas[Measure Number], 0))</f>
        <v>#N/A</v>
      </c>
      <c r="AF45" s="53" t="e">
        <f>INDEX(Table_Prescript_Meas[AOH Type], MATCH(Table_PrescriptLights_Input[[#This Row],[Measure number]], Table_Prescript_Meas[Measure Number],0))</f>
        <v>#N/A</v>
      </c>
      <c r="AG45"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45" s="53" t="str">
        <f>_xlfn.CONCAT(Table_PrescriptLights_Input[[#This Row],[Existing lighting type]],":",Table_PrescriptLights_Input[[#This Row],[Existing lamps per fixture]], ":",Table_PrescriptLights_Input[[#This Row],[Existing lamp wattage]])</f>
        <v>::</v>
      </c>
      <c r="AI45" s="53" t="e">
        <f>INDEX(Table_TRM_Fixtures[Fixture Code], MATCH(Table_PrescriptLights_Input[[#This Row],[Detailed Baseline Fixture Lookup]], Table_TRM_Fixtures[Detailed Prescriptive Baseline Fixture Lookup], 0))</f>
        <v>#N/A</v>
      </c>
      <c r="AJ45" s="53" t="e">
        <f>INDEX(Table_TRM_Fixtures[Fixture Wattage for Baseline Calculations],MATCH(Table_PrescriptLights_Input[[#This Row],[Detailed Baseline Fixture Lookup]], Table_TRM_Fixtures[Detailed Prescriptive Baseline Fixture Lookup],0))</f>
        <v>#N/A</v>
      </c>
      <c r="AK45" s="127" t="e">
        <f>INDEX(Table_Bldg_IEFD_IEFC[IEFE], MATCH( Input_HVACType,Table_Bldg_IEFD_IEFC[List_HVAC], 0))</f>
        <v>#N/A</v>
      </c>
      <c r="AL45" s="127" t="e">
        <f>INDEX( Table_Bldg_IEFD_IEFC[IEFE],MATCH( Input_HVACType, Table_Bldg_IEFD_IEFC[List_HVAC],0 ))</f>
        <v>#N/A</v>
      </c>
      <c r="AM45" s="127" t="e">
        <f>INDEX(Table_Control_PAF[PAF], MATCH(Table_PrescriptLights_Input[[#This Row],[Existing controls]], Table_Control_PAF[List_Control_Types], 0 ) )</f>
        <v>#N/A</v>
      </c>
      <c r="AN45"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45"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45"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45" s="53">
        <f>IFERROR(LEFT(Table_PrescriptLights_Input[[#This Row],[Existing lighting type]], FIND(",",Table_PrescriptLights_Input[[#This Row],[Existing lighting type]])-1), Table_PrescriptLights_Input[[#This Row],[Existing lighting type]])</f>
        <v>0</v>
      </c>
      <c r="AR45" s="53" t="str">
        <f>_xlfn.CONCAT(Table_PrescriptLights_Input[[#This Row],[Generalized Fixture Type]], ":",Table_PrescriptLights_Input[[#This Row],[Existing lamps per fixture]],":",Table_PrescriptLights_Input[[#This Row],[Existing lamp wattage]])</f>
        <v>0::</v>
      </c>
      <c r="AS45" s="53" t="e">
        <f>INDEX(Table_TRM_Fixtures[Fixture Code], MATCH(Table_PrescriptLights_Input[[#This Row],[Generalized Fixture Baseline Lookup]], Table_TRM_Fixtures[Generalized Baseline Fixture Lookup], 0))</f>
        <v>#N/A</v>
      </c>
      <c r="AT45"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45"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45"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45"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45"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45" s="53" t="e">
        <f>IFERROR(Table_PrescriptLights_Input[[#This Row],[Detailed Baseline Fixture Code]],Table_PrescriptLights_Input[[#This Row],[Generalized Baseline Fixture Code]])</f>
        <v>#N/A</v>
      </c>
      <c r="AZ45" s="4"/>
      <c r="BA45" s="4"/>
      <c r="BB45" s="4"/>
      <c r="BC45" s="4"/>
      <c r="BD45" s="4"/>
      <c r="BE45" s="4"/>
      <c r="BF45" s="4"/>
      <c r="BG45" s="4"/>
      <c r="BH45" s="4"/>
      <c r="BI45" s="4"/>
      <c r="BJ45" s="4"/>
      <c r="BK45" s="4"/>
      <c r="BL45" s="4"/>
      <c r="BM45" s="4"/>
      <c r="BN45" s="4"/>
      <c r="BO45" s="4"/>
      <c r="BP45" s="4"/>
      <c r="BQ45" s="4"/>
    </row>
    <row r="46" spans="1:69" x14ac:dyDescent="0.2">
      <c r="A46" s="4"/>
      <c r="B46" s="189">
        <v>42</v>
      </c>
      <c r="C46" s="61" t="str">
        <f>IFERROR(INDEX(Table_Prescript_Meas[Measure Number], MATCH(Table_PrescriptLights_Input[[#This Row],[Prescriptive lighting measure]], Table_Prescript_Meas[Measure Description], 0)), "")</f>
        <v/>
      </c>
      <c r="D46" s="192"/>
      <c r="E46" s="179"/>
      <c r="F46" s="179"/>
      <c r="G46" s="61" t="str">
        <f>IFERROR(INDEX(Table_Prescript_Meas[Unit], MATCH(Table_PrescriptLights_Input[[#This Row],[Measure number]], Table_Prescript_Meas[Measure Number], 0)), "")</f>
        <v/>
      </c>
      <c r="H46" s="180"/>
      <c r="I46" s="179"/>
      <c r="J46" s="179"/>
      <c r="K46" s="180"/>
      <c r="L46" s="179"/>
      <c r="M46" s="180"/>
      <c r="N46" s="180"/>
      <c r="O46" s="180"/>
      <c r="P46" s="180"/>
      <c r="Q46" s="180"/>
      <c r="R46" s="181"/>
      <c r="S46" s="181"/>
      <c r="T46"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46"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46" s="69" t="str">
        <f>IF(Table_PrescriptLights_Input[[#This Row],[Prescriptive lighting measure]]="","",Table_PrescriptLights_Input[[#This Row],[Calculated Energy Savings]])</f>
        <v/>
      </c>
      <c r="W46" s="73" t="str">
        <f>IF(Table_PrescriptLights_Input[[#This Row],[Prescriptive lighting measure]]="","",Table_PrescriptLights_Input[[#This Row],[Calculated Demand Savings]])</f>
        <v/>
      </c>
      <c r="X46" s="67" t="str">
        <f>IFERROR(Table_PrescriptLights_Input[[#This Row],[Energy savings (kWh)]]*Input_AvgkWhRate, "")</f>
        <v/>
      </c>
      <c r="Y46" s="67" t="str">
        <f>IF(Table_PrescriptLights_Input[[#This Row],[Prescriptive lighting measure]]="", "",Table_PrescriptLights_Input[[#This Row],[Material cost per fixture]]*Table_PrescriptLights_Input[[#This Row],[Number of proposed fixtures]]+Table_PrescriptLights_Input[[#This Row],[Total labor cost]])</f>
        <v/>
      </c>
      <c r="Z46" s="67" t="str">
        <f>IFERROR(Table_PrescriptLights_Input[[#This Row],[Gross measure cost]]-Table_PrescriptLights_Input[[#This Row],[Estimated incentive]], "")</f>
        <v/>
      </c>
      <c r="AA46" s="69" t="str">
        <f t="shared" si="1"/>
        <v/>
      </c>
      <c r="AB46" s="69" t="str">
        <f>IF(ISNUMBER(Table_PrescriptLights_Input[[#This Row],[Detailed Fixture Calculation Wattage]]), "Detailed", "General")</f>
        <v>General</v>
      </c>
      <c r="AC46" s="53" t="e">
        <f>INDEX(Table_IntExt_Match[Measure Selection List], MATCH(Table_PrescriptLights_Input[[#This Row],[Interior or exterior?]], Table_IntExt_Match[Inetrior or Exterior], 0))</f>
        <v>#N/A</v>
      </c>
      <c r="AD46" s="53" t="e">
        <f>INDEX(Table_Prescript_Meas[Unit], MATCH(C46, Table_Prescript_Meas[Measure Number], 0))</f>
        <v>#N/A</v>
      </c>
      <c r="AE46" s="53" t="e">
        <f>INDEX(Table_Prescript_Meas[Lighting Type Selection List], MATCH(C46, Table_Prescript_Meas[Measure Number], 0))</f>
        <v>#N/A</v>
      </c>
      <c r="AF46" s="53" t="e">
        <f>INDEX(Table_Prescript_Meas[AOH Type], MATCH(Table_PrescriptLights_Input[[#This Row],[Measure number]], Table_Prescript_Meas[Measure Number],0))</f>
        <v>#N/A</v>
      </c>
      <c r="AG46"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46" s="53" t="str">
        <f>_xlfn.CONCAT(Table_PrescriptLights_Input[[#This Row],[Existing lighting type]],":",Table_PrescriptLights_Input[[#This Row],[Existing lamps per fixture]], ":",Table_PrescriptLights_Input[[#This Row],[Existing lamp wattage]])</f>
        <v>::</v>
      </c>
      <c r="AI46" s="53" t="e">
        <f>INDEX(Table_TRM_Fixtures[Fixture Code], MATCH(Table_PrescriptLights_Input[[#This Row],[Detailed Baseline Fixture Lookup]], Table_TRM_Fixtures[Detailed Prescriptive Baseline Fixture Lookup], 0))</f>
        <v>#N/A</v>
      </c>
      <c r="AJ46" s="53" t="e">
        <f>INDEX(Table_TRM_Fixtures[Fixture Wattage for Baseline Calculations],MATCH(Table_PrescriptLights_Input[[#This Row],[Detailed Baseline Fixture Lookup]], Table_TRM_Fixtures[Detailed Prescriptive Baseline Fixture Lookup],0))</f>
        <v>#N/A</v>
      </c>
      <c r="AK46" s="127" t="e">
        <f>INDEX(Table_Bldg_IEFD_IEFC[IEFE], MATCH( Input_HVACType,Table_Bldg_IEFD_IEFC[List_HVAC], 0))</f>
        <v>#N/A</v>
      </c>
      <c r="AL46" s="127" t="e">
        <f>INDEX( Table_Bldg_IEFD_IEFC[IEFE],MATCH( Input_HVACType, Table_Bldg_IEFD_IEFC[List_HVAC],0 ))</f>
        <v>#N/A</v>
      </c>
      <c r="AM46" s="127" t="e">
        <f>INDEX(Table_Control_PAF[PAF], MATCH(Table_PrescriptLights_Input[[#This Row],[Existing controls]], Table_Control_PAF[List_Control_Types], 0 ) )</f>
        <v>#N/A</v>
      </c>
      <c r="AN46"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46"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46"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46" s="53">
        <f>IFERROR(LEFT(Table_PrescriptLights_Input[[#This Row],[Existing lighting type]], FIND(",",Table_PrescriptLights_Input[[#This Row],[Existing lighting type]])-1), Table_PrescriptLights_Input[[#This Row],[Existing lighting type]])</f>
        <v>0</v>
      </c>
      <c r="AR46" s="53" t="str">
        <f>_xlfn.CONCAT(Table_PrescriptLights_Input[[#This Row],[Generalized Fixture Type]], ":",Table_PrescriptLights_Input[[#This Row],[Existing lamps per fixture]],":",Table_PrescriptLights_Input[[#This Row],[Existing lamp wattage]])</f>
        <v>0::</v>
      </c>
      <c r="AS46" s="53" t="e">
        <f>INDEX(Table_TRM_Fixtures[Fixture Code], MATCH(Table_PrescriptLights_Input[[#This Row],[Generalized Fixture Baseline Lookup]], Table_TRM_Fixtures[Generalized Baseline Fixture Lookup], 0))</f>
        <v>#N/A</v>
      </c>
      <c r="AT46"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46"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46"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46"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46"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46" s="53" t="e">
        <f>IFERROR(Table_PrescriptLights_Input[[#This Row],[Detailed Baseline Fixture Code]],Table_PrescriptLights_Input[[#This Row],[Generalized Baseline Fixture Code]])</f>
        <v>#N/A</v>
      </c>
      <c r="AZ46" s="4"/>
      <c r="BA46" s="4"/>
      <c r="BB46" s="4"/>
      <c r="BC46" s="4"/>
      <c r="BD46" s="4"/>
      <c r="BE46" s="4"/>
      <c r="BF46" s="4"/>
      <c r="BG46" s="4"/>
      <c r="BH46" s="4"/>
      <c r="BI46" s="4"/>
      <c r="BJ46" s="4"/>
      <c r="BK46" s="4"/>
      <c r="BL46" s="4"/>
      <c r="BM46" s="4"/>
      <c r="BN46" s="4"/>
      <c r="BO46" s="4"/>
      <c r="BP46" s="4"/>
      <c r="BQ46" s="4"/>
    </row>
    <row r="47" spans="1:69" x14ac:dyDescent="0.2">
      <c r="A47" s="4"/>
      <c r="B47" s="189">
        <v>43</v>
      </c>
      <c r="C47" s="61" t="str">
        <f>IFERROR(INDEX(Table_Prescript_Meas[Measure Number], MATCH(Table_PrescriptLights_Input[[#This Row],[Prescriptive lighting measure]], Table_Prescript_Meas[Measure Description], 0)), "")</f>
        <v/>
      </c>
      <c r="D47" s="192"/>
      <c r="E47" s="179"/>
      <c r="F47" s="179"/>
      <c r="G47" s="61" t="str">
        <f>IFERROR(INDEX(Table_Prescript_Meas[Unit], MATCH(Table_PrescriptLights_Input[[#This Row],[Measure number]], Table_Prescript_Meas[Measure Number], 0)), "")</f>
        <v/>
      </c>
      <c r="H47" s="180"/>
      <c r="I47" s="179"/>
      <c r="J47" s="179"/>
      <c r="K47" s="180"/>
      <c r="L47" s="179"/>
      <c r="M47" s="180"/>
      <c r="N47" s="180"/>
      <c r="O47" s="180"/>
      <c r="P47" s="180"/>
      <c r="Q47" s="180"/>
      <c r="R47" s="181"/>
      <c r="S47" s="181"/>
      <c r="T47"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47"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47" s="69" t="str">
        <f>IF(Table_PrescriptLights_Input[[#This Row],[Prescriptive lighting measure]]="","",Table_PrescriptLights_Input[[#This Row],[Calculated Energy Savings]])</f>
        <v/>
      </c>
      <c r="W47" s="73" t="str">
        <f>IF(Table_PrescriptLights_Input[[#This Row],[Prescriptive lighting measure]]="","",Table_PrescriptLights_Input[[#This Row],[Calculated Demand Savings]])</f>
        <v/>
      </c>
      <c r="X47" s="67" t="str">
        <f>IFERROR(Table_PrescriptLights_Input[[#This Row],[Energy savings (kWh)]]*Input_AvgkWhRate, "")</f>
        <v/>
      </c>
      <c r="Y47" s="67" t="str">
        <f>IF(Table_PrescriptLights_Input[[#This Row],[Prescriptive lighting measure]]="", "",Table_PrescriptLights_Input[[#This Row],[Material cost per fixture]]*Table_PrescriptLights_Input[[#This Row],[Number of proposed fixtures]]+Table_PrescriptLights_Input[[#This Row],[Total labor cost]])</f>
        <v/>
      </c>
      <c r="Z47" s="67" t="str">
        <f>IFERROR(Table_PrescriptLights_Input[[#This Row],[Gross measure cost]]-Table_PrescriptLights_Input[[#This Row],[Estimated incentive]], "")</f>
        <v/>
      </c>
      <c r="AA47" s="69" t="str">
        <f t="shared" si="1"/>
        <v/>
      </c>
      <c r="AB47" s="69" t="str">
        <f>IF(ISNUMBER(Table_PrescriptLights_Input[[#This Row],[Detailed Fixture Calculation Wattage]]), "Detailed", "General")</f>
        <v>General</v>
      </c>
      <c r="AC47" s="53" t="e">
        <f>INDEX(Table_IntExt_Match[Measure Selection List], MATCH(Table_PrescriptLights_Input[[#This Row],[Interior or exterior?]], Table_IntExt_Match[Inetrior or Exterior], 0))</f>
        <v>#N/A</v>
      </c>
      <c r="AD47" s="53" t="e">
        <f>INDEX(Table_Prescript_Meas[Unit], MATCH(C47, Table_Prescript_Meas[Measure Number], 0))</f>
        <v>#N/A</v>
      </c>
      <c r="AE47" s="53" t="e">
        <f>INDEX(Table_Prescript_Meas[Lighting Type Selection List], MATCH(C47, Table_Prescript_Meas[Measure Number], 0))</f>
        <v>#N/A</v>
      </c>
      <c r="AF47" s="53" t="e">
        <f>INDEX(Table_Prescript_Meas[AOH Type], MATCH(Table_PrescriptLights_Input[[#This Row],[Measure number]], Table_Prescript_Meas[Measure Number],0))</f>
        <v>#N/A</v>
      </c>
      <c r="AG47"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47" s="53" t="str">
        <f>_xlfn.CONCAT(Table_PrescriptLights_Input[[#This Row],[Existing lighting type]],":",Table_PrescriptLights_Input[[#This Row],[Existing lamps per fixture]], ":",Table_PrescriptLights_Input[[#This Row],[Existing lamp wattage]])</f>
        <v>::</v>
      </c>
      <c r="AI47" s="53" t="e">
        <f>INDEX(Table_TRM_Fixtures[Fixture Code], MATCH(Table_PrescriptLights_Input[[#This Row],[Detailed Baseline Fixture Lookup]], Table_TRM_Fixtures[Detailed Prescriptive Baseline Fixture Lookup], 0))</f>
        <v>#N/A</v>
      </c>
      <c r="AJ47" s="53" t="e">
        <f>INDEX(Table_TRM_Fixtures[Fixture Wattage for Baseline Calculations],MATCH(Table_PrescriptLights_Input[[#This Row],[Detailed Baseline Fixture Lookup]], Table_TRM_Fixtures[Detailed Prescriptive Baseline Fixture Lookup],0))</f>
        <v>#N/A</v>
      </c>
      <c r="AK47" s="127" t="e">
        <f>INDEX(Table_Bldg_IEFD_IEFC[IEFE], MATCH( Input_HVACType,Table_Bldg_IEFD_IEFC[List_HVAC], 0))</f>
        <v>#N/A</v>
      </c>
      <c r="AL47" s="127" t="e">
        <f>INDEX( Table_Bldg_IEFD_IEFC[IEFE],MATCH( Input_HVACType, Table_Bldg_IEFD_IEFC[List_HVAC],0 ))</f>
        <v>#N/A</v>
      </c>
      <c r="AM47" s="127" t="e">
        <f>INDEX(Table_Control_PAF[PAF], MATCH(Table_PrescriptLights_Input[[#This Row],[Existing controls]], Table_Control_PAF[List_Control_Types], 0 ) )</f>
        <v>#N/A</v>
      </c>
      <c r="AN47"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47"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47"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47" s="53">
        <f>IFERROR(LEFT(Table_PrescriptLights_Input[[#This Row],[Existing lighting type]], FIND(",",Table_PrescriptLights_Input[[#This Row],[Existing lighting type]])-1), Table_PrescriptLights_Input[[#This Row],[Existing lighting type]])</f>
        <v>0</v>
      </c>
      <c r="AR47" s="53" t="str">
        <f>_xlfn.CONCAT(Table_PrescriptLights_Input[[#This Row],[Generalized Fixture Type]], ":",Table_PrescriptLights_Input[[#This Row],[Existing lamps per fixture]],":",Table_PrescriptLights_Input[[#This Row],[Existing lamp wattage]])</f>
        <v>0::</v>
      </c>
      <c r="AS47" s="53" t="e">
        <f>INDEX(Table_TRM_Fixtures[Fixture Code], MATCH(Table_PrescriptLights_Input[[#This Row],[Generalized Fixture Baseline Lookup]], Table_TRM_Fixtures[Generalized Baseline Fixture Lookup], 0))</f>
        <v>#N/A</v>
      </c>
      <c r="AT47"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47"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47"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47"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47"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47" s="53" t="e">
        <f>IFERROR(Table_PrescriptLights_Input[[#This Row],[Detailed Baseline Fixture Code]],Table_PrescriptLights_Input[[#This Row],[Generalized Baseline Fixture Code]])</f>
        <v>#N/A</v>
      </c>
      <c r="AZ47" s="4"/>
      <c r="BA47" s="4"/>
      <c r="BB47" s="4"/>
      <c r="BC47" s="4"/>
      <c r="BD47" s="4"/>
      <c r="BE47" s="4"/>
      <c r="BF47" s="4"/>
      <c r="BG47" s="4"/>
      <c r="BH47" s="4"/>
      <c r="BI47" s="4"/>
      <c r="BJ47" s="4"/>
      <c r="BK47" s="4"/>
      <c r="BL47" s="4"/>
      <c r="BM47" s="4"/>
      <c r="BN47" s="4"/>
      <c r="BO47" s="4"/>
      <c r="BP47" s="4"/>
      <c r="BQ47" s="4"/>
    </row>
    <row r="48" spans="1:69" x14ac:dyDescent="0.2">
      <c r="A48" s="4"/>
      <c r="B48" s="189">
        <v>44</v>
      </c>
      <c r="C48" s="61" t="str">
        <f>IFERROR(INDEX(Table_Prescript_Meas[Measure Number], MATCH(Table_PrescriptLights_Input[[#This Row],[Prescriptive lighting measure]], Table_Prescript_Meas[Measure Description], 0)), "")</f>
        <v/>
      </c>
      <c r="D48" s="192"/>
      <c r="E48" s="179"/>
      <c r="F48" s="179"/>
      <c r="G48" s="61" t="str">
        <f>IFERROR(INDEX(Table_Prescript_Meas[Unit], MATCH(Table_PrescriptLights_Input[[#This Row],[Measure number]], Table_Prescript_Meas[Measure Number], 0)), "")</f>
        <v/>
      </c>
      <c r="H48" s="180"/>
      <c r="I48" s="179"/>
      <c r="J48" s="179"/>
      <c r="K48" s="180"/>
      <c r="L48" s="179"/>
      <c r="M48" s="180"/>
      <c r="N48" s="180"/>
      <c r="O48" s="180"/>
      <c r="P48" s="180"/>
      <c r="Q48" s="180"/>
      <c r="R48" s="181"/>
      <c r="S48" s="181"/>
      <c r="T48"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48"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48" s="69" t="str">
        <f>IF(Table_PrescriptLights_Input[[#This Row],[Prescriptive lighting measure]]="","",Table_PrescriptLights_Input[[#This Row],[Calculated Energy Savings]])</f>
        <v/>
      </c>
      <c r="W48" s="73" t="str">
        <f>IF(Table_PrescriptLights_Input[[#This Row],[Prescriptive lighting measure]]="","",Table_PrescriptLights_Input[[#This Row],[Calculated Demand Savings]])</f>
        <v/>
      </c>
      <c r="X48" s="67" t="str">
        <f>IFERROR(Table_PrescriptLights_Input[[#This Row],[Energy savings (kWh)]]*Input_AvgkWhRate, "")</f>
        <v/>
      </c>
      <c r="Y48" s="67" t="str">
        <f>IF(Table_PrescriptLights_Input[[#This Row],[Prescriptive lighting measure]]="", "",Table_PrescriptLights_Input[[#This Row],[Material cost per fixture]]*Table_PrescriptLights_Input[[#This Row],[Number of proposed fixtures]]+Table_PrescriptLights_Input[[#This Row],[Total labor cost]])</f>
        <v/>
      </c>
      <c r="Z48" s="67" t="str">
        <f>IFERROR(Table_PrescriptLights_Input[[#This Row],[Gross measure cost]]-Table_PrescriptLights_Input[[#This Row],[Estimated incentive]], "")</f>
        <v/>
      </c>
      <c r="AA48" s="69" t="str">
        <f t="shared" si="1"/>
        <v/>
      </c>
      <c r="AB48" s="69" t="str">
        <f>IF(ISNUMBER(Table_PrescriptLights_Input[[#This Row],[Detailed Fixture Calculation Wattage]]), "Detailed", "General")</f>
        <v>General</v>
      </c>
      <c r="AC48" s="53" t="e">
        <f>INDEX(Table_IntExt_Match[Measure Selection List], MATCH(Table_PrescriptLights_Input[[#This Row],[Interior or exterior?]], Table_IntExt_Match[Inetrior or Exterior], 0))</f>
        <v>#N/A</v>
      </c>
      <c r="AD48" s="53" t="e">
        <f>INDEX(Table_Prescript_Meas[Unit], MATCH(C48, Table_Prescript_Meas[Measure Number], 0))</f>
        <v>#N/A</v>
      </c>
      <c r="AE48" s="53" t="e">
        <f>INDEX(Table_Prescript_Meas[Lighting Type Selection List], MATCH(C48, Table_Prescript_Meas[Measure Number], 0))</f>
        <v>#N/A</v>
      </c>
      <c r="AF48" s="53" t="e">
        <f>INDEX(Table_Prescript_Meas[AOH Type], MATCH(Table_PrescriptLights_Input[[#This Row],[Measure number]], Table_Prescript_Meas[Measure Number],0))</f>
        <v>#N/A</v>
      </c>
      <c r="AG48"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48" s="53" t="str">
        <f>_xlfn.CONCAT(Table_PrescriptLights_Input[[#This Row],[Existing lighting type]],":",Table_PrescriptLights_Input[[#This Row],[Existing lamps per fixture]], ":",Table_PrescriptLights_Input[[#This Row],[Existing lamp wattage]])</f>
        <v>::</v>
      </c>
      <c r="AI48" s="53" t="e">
        <f>INDEX(Table_TRM_Fixtures[Fixture Code], MATCH(Table_PrescriptLights_Input[[#This Row],[Detailed Baseline Fixture Lookup]], Table_TRM_Fixtures[Detailed Prescriptive Baseline Fixture Lookup], 0))</f>
        <v>#N/A</v>
      </c>
      <c r="AJ48" s="53" t="e">
        <f>INDEX(Table_TRM_Fixtures[Fixture Wattage for Baseline Calculations],MATCH(Table_PrescriptLights_Input[[#This Row],[Detailed Baseline Fixture Lookup]], Table_TRM_Fixtures[Detailed Prescriptive Baseline Fixture Lookup],0))</f>
        <v>#N/A</v>
      </c>
      <c r="AK48" s="127" t="e">
        <f>INDEX(Table_Bldg_IEFD_IEFC[IEFE], MATCH( Input_HVACType,Table_Bldg_IEFD_IEFC[List_HVAC], 0))</f>
        <v>#N/A</v>
      </c>
      <c r="AL48" s="127" t="e">
        <f>INDEX( Table_Bldg_IEFD_IEFC[IEFE],MATCH( Input_HVACType, Table_Bldg_IEFD_IEFC[List_HVAC],0 ))</f>
        <v>#N/A</v>
      </c>
      <c r="AM48" s="127" t="e">
        <f>INDEX(Table_Control_PAF[PAF], MATCH(Table_PrescriptLights_Input[[#This Row],[Existing controls]], Table_Control_PAF[List_Control_Types], 0 ) )</f>
        <v>#N/A</v>
      </c>
      <c r="AN48"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48"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48"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48" s="53">
        <f>IFERROR(LEFT(Table_PrescriptLights_Input[[#This Row],[Existing lighting type]], FIND(",",Table_PrescriptLights_Input[[#This Row],[Existing lighting type]])-1), Table_PrescriptLights_Input[[#This Row],[Existing lighting type]])</f>
        <v>0</v>
      </c>
      <c r="AR48" s="53" t="str">
        <f>_xlfn.CONCAT(Table_PrescriptLights_Input[[#This Row],[Generalized Fixture Type]], ":",Table_PrescriptLights_Input[[#This Row],[Existing lamps per fixture]],":",Table_PrescriptLights_Input[[#This Row],[Existing lamp wattage]])</f>
        <v>0::</v>
      </c>
      <c r="AS48" s="53" t="e">
        <f>INDEX(Table_TRM_Fixtures[Fixture Code], MATCH(Table_PrescriptLights_Input[[#This Row],[Generalized Fixture Baseline Lookup]], Table_TRM_Fixtures[Generalized Baseline Fixture Lookup], 0))</f>
        <v>#N/A</v>
      </c>
      <c r="AT48"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48"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48"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48"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48"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48" s="53" t="e">
        <f>IFERROR(Table_PrescriptLights_Input[[#This Row],[Detailed Baseline Fixture Code]],Table_PrescriptLights_Input[[#This Row],[Generalized Baseline Fixture Code]])</f>
        <v>#N/A</v>
      </c>
      <c r="AZ48" s="4"/>
      <c r="BA48" s="4"/>
      <c r="BB48" s="4"/>
      <c r="BC48" s="4"/>
      <c r="BD48" s="4"/>
      <c r="BE48" s="4"/>
      <c r="BF48" s="4"/>
      <c r="BG48" s="4"/>
      <c r="BH48" s="4"/>
      <c r="BI48" s="4"/>
      <c r="BJ48" s="4"/>
      <c r="BK48" s="4"/>
      <c r="BL48" s="4"/>
      <c r="BM48" s="4"/>
      <c r="BN48" s="4"/>
      <c r="BO48" s="4"/>
      <c r="BP48" s="4"/>
      <c r="BQ48" s="4"/>
    </row>
    <row r="49" spans="1:69" x14ac:dyDescent="0.2">
      <c r="A49" s="4"/>
      <c r="B49" s="189">
        <v>45</v>
      </c>
      <c r="C49" s="61" t="str">
        <f>IFERROR(INDEX(Table_Prescript_Meas[Measure Number], MATCH(Table_PrescriptLights_Input[[#This Row],[Prescriptive lighting measure]], Table_Prescript_Meas[Measure Description], 0)), "")</f>
        <v/>
      </c>
      <c r="D49" s="192"/>
      <c r="E49" s="179"/>
      <c r="F49" s="179"/>
      <c r="G49" s="61" t="str">
        <f>IFERROR(INDEX(Table_Prescript_Meas[Unit], MATCH(Table_PrescriptLights_Input[[#This Row],[Measure number]], Table_Prescript_Meas[Measure Number], 0)), "")</f>
        <v/>
      </c>
      <c r="H49" s="180"/>
      <c r="I49" s="179"/>
      <c r="J49" s="179"/>
      <c r="K49" s="180"/>
      <c r="L49" s="179"/>
      <c r="M49" s="180"/>
      <c r="N49" s="180"/>
      <c r="O49" s="180"/>
      <c r="P49" s="180"/>
      <c r="Q49" s="180"/>
      <c r="R49" s="181"/>
      <c r="S49" s="181"/>
      <c r="T49"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49"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49" s="69" t="str">
        <f>IF(Table_PrescriptLights_Input[[#This Row],[Prescriptive lighting measure]]="","",Table_PrescriptLights_Input[[#This Row],[Calculated Energy Savings]])</f>
        <v/>
      </c>
      <c r="W49" s="73" t="str">
        <f>IF(Table_PrescriptLights_Input[[#This Row],[Prescriptive lighting measure]]="","",Table_PrescriptLights_Input[[#This Row],[Calculated Demand Savings]])</f>
        <v/>
      </c>
      <c r="X49" s="67" t="str">
        <f>IFERROR(Table_PrescriptLights_Input[[#This Row],[Energy savings (kWh)]]*Input_AvgkWhRate, "")</f>
        <v/>
      </c>
      <c r="Y49" s="67" t="str">
        <f>IF(Table_PrescriptLights_Input[[#This Row],[Prescriptive lighting measure]]="", "",Table_PrescriptLights_Input[[#This Row],[Material cost per fixture]]*Table_PrescriptLights_Input[[#This Row],[Number of proposed fixtures]]+Table_PrescriptLights_Input[[#This Row],[Total labor cost]])</f>
        <v/>
      </c>
      <c r="Z49" s="67" t="str">
        <f>IFERROR(Table_PrescriptLights_Input[[#This Row],[Gross measure cost]]-Table_PrescriptLights_Input[[#This Row],[Estimated incentive]], "")</f>
        <v/>
      </c>
      <c r="AA49" s="69" t="str">
        <f t="shared" si="1"/>
        <v/>
      </c>
      <c r="AB49" s="69" t="str">
        <f>IF(ISNUMBER(Table_PrescriptLights_Input[[#This Row],[Detailed Fixture Calculation Wattage]]), "Detailed", "General")</f>
        <v>General</v>
      </c>
      <c r="AC49" s="53" t="e">
        <f>INDEX(Table_IntExt_Match[Measure Selection List], MATCH(Table_PrescriptLights_Input[[#This Row],[Interior or exterior?]], Table_IntExt_Match[Inetrior or Exterior], 0))</f>
        <v>#N/A</v>
      </c>
      <c r="AD49" s="53" t="e">
        <f>INDEX(Table_Prescript_Meas[Unit], MATCH(C49, Table_Prescript_Meas[Measure Number], 0))</f>
        <v>#N/A</v>
      </c>
      <c r="AE49" s="53" t="e">
        <f>INDEX(Table_Prescript_Meas[Lighting Type Selection List], MATCH(C49, Table_Prescript_Meas[Measure Number], 0))</f>
        <v>#N/A</v>
      </c>
      <c r="AF49" s="53" t="e">
        <f>INDEX(Table_Prescript_Meas[AOH Type], MATCH(Table_PrescriptLights_Input[[#This Row],[Measure number]], Table_Prescript_Meas[Measure Number],0))</f>
        <v>#N/A</v>
      </c>
      <c r="AG49"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49" s="53" t="str">
        <f>_xlfn.CONCAT(Table_PrescriptLights_Input[[#This Row],[Existing lighting type]],":",Table_PrescriptLights_Input[[#This Row],[Existing lamps per fixture]], ":",Table_PrescriptLights_Input[[#This Row],[Existing lamp wattage]])</f>
        <v>::</v>
      </c>
      <c r="AI49" s="53" t="e">
        <f>INDEX(Table_TRM_Fixtures[Fixture Code], MATCH(Table_PrescriptLights_Input[[#This Row],[Detailed Baseline Fixture Lookup]], Table_TRM_Fixtures[Detailed Prescriptive Baseline Fixture Lookup], 0))</f>
        <v>#N/A</v>
      </c>
      <c r="AJ49" s="53" t="e">
        <f>INDEX(Table_TRM_Fixtures[Fixture Wattage for Baseline Calculations],MATCH(Table_PrescriptLights_Input[[#This Row],[Detailed Baseline Fixture Lookup]], Table_TRM_Fixtures[Detailed Prescriptive Baseline Fixture Lookup],0))</f>
        <v>#N/A</v>
      </c>
      <c r="AK49" s="127" t="e">
        <f>INDEX(Table_Bldg_IEFD_IEFC[IEFE], MATCH( Input_HVACType,Table_Bldg_IEFD_IEFC[List_HVAC], 0))</f>
        <v>#N/A</v>
      </c>
      <c r="AL49" s="127" t="e">
        <f>INDEX( Table_Bldg_IEFD_IEFC[IEFE],MATCH( Input_HVACType, Table_Bldg_IEFD_IEFC[List_HVAC],0 ))</f>
        <v>#N/A</v>
      </c>
      <c r="AM49" s="127" t="e">
        <f>INDEX(Table_Control_PAF[PAF], MATCH(Table_PrescriptLights_Input[[#This Row],[Existing controls]], Table_Control_PAF[List_Control_Types], 0 ) )</f>
        <v>#N/A</v>
      </c>
      <c r="AN49"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49"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49"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49" s="53">
        <f>IFERROR(LEFT(Table_PrescriptLights_Input[[#This Row],[Existing lighting type]], FIND(",",Table_PrescriptLights_Input[[#This Row],[Existing lighting type]])-1), Table_PrescriptLights_Input[[#This Row],[Existing lighting type]])</f>
        <v>0</v>
      </c>
      <c r="AR49" s="53" t="str">
        <f>_xlfn.CONCAT(Table_PrescriptLights_Input[[#This Row],[Generalized Fixture Type]], ":",Table_PrescriptLights_Input[[#This Row],[Existing lamps per fixture]],":",Table_PrescriptLights_Input[[#This Row],[Existing lamp wattage]])</f>
        <v>0::</v>
      </c>
      <c r="AS49" s="53" t="e">
        <f>INDEX(Table_TRM_Fixtures[Fixture Code], MATCH(Table_PrescriptLights_Input[[#This Row],[Generalized Fixture Baseline Lookup]], Table_TRM_Fixtures[Generalized Baseline Fixture Lookup], 0))</f>
        <v>#N/A</v>
      </c>
      <c r="AT49"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49"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49"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49"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49"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49" s="53" t="e">
        <f>IFERROR(Table_PrescriptLights_Input[[#This Row],[Detailed Baseline Fixture Code]],Table_PrescriptLights_Input[[#This Row],[Generalized Baseline Fixture Code]])</f>
        <v>#N/A</v>
      </c>
      <c r="AZ49" s="4"/>
      <c r="BA49" s="4"/>
      <c r="BB49" s="4"/>
      <c r="BC49" s="4"/>
      <c r="BD49" s="4"/>
      <c r="BE49" s="4"/>
      <c r="BF49" s="4"/>
      <c r="BG49" s="4"/>
      <c r="BH49" s="4"/>
      <c r="BI49" s="4"/>
      <c r="BJ49" s="4"/>
      <c r="BK49" s="4"/>
      <c r="BL49" s="4"/>
      <c r="BM49" s="4"/>
      <c r="BN49" s="4"/>
      <c r="BO49" s="4"/>
      <c r="BP49" s="4"/>
      <c r="BQ49" s="4"/>
    </row>
    <row r="50" spans="1:69" x14ac:dyDescent="0.2">
      <c r="A50" s="4"/>
      <c r="B50" s="189">
        <v>46</v>
      </c>
      <c r="C50" s="61" t="str">
        <f>IFERROR(INDEX(Table_Prescript_Meas[Measure Number], MATCH(Table_PrescriptLights_Input[[#This Row],[Prescriptive lighting measure]], Table_Prescript_Meas[Measure Description], 0)), "")</f>
        <v/>
      </c>
      <c r="D50" s="192"/>
      <c r="E50" s="179"/>
      <c r="F50" s="179"/>
      <c r="G50" s="61" t="str">
        <f>IFERROR(INDEX(Table_Prescript_Meas[Unit], MATCH(Table_PrescriptLights_Input[[#This Row],[Measure number]], Table_Prescript_Meas[Measure Number], 0)), "")</f>
        <v/>
      </c>
      <c r="H50" s="180"/>
      <c r="I50" s="179"/>
      <c r="J50" s="179"/>
      <c r="K50" s="180"/>
      <c r="L50" s="179"/>
      <c r="M50" s="180"/>
      <c r="N50" s="180"/>
      <c r="O50" s="180"/>
      <c r="P50" s="180"/>
      <c r="Q50" s="180"/>
      <c r="R50" s="181"/>
      <c r="S50" s="181"/>
      <c r="T50"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50"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50" s="69" t="str">
        <f>IF(Table_PrescriptLights_Input[[#This Row],[Prescriptive lighting measure]]="","",Table_PrescriptLights_Input[[#This Row],[Calculated Energy Savings]])</f>
        <v/>
      </c>
      <c r="W50" s="73" t="str">
        <f>IF(Table_PrescriptLights_Input[[#This Row],[Prescriptive lighting measure]]="","",Table_PrescriptLights_Input[[#This Row],[Calculated Demand Savings]])</f>
        <v/>
      </c>
      <c r="X50" s="67" t="str">
        <f>IFERROR(Table_PrescriptLights_Input[[#This Row],[Energy savings (kWh)]]*Input_AvgkWhRate, "")</f>
        <v/>
      </c>
      <c r="Y50" s="67" t="str">
        <f>IF(Table_PrescriptLights_Input[[#This Row],[Prescriptive lighting measure]]="", "",Table_PrescriptLights_Input[[#This Row],[Material cost per fixture]]*Table_PrescriptLights_Input[[#This Row],[Number of proposed fixtures]]+Table_PrescriptLights_Input[[#This Row],[Total labor cost]])</f>
        <v/>
      </c>
      <c r="Z50" s="67" t="str">
        <f>IFERROR(Table_PrescriptLights_Input[[#This Row],[Gross measure cost]]-Table_PrescriptLights_Input[[#This Row],[Estimated incentive]], "")</f>
        <v/>
      </c>
      <c r="AA50" s="69" t="str">
        <f t="shared" si="1"/>
        <v/>
      </c>
      <c r="AB50" s="69" t="str">
        <f>IF(ISNUMBER(Table_PrescriptLights_Input[[#This Row],[Detailed Fixture Calculation Wattage]]), "Detailed", "General")</f>
        <v>General</v>
      </c>
      <c r="AC50" s="53" t="e">
        <f>INDEX(Table_IntExt_Match[Measure Selection List], MATCH(Table_PrescriptLights_Input[[#This Row],[Interior or exterior?]], Table_IntExt_Match[Inetrior or Exterior], 0))</f>
        <v>#N/A</v>
      </c>
      <c r="AD50" s="53" t="e">
        <f>INDEX(Table_Prescript_Meas[Unit], MATCH(C50, Table_Prescript_Meas[Measure Number], 0))</f>
        <v>#N/A</v>
      </c>
      <c r="AE50" s="53" t="e">
        <f>INDEX(Table_Prescript_Meas[Lighting Type Selection List], MATCH(C50, Table_Prescript_Meas[Measure Number], 0))</f>
        <v>#N/A</v>
      </c>
      <c r="AF50" s="53" t="e">
        <f>INDEX(Table_Prescript_Meas[AOH Type], MATCH(Table_PrescriptLights_Input[[#This Row],[Measure number]], Table_Prescript_Meas[Measure Number],0))</f>
        <v>#N/A</v>
      </c>
      <c r="AG50"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50" s="53" t="str">
        <f>_xlfn.CONCAT(Table_PrescriptLights_Input[[#This Row],[Existing lighting type]],":",Table_PrescriptLights_Input[[#This Row],[Existing lamps per fixture]], ":",Table_PrescriptLights_Input[[#This Row],[Existing lamp wattage]])</f>
        <v>::</v>
      </c>
      <c r="AI50" s="53" t="e">
        <f>INDEX(Table_TRM_Fixtures[Fixture Code], MATCH(Table_PrescriptLights_Input[[#This Row],[Detailed Baseline Fixture Lookup]], Table_TRM_Fixtures[Detailed Prescriptive Baseline Fixture Lookup], 0))</f>
        <v>#N/A</v>
      </c>
      <c r="AJ50" s="53" t="e">
        <f>INDEX(Table_TRM_Fixtures[Fixture Wattage for Baseline Calculations],MATCH(Table_PrescriptLights_Input[[#This Row],[Detailed Baseline Fixture Lookup]], Table_TRM_Fixtures[Detailed Prescriptive Baseline Fixture Lookup],0))</f>
        <v>#N/A</v>
      </c>
      <c r="AK50" s="127" t="e">
        <f>INDEX(Table_Bldg_IEFD_IEFC[IEFE], MATCH( Input_HVACType,Table_Bldg_IEFD_IEFC[List_HVAC], 0))</f>
        <v>#N/A</v>
      </c>
      <c r="AL50" s="127" t="e">
        <f>INDEX( Table_Bldg_IEFD_IEFC[IEFE],MATCH( Input_HVACType, Table_Bldg_IEFD_IEFC[List_HVAC],0 ))</f>
        <v>#N/A</v>
      </c>
      <c r="AM50" s="127" t="e">
        <f>INDEX(Table_Control_PAF[PAF], MATCH(Table_PrescriptLights_Input[[#This Row],[Existing controls]], Table_Control_PAF[List_Control_Types], 0 ) )</f>
        <v>#N/A</v>
      </c>
      <c r="AN50"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50"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50"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50" s="53">
        <f>IFERROR(LEFT(Table_PrescriptLights_Input[[#This Row],[Existing lighting type]], FIND(",",Table_PrescriptLights_Input[[#This Row],[Existing lighting type]])-1), Table_PrescriptLights_Input[[#This Row],[Existing lighting type]])</f>
        <v>0</v>
      </c>
      <c r="AR50" s="53" t="str">
        <f>_xlfn.CONCAT(Table_PrescriptLights_Input[[#This Row],[Generalized Fixture Type]], ":",Table_PrescriptLights_Input[[#This Row],[Existing lamps per fixture]],":",Table_PrescriptLights_Input[[#This Row],[Existing lamp wattage]])</f>
        <v>0::</v>
      </c>
      <c r="AS50" s="53" t="e">
        <f>INDEX(Table_TRM_Fixtures[Fixture Code], MATCH(Table_PrescriptLights_Input[[#This Row],[Generalized Fixture Baseline Lookup]], Table_TRM_Fixtures[Generalized Baseline Fixture Lookup], 0))</f>
        <v>#N/A</v>
      </c>
      <c r="AT50"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50"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50"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50"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50"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50" s="53" t="e">
        <f>IFERROR(Table_PrescriptLights_Input[[#This Row],[Detailed Baseline Fixture Code]],Table_PrescriptLights_Input[[#This Row],[Generalized Baseline Fixture Code]])</f>
        <v>#N/A</v>
      </c>
      <c r="AZ50" s="4"/>
      <c r="BA50" s="4"/>
      <c r="BB50" s="4"/>
      <c r="BC50" s="4"/>
      <c r="BD50" s="4"/>
      <c r="BE50" s="4"/>
      <c r="BF50" s="4"/>
      <c r="BG50" s="4"/>
      <c r="BH50" s="4"/>
      <c r="BI50" s="4"/>
      <c r="BJ50" s="4"/>
      <c r="BK50" s="4"/>
      <c r="BL50" s="4"/>
      <c r="BM50" s="4"/>
      <c r="BN50" s="4"/>
      <c r="BO50" s="4"/>
      <c r="BP50" s="4"/>
      <c r="BQ50" s="4"/>
    </row>
    <row r="51" spans="1:69" x14ac:dyDescent="0.2">
      <c r="A51" s="4"/>
      <c r="B51" s="189">
        <v>47</v>
      </c>
      <c r="C51" s="61" t="str">
        <f>IFERROR(INDEX(Table_Prescript_Meas[Measure Number], MATCH(Table_PrescriptLights_Input[[#This Row],[Prescriptive lighting measure]], Table_Prescript_Meas[Measure Description], 0)), "")</f>
        <v/>
      </c>
      <c r="D51" s="192"/>
      <c r="E51" s="179"/>
      <c r="F51" s="179"/>
      <c r="G51" s="61" t="str">
        <f>IFERROR(INDEX(Table_Prescript_Meas[Unit], MATCH(Table_PrescriptLights_Input[[#This Row],[Measure number]], Table_Prescript_Meas[Measure Number], 0)), "")</f>
        <v/>
      </c>
      <c r="H51" s="180"/>
      <c r="I51" s="179"/>
      <c r="J51" s="179"/>
      <c r="K51" s="180"/>
      <c r="L51" s="179"/>
      <c r="M51" s="180"/>
      <c r="N51" s="180"/>
      <c r="O51" s="180"/>
      <c r="P51" s="180"/>
      <c r="Q51" s="180"/>
      <c r="R51" s="181"/>
      <c r="S51" s="181"/>
      <c r="T51"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51"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51" s="69" t="str">
        <f>IF(Table_PrescriptLights_Input[[#This Row],[Prescriptive lighting measure]]="","",Table_PrescriptLights_Input[[#This Row],[Calculated Energy Savings]])</f>
        <v/>
      </c>
      <c r="W51" s="73" t="str">
        <f>IF(Table_PrescriptLights_Input[[#This Row],[Prescriptive lighting measure]]="","",Table_PrescriptLights_Input[[#This Row],[Calculated Demand Savings]])</f>
        <v/>
      </c>
      <c r="X51" s="67" t="str">
        <f>IFERROR(Table_PrescriptLights_Input[[#This Row],[Energy savings (kWh)]]*Input_AvgkWhRate, "")</f>
        <v/>
      </c>
      <c r="Y51" s="67" t="str">
        <f>IF(Table_PrescriptLights_Input[[#This Row],[Prescriptive lighting measure]]="", "",Table_PrescriptLights_Input[[#This Row],[Material cost per fixture]]*Table_PrescriptLights_Input[[#This Row],[Number of proposed fixtures]]+Table_PrescriptLights_Input[[#This Row],[Total labor cost]])</f>
        <v/>
      </c>
      <c r="Z51" s="67" t="str">
        <f>IFERROR(Table_PrescriptLights_Input[[#This Row],[Gross measure cost]]-Table_PrescriptLights_Input[[#This Row],[Estimated incentive]], "")</f>
        <v/>
      </c>
      <c r="AA51" s="69" t="str">
        <f t="shared" si="1"/>
        <v/>
      </c>
      <c r="AB51" s="69" t="str">
        <f>IF(ISNUMBER(Table_PrescriptLights_Input[[#This Row],[Detailed Fixture Calculation Wattage]]), "Detailed", "General")</f>
        <v>General</v>
      </c>
      <c r="AC51" s="53" t="e">
        <f>INDEX(Table_IntExt_Match[Measure Selection List], MATCH(Table_PrescriptLights_Input[[#This Row],[Interior or exterior?]], Table_IntExt_Match[Inetrior or Exterior], 0))</f>
        <v>#N/A</v>
      </c>
      <c r="AD51" s="53" t="e">
        <f>INDEX(Table_Prescript_Meas[Unit], MATCH(C51, Table_Prescript_Meas[Measure Number], 0))</f>
        <v>#N/A</v>
      </c>
      <c r="AE51" s="53" t="e">
        <f>INDEX(Table_Prescript_Meas[Lighting Type Selection List], MATCH(C51, Table_Prescript_Meas[Measure Number], 0))</f>
        <v>#N/A</v>
      </c>
      <c r="AF51" s="53" t="e">
        <f>INDEX(Table_Prescript_Meas[AOH Type], MATCH(Table_PrescriptLights_Input[[#This Row],[Measure number]], Table_Prescript_Meas[Measure Number],0))</f>
        <v>#N/A</v>
      </c>
      <c r="AG51"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51" s="53" t="str">
        <f>_xlfn.CONCAT(Table_PrescriptLights_Input[[#This Row],[Existing lighting type]],":",Table_PrescriptLights_Input[[#This Row],[Existing lamps per fixture]], ":",Table_PrescriptLights_Input[[#This Row],[Existing lamp wattage]])</f>
        <v>::</v>
      </c>
      <c r="AI51" s="53" t="e">
        <f>INDEX(Table_TRM_Fixtures[Fixture Code], MATCH(Table_PrescriptLights_Input[[#This Row],[Detailed Baseline Fixture Lookup]], Table_TRM_Fixtures[Detailed Prescriptive Baseline Fixture Lookup], 0))</f>
        <v>#N/A</v>
      </c>
      <c r="AJ51" s="53" t="e">
        <f>INDEX(Table_TRM_Fixtures[Fixture Wattage for Baseline Calculations],MATCH(Table_PrescriptLights_Input[[#This Row],[Detailed Baseline Fixture Lookup]], Table_TRM_Fixtures[Detailed Prescriptive Baseline Fixture Lookup],0))</f>
        <v>#N/A</v>
      </c>
      <c r="AK51" s="127" t="e">
        <f>INDEX(Table_Bldg_IEFD_IEFC[IEFE], MATCH( Input_HVACType,Table_Bldg_IEFD_IEFC[List_HVAC], 0))</f>
        <v>#N/A</v>
      </c>
      <c r="AL51" s="127" t="e">
        <f>INDEX( Table_Bldg_IEFD_IEFC[IEFE],MATCH( Input_HVACType, Table_Bldg_IEFD_IEFC[List_HVAC],0 ))</f>
        <v>#N/A</v>
      </c>
      <c r="AM51" s="127" t="e">
        <f>INDEX(Table_Control_PAF[PAF], MATCH(Table_PrescriptLights_Input[[#This Row],[Existing controls]], Table_Control_PAF[List_Control_Types], 0 ) )</f>
        <v>#N/A</v>
      </c>
      <c r="AN51"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51"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51"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51" s="53">
        <f>IFERROR(LEFT(Table_PrescriptLights_Input[[#This Row],[Existing lighting type]], FIND(",",Table_PrescriptLights_Input[[#This Row],[Existing lighting type]])-1), Table_PrescriptLights_Input[[#This Row],[Existing lighting type]])</f>
        <v>0</v>
      </c>
      <c r="AR51" s="53" t="str">
        <f>_xlfn.CONCAT(Table_PrescriptLights_Input[[#This Row],[Generalized Fixture Type]], ":",Table_PrescriptLights_Input[[#This Row],[Existing lamps per fixture]],":",Table_PrescriptLights_Input[[#This Row],[Existing lamp wattage]])</f>
        <v>0::</v>
      </c>
      <c r="AS51" s="53" t="e">
        <f>INDEX(Table_TRM_Fixtures[Fixture Code], MATCH(Table_PrescriptLights_Input[[#This Row],[Generalized Fixture Baseline Lookup]], Table_TRM_Fixtures[Generalized Baseline Fixture Lookup], 0))</f>
        <v>#N/A</v>
      </c>
      <c r="AT51"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51"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51"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51"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51"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51" s="53" t="e">
        <f>IFERROR(Table_PrescriptLights_Input[[#This Row],[Detailed Baseline Fixture Code]],Table_PrescriptLights_Input[[#This Row],[Generalized Baseline Fixture Code]])</f>
        <v>#N/A</v>
      </c>
      <c r="AZ51" s="4"/>
      <c r="BA51" s="4"/>
      <c r="BB51" s="4"/>
      <c r="BC51" s="4"/>
      <c r="BD51" s="4"/>
      <c r="BE51" s="4"/>
      <c r="BF51" s="4"/>
      <c r="BG51" s="4"/>
      <c r="BH51" s="4"/>
      <c r="BI51" s="4"/>
      <c r="BJ51" s="4"/>
      <c r="BK51" s="4"/>
      <c r="BL51" s="4"/>
      <c r="BM51" s="4"/>
      <c r="BN51" s="4"/>
      <c r="BO51" s="4"/>
      <c r="BP51" s="4"/>
      <c r="BQ51" s="4"/>
    </row>
    <row r="52" spans="1:69" x14ac:dyDescent="0.2">
      <c r="A52" s="4"/>
      <c r="B52" s="189">
        <v>48</v>
      </c>
      <c r="C52" s="61" t="str">
        <f>IFERROR(INDEX(Table_Prescript_Meas[Measure Number], MATCH(Table_PrescriptLights_Input[[#This Row],[Prescriptive lighting measure]], Table_Prescript_Meas[Measure Description], 0)), "")</f>
        <v/>
      </c>
      <c r="D52" s="192"/>
      <c r="E52" s="179"/>
      <c r="F52" s="179"/>
      <c r="G52" s="61" t="str">
        <f>IFERROR(INDEX(Table_Prescript_Meas[Unit], MATCH(Table_PrescriptLights_Input[[#This Row],[Measure number]], Table_Prescript_Meas[Measure Number], 0)), "")</f>
        <v/>
      </c>
      <c r="H52" s="180"/>
      <c r="I52" s="179"/>
      <c r="J52" s="179"/>
      <c r="K52" s="180"/>
      <c r="L52" s="179"/>
      <c r="M52" s="180"/>
      <c r="N52" s="180"/>
      <c r="O52" s="180"/>
      <c r="P52" s="180"/>
      <c r="Q52" s="180"/>
      <c r="R52" s="181"/>
      <c r="S52" s="181"/>
      <c r="T52"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52"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52" s="69" t="str">
        <f>IF(Table_PrescriptLights_Input[[#This Row],[Prescriptive lighting measure]]="","",Table_PrescriptLights_Input[[#This Row],[Calculated Energy Savings]])</f>
        <v/>
      </c>
      <c r="W52" s="73" t="str">
        <f>IF(Table_PrescriptLights_Input[[#This Row],[Prescriptive lighting measure]]="","",Table_PrescriptLights_Input[[#This Row],[Calculated Demand Savings]])</f>
        <v/>
      </c>
      <c r="X52" s="67" t="str">
        <f>IFERROR(Table_PrescriptLights_Input[[#This Row],[Energy savings (kWh)]]*Input_AvgkWhRate, "")</f>
        <v/>
      </c>
      <c r="Y52" s="67" t="str">
        <f>IF(Table_PrescriptLights_Input[[#This Row],[Prescriptive lighting measure]]="", "",Table_PrescriptLights_Input[[#This Row],[Material cost per fixture]]*Table_PrescriptLights_Input[[#This Row],[Number of proposed fixtures]]+Table_PrescriptLights_Input[[#This Row],[Total labor cost]])</f>
        <v/>
      </c>
      <c r="Z52" s="67" t="str">
        <f>IFERROR(Table_PrescriptLights_Input[[#This Row],[Gross measure cost]]-Table_PrescriptLights_Input[[#This Row],[Estimated incentive]], "")</f>
        <v/>
      </c>
      <c r="AA52" s="69" t="str">
        <f t="shared" si="1"/>
        <v/>
      </c>
      <c r="AB52" s="69" t="str">
        <f>IF(ISNUMBER(Table_PrescriptLights_Input[[#This Row],[Detailed Fixture Calculation Wattage]]), "Detailed", "General")</f>
        <v>General</v>
      </c>
      <c r="AC52" s="53" t="e">
        <f>INDEX(Table_IntExt_Match[Measure Selection List], MATCH(Table_PrescriptLights_Input[[#This Row],[Interior or exterior?]], Table_IntExt_Match[Inetrior or Exterior], 0))</f>
        <v>#N/A</v>
      </c>
      <c r="AD52" s="53" t="e">
        <f>INDEX(Table_Prescript_Meas[Unit], MATCH(C52, Table_Prescript_Meas[Measure Number], 0))</f>
        <v>#N/A</v>
      </c>
      <c r="AE52" s="53" t="e">
        <f>INDEX(Table_Prescript_Meas[Lighting Type Selection List], MATCH(C52, Table_Prescript_Meas[Measure Number], 0))</f>
        <v>#N/A</v>
      </c>
      <c r="AF52" s="53" t="e">
        <f>INDEX(Table_Prescript_Meas[AOH Type], MATCH(Table_PrescriptLights_Input[[#This Row],[Measure number]], Table_Prescript_Meas[Measure Number],0))</f>
        <v>#N/A</v>
      </c>
      <c r="AG52"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52" s="53" t="str">
        <f>_xlfn.CONCAT(Table_PrescriptLights_Input[[#This Row],[Existing lighting type]],":",Table_PrescriptLights_Input[[#This Row],[Existing lamps per fixture]], ":",Table_PrescriptLights_Input[[#This Row],[Existing lamp wattage]])</f>
        <v>::</v>
      </c>
      <c r="AI52" s="53" t="e">
        <f>INDEX(Table_TRM_Fixtures[Fixture Code], MATCH(Table_PrescriptLights_Input[[#This Row],[Detailed Baseline Fixture Lookup]], Table_TRM_Fixtures[Detailed Prescriptive Baseline Fixture Lookup], 0))</f>
        <v>#N/A</v>
      </c>
      <c r="AJ52" s="53" t="e">
        <f>INDEX(Table_TRM_Fixtures[Fixture Wattage for Baseline Calculations],MATCH(Table_PrescriptLights_Input[[#This Row],[Detailed Baseline Fixture Lookup]], Table_TRM_Fixtures[Detailed Prescriptive Baseline Fixture Lookup],0))</f>
        <v>#N/A</v>
      </c>
      <c r="AK52" s="127" t="e">
        <f>INDEX(Table_Bldg_IEFD_IEFC[IEFE], MATCH( Input_HVACType,Table_Bldg_IEFD_IEFC[List_HVAC], 0))</f>
        <v>#N/A</v>
      </c>
      <c r="AL52" s="127" t="e">
        <f>INDEX( Table_Bldg_IEFD_IEFC[IEFE],MATCH( Input_HVACType, Table_Bldg_IEFD_IEFC[List_HVAC],0 ))</f>
        <v>#N/A</v>
      </c>
      <c r="AM52" s="127" t="e">
        <f>INDEX(Table_Control_PAF[PAF], MATCH(Table_PrescriptLights_Input[[#This Row],[Existing controls]], Table_Control_PAF[List_Control_Types], 0 ) )</f>
        <v>#N/A</v>
      </c>
      <c r="AN52"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52"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52"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52" s="53">
        <f>IFERROR(LEFT(Table_PrescriptLights_Input[[#This Row],[Existing lighting type]], FIND(",",Table_PrescriptLights_Input[[#This Row],[Existing lighting type]])-1), Table_PrescriptLights_Input[[#This Row],[Existing lighting type]])</f>
        <v>0</v>
      </c>
      <c r="AR52" s="53" t="str">
        <f>_xlfn.CONCAT(Table_PrescriptLights_Input[[#This Row],[Generalized Fixture Type]], ":",Table_PrescriptLights_Input[[#This Row],[Existing lamps per fixture]],":",Table_PrescriptLights_Input[[#This Row],[Existing lamp wattage]])</f>
        <v>0::</v>
      </c>
      <c r="AS52" s="53" t="e">
        <f>INDEX(Table_TRM_Fixtures[Fixture Code], MATCH(Table_PrescriptLights_Input[[#This Row],[Generalized Fixture Baseline Lookup]], Table_TRM_Fixtures[Generalized Baseline Fixture Lookup], 0))</f>
        <v>#N/A</v>
      </c>
      <c r="AT52"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52"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52"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52"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52"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52" s="53" t="e">
        <f>IFERROR(Table_PrescriptLights_Input[[#This Row],[Detailed Baseline Fixture Code]],Table_PrescriptLights_Input[[#This Row],[Generalized Baseline Fixture Code]])</f>
        <v>#N/A</v>
      </c>
      <c r="AZ52" s="4"/>
      <c r="BA52" s="4"/>
      <c r="BB52" s="4"/>
      <c r="BC52" s="4"/>
      <c r="BD52" s="4"/>
      <c r="BE52" s="4"/>
      <c r="BF52" s="4"/>
      <c r="BG52" s="4"/>
      <c r="BH52" s="4"/>
      <c r="BI52" s="4"/>
      <c r="BJ52" s="4"/>
      <c r="BK52" s="4"/>
      <c r="BL52" s="4"/>
      <c r="BM52" s="4"/>
      <c r="BN52" s="4"/>
      <c r="BO52" s="4"/>
      <c r="BP52" s="4"/>
      <c r="BQ52" s="4"/>
    </row>
    <row r="53" spans="1:69" x14ac:dyDescent="0.2">
      <c r="A53" s="4"/>
      <c r="B53" s="189">
        <v>49</v>
      </c>
      <c r="C53" s="61" t="str">
        <f>IFERROR(INDEX(Table_Prescript_Meas[Measure Number], MATCH(Table_PrescriptLights_Input[[#This Row],[Prescriptive lighting measure]], Table_Prescript_Meas[Measure Description], 0)), "")</f>
        <v/>
      </c>
      <c r="D53" s="192"/>
      <c r="E53" s="179"/>
      <c r="F53" s="179"/>
      <c r="G53" s="61" t="str">
        <f>IFERROR(INDEX(Table_Prescript_Meas[Unit], MATCH(Table_PrescriptLights_Input[[#This Row],[Measure number]], Table_Prescript_Meas[Measure Number], 0)), "")</f>
        <v/>
      </c>
      <c r="H53" s="180"/>
      <c r="I53" s="179"/>
      <c r="J53" s="179"/>
      <c r="K53" s="180"/>
      <c r="L53" s="179"/>
      <c r="M53" s="180"/>
      <c r="N53" s="180"/>
      <c r="O53" s="180"/>
      <c r="P53" s="180"/>
      <c r="Q53" s="180"/>
      <c r="R53" s="181"/>
      <c r="S53" s="181"/>
      <c r="T53"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53"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53" s="69" t="str">
        <f>IF(Table_PrescriptLights_Input[[#This Row],[Prescriptive lighting measure]]="","",Table_PrescriptLights_Input[[#This Row],[Calculated Energy Savings]])</f>
        <v/>
      </c>
      <c r="W53" s="73" t="str">
        <f>IF(Table_PrescriptLights_Input[[#This Row],[Prescriptive lighting measure]]="","",Table_PrescriptLights_Input[[#This Row],[Calculated Demand Savings]])</f>
        <v/>
      </c>
      <c r="X53" s="67" t="str">
        <f>IFERROR(Table_PrescriptLights_Input[[#This Row],[Energy savings (kWh)]]*Input_AvgkWhRate, "")</f>
        <v/>
      </c>
      <c r="Y53" s="67" t="str">
        <f>IF(Table_PrescriptLights_Input[[#This Row],[Prescriptive lighting measure]]="", "",Table_PrescriptLights_Input[[#This Row],[Material cost per fixture]]*Table_PrescriptLights_Input[[#This Row],[Number of proposed fixtures]]+Table_PrescriptLights_Input[[#This Row],[Total labor cost]])</f>
        <v/>
      </c>
      <c r="Z53" s="67" t="str">
        <f>IFERROR(Table_PrescriptLights_Input[[#This Row],[Gross measure cost]]-Table_PrescriptLights_Input[[#This Row],[Estimated incentive]], "")</f>
        <v/>
      </c>
      <c r="AA53" s="69" t="str">
        <f t="shared" si="1"/>
        <v/>
      </c>
      <c r="AB53" s="69" t="str">
        <f>IF(ISNUMBER(Table_PrescriptLights_Input[[#This Row],[Detailed Fixture Calculation Wattage]]), "Detailed", "General")</f>
        <v>General</v>
      </c>
      <c r="AC53" s="53" t="e">
        <f>INDEX(Table_IntExt_Match[Measure Selection List], MATCH(Table_PrescriptLights_Input[[#This Row],[Interior or exterior?]], Table_IntExt_Match[Inetrior or Exterior], 0))</f>
        <v>#N/A</v>
      </c>
      <c r="AD53" s="53" t="e">
        <f>INDEX(Table_Prescript_Meas[Unit], MATCH(C53, Table_Prescript_Meas[Measure Number], 0))</f>
        <v>#N/A</v>
      </c>
      <c r="AE53" s="53" t="e">
        <f>INDEX(Table_Prescript_Meas[Lighting Type Selection List], MATCH(C53, Table_Prescript_Meas[Measure Number], 0))</f>
        <v>#N/A</v>
      </c>
      <c r="AF53" s="53" t="e">
        <f>INDEX(Table_Prescript_Meas[AOH Type], MATCH(Table_PrescriptLights_Input[[#This Row],[Measure number]], Table_Prescript_Meas[Measure Number],0))</f>
        <v>#N/A</v>
      </c>
      <c r="AG53"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53" s="53" t="str">
        <f>_xlfn.CONCAT(Table_PrescriptLights_Input[[#This Row],[Existing lighting type]],":",Table_PrescriptLights_Input[[#This Row],[Existing lamps per fixture]], ":",Table_PrescriptLights_Input[[#This Row],[Existing lamp wattage]])</f>
        <v>::</v>
      </c>
      <c r="AI53" s="53" t="e">
        <f>INDEX(Table_TRM_Fixtures[Fixture Code], MATCH(Table_PrescriptLights_Input[[#This Row],[Detailed Baseline Fixture Lookup]], Table_TRM_Fixtures[Detailed Prescriptive Baseline Fixture Lookup], 0))</f>
        <v>#N/A</v>
      </c>
      <c r="AJ53" s="53" t="e">
        <f>INDEX(Table_TRM_Fixtures[Fixture Wattage for Baseline Calculations],MATCH(Table_PrescriptLights_Input[[#This Row],[Detailed Baseline Fixture Lookup]], Table_TRM_Fixtures[Detailed Prescriptive Baseline Fixture Lookup],0))</f>
        <v>#N/A</v>
      </c>
      <c r="AK53" s="127" t="e">
        <f>INDEX(Table_Bldg_IEFD_IEFC[IEFE], MATCH( Input_HVACType,Table_Bldg_IEFD_IEFC[List_HVAC], 0))</f>
        <v>#N/A</v>
      </c>
      <c r="AL53" s="127" t="e">
        <f>INDEX( Table_Bldg_IEFD_IEFC[IEFE],MATCH( Input_HVACType, Table_Bldg_IEFD_IEFC[List_HVAC],0 ))</f>
        <v>#N/A</v>
      </c>
      <c r="AM53" s="127" t="e">
        <f>INDEX(Table_Control_PAF[PAF], MATCH(Table_PrescriptLights_Input[[#This Row],[Existing controls]], Table_Control_PAF[List_Control_Types], 0 ) )</f>
        <v>#N/A</v>
      </c>
      <c r="AN53"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53"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53"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53" s="53">
        <f>IFERROR(LEFT(Table_PrescriptLights_Input[[#This Row],[Existing lighting type]], FIND(",",Table_PrescriptLights_Input[[#This Row],[Existing lighting type]])-1), Table_PrescriptLights_Input[[#This Row],[Existing lighting type]])</f>
        <v>0</v>
      </c>
      <c r="AR53" s="53" t="str">
        <f>_xlfn.CONCAT(Table_PrescriptLights_Input[[#This Row],[Generalized Fixture Type]], ":",Table_PrescriptLights_Input[[#This Row],[Existing lamps per fixture]],":",Table_PrescriptLights_Input[[#This Row],[Existing lamp wattage]])</f>
        <v>0::</v>
      </c>
      <c r="AS53" s="53" t="e">
        <f>INDEX(Table_TRM_Fixtures[Fixture Code], MATCH(Table_PrescriptLights_Input[[#This Row],[Generalized Fixture Baseline Lookup]], Table_TRM_Fixtures[Generalized Baseline Fixture Lookup], 0))</f>
        <v>#N/A</v>
      </c>
      <c r="AT53"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53"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53"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53"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53"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53" s="53" t="e">
        <f>IFERROR(Table_PrescriptLights_Input[[#This Row],[Detailed Baseline Fixture Code]],Table_PrescriptLights_Input[[#This Row],[Generalized Baseline Fixture Code]])</f>
        <v>#N/A</v>
      </c>
      <c r="AZ53" s="4"/>
      <c r="BA53" s="4"/>
      <c r="BB53" s="4"/>
      <c r="BC53" s="4"/>
      <c r="BD53" s="4"/>
      <c r="BE53" s="4"/>
      <c r="BF53" s="4"/>
      <c r="BG53" s="4"/>
      <c r="BH53" s="4"/>
      <c r="BI53" s="4"/>
      <c r="BJ53" s="4"/>
      <c r="BK53" s="4"/>
      <c r="BL53" s="4"/>
      <c r="BM53" s="4"/>
      <c r="BN53" s="4"/>
      <c r="BO53" s="4"/>
      <c r="BP53" s="4"/>
      <c r="BQ53" s="4"/>
    </row>
    <row r="54" spans="1:69" x14ac:dyDescent="0.2">
      <c r="A54" s="4"/>
      <c r="B54" s="189">
        <v>50</v>
      </c>
      <c r="C54" s="61" t="str">
        <f>IFERROR(INDEX(Table_Prescript_Meas[Measure Number], MATCH(Table_PrescriptLights_Input[[#This Row],[Prescriptive lighting measure]], Table_Prescript_Meas[Measure Description], 0)), "")</f>
        <v/>
      </c>
      <c r="D54" s="192"/>
      <c r="E54" s="179"/>
      <c r="F54" s="179"/>
      <c r="G54" s="61" t="str">
        <f>IFERROR(INDEX(Table_Prescript_Meas[Unit], MATCH(Table_PrescriptLights_Input[[#This Row],[Measure number]], Table_Prescript_Meas[Measure Number], 0)), "")</f>
        <v/>
      </c>
      <c r="H54" s="180"/>
      <c r="I54" s="179"/>
      <c r="J54" s="179"/>
      <c r="K54" s="180"/>
      <c r="L54" s="179"/>
      <c r="M54" s="180"/>
      <c r="N54" s="180"/>
      <c r="O54" s="180"/>
      <c r="P54" s="180"/>
      <c r="Q54" s="180"/>
      <c r="R54" s="181"/>
      <c r="S54" s="181"/>
      <c r="T54"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54"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54" s="69" t="str">
        <f>IF(Table_PrescriptLights_Input[[#This Row],[Prescriptive lighting measure]]="","",Table_PrescriptLights_Input[[#This Row],[Calculated Energy Savings]])</f>
        <v/>
      </c>
      <c r="W54" s="73" t="str">
        <f>IF(Table_PrescriptLights_Input[[#This Row],[Prescriptive lighting measure]]="","",Table_PrescriptLights_Input[[#This Row],[Calculated Demand Savings]])</f>
        <v/>
      </c>
      <c r="X54" s="67" t="str">
        <f>IFERROR(Table_PrescriptLights_Input[[#This Row],[Energy savings (kWh)]]*Input_AvgkWhRate, "")</f>
        <v/>
      </c>
      <c r="Y54" s="67" t="str">
        <f>IF(Table_PrescriptLights_Input[[#This Row],[Prescriptive lighting measure]]="", "",Table_PrescriptLights_Input[[#This Row],[Material cost per fixture]]*Table_PrescriptLights_Input[[#This Row],[Number of proposed fixtures]]+Table_PrescriptLights_Input[[#This Row],[Total labor cost]])</f>
        <v/>
      </c>
      <c r="Z54" s="67" t="str">
        <f>IFERROR(Table_PrescriptLights_Input[[#This Row],[Gross measure cost]]-Table_PrescriptLights_Input[[#This Row],[Estimated incentive]], "")</f>
        <v/>
      </c>
      <c r="AA54" s="69" t="str">
        <f t="shared" si="1"/>
        <v/>
      </c>
      <c r="AB54" s="69" t="str">
        <f>IF(ISNUMBER(Table_PrescriptLights_Input[[#This Row],[Detailed Fixture Calculation Wattage]]), "Detailed", "General")</f>
        <v>General</v>
      </c>
      <c r="AC54" s="53" t="e">
        <f>INDEX(Table_IntExt_Match[Measure Selection List], MATCH(Table_PrescriptLights_Input[[#This Row],[Interior or exterior?]], Table_IntExt_Match[Inetrior or Exterior], 0))</f>
        <v>#N/A</v>
      </c>
      <c r="AD54" s="53" t="e">
        <f>INDEX(Table_Prescript_Meas[Unit], MATCH(C54, Table_Prescript_Meas[Measure Number], 0))</f>
        <v>#N/A</v>
      </c>
      <c r="AE54" s="53" t="e">
        <f>INDEX(Table_Prescript_Meas[Lighting Type Selection List], MATCH(C54, Table_Prescript_Meas[Measure Number], 0))</f>
        <v>#N/A</v>
      </c>
      <c r="AF54" s="53" t="e">
        <f>INDEX(Table_Prescript_Meas[AOH Type], MATCH(Table_PrescriptLights_Input[[#This Row],[Measure number]], Table_Prescript_Meas[Measure Number],0))</f>
        <v>#N/A</v>
      </c>
      <c r="AG54"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54" s="53" t="str">
        <f>_xlfn.CONCAT(Table_PrescriptLights_Input[[#This Row],[Existing lighting type]],":",Table_PrescriptLights_Input[[#This Row],[Existing lamps per fixture]], ":",Table_PrescriptLights_Input[[#This Row],[Existing lamp wattage]])</f>
        <v>::</v>
      </c>
      <c r="AI54" s="53" t="e">
        <f>INDEX(Table_TRM_Fixtures[Fixture Code], MATCH(Table_PrescriptLights_Input[[#This Row],[Detailed Baseline Fixture Lookup]], Table_TRM_Fixtures[Detailed Prescriptive Baseline Fixture Lookup], 0))</f>
        <v>#N/A</v>
      </c>
      <c r="AJ54" s="53" t="e">
        <f>INDEX(Table_TRM_Fixtures[Fixture Wattage for Baseline Calculations],MATCH(Table_PrescriptLights_Input[[#This Row],[Detailed Baseline Fixture Lookup]], Table_TRM_Fixtures[Detailed Prescriptive Baseline Fixture Lookup],0))</f>
        <v>#N/A</v>
      </c>
      <c r="AK54" s="127" t="e">
        <f>INDEX(Table_Bldg_IEFD_IEFC[IEFE], MATCH( Input_HVACType,Table_Bldg_IEFD_IEFC[List_HVAC], 0))</f>
        <v>#N/A</v>
      </c>
      <c r="AL54" s="127" t="e">
        <f>INDEX( Table_Bldg_IEFD_IEFC[IEFE],MATCH( Input_HVACType, Table_Bldg_IEFD_IEFC[List_HVAC],0 ))</f>
        <v>#N/A</v>
      </c>
      <c r="AM54" s="127" t="e">
        <f>INDEX(Table_Control_PAF[PAF], MATCH(Table_PrescriptLights_Input[[#This Row],[Existing controls]], Table_Control_PAF[List_Control_Types], 0 ) )</f>
        <v>#N/A</v>
      </c>
      <c r="AN54"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54"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54"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54" s="53">
        <f>IFERROR(LEFT(Table_PrescriptLights_Input[[#This Row],[Existing lighting type]], FIND(",",Table_PrescriptLights_Input[[#This Row],[Existing lighting type]])-1), Table_PrescriptLights_Input[[#This Row],[Existing lighting type]])</f>
        <v>0</v>
      </c>
      <c r="AR54" s="53" t="str">
        <f>_xlfn.CONCAT(Table_PrescriptLights_Input[[#This Row],[Generalized Fixture Type]], ":",Table_PrescriptLights_Input[[#This Row],[Existing lamps per fixture]],":",Table_PrescriptLights_Input[[#This Row],[Existing lamp wattage]])</f>
        <v>0::</v>
      </c>
      <c r="AS54" s="53" t="e">
        <f>INDEX(Table_TRM_Fixtures[Fixture Code], MATCH(Table_PrescriptLights_Input[[#This Row],[Generalized Fixture Baseline Lookup]], Table_TRM_Fixtures[Generalized Baseline Fixture Lookup], 0))</f>
        <v>#N/A</v>
      </c>
      <c r="AT54"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54"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54"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54"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54"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54" s="53" t="e">
        <f>IFERROR(Table_PrescriptLights_Input[[#This Row],[Detailed Baseline Fixture Code]],Table_PrescriptLights_Input[[#This Row],[Generalized Baseline Fixture Code]])</f>
        <v>#N/A</v>
      </c>
      <c r="AZ54" s="4"/>
      <c r="BA54" s="4"/>
      <c r="BB54" s="4"/>
      <c r="BC54" s="4"/>
      <c r="BD54" s="4"/>
      <c r="BE54" s="4"/>
      <c r="BF54" s="4"/>
      <c r="BG54" s="4"/>
      <c r="BH54" s="4"/>
      <c r="BI54" s="4"/>
      <c r="BJ54" s="4"/>
      <c r="BK54" s="4"/>
      <c r="BL54" s="4"/>
      <c r="BM54" s="4"/>
      <c r="BN54" s="4"/>
      <c r="BO54" s="4"/>
      <c r="BP54" s="4"/>
      <c r="BQ54" s="4"/>
    </row>
    <row r="55" spans="1:69" x14ac:dyDescent="0.2">
      <c r="A55" s="4"/>
      <c r="B55" s="189">
        <v>51</v>
      </c>
      <c r="C55" s="61" t="str">
        <f>IFERROR(INDEX(Table_Prescript_Meas[Measure Number], MATCH(Table_PrescriptLights_Input[[#This Row],[Prescriptive lighting measure]], Table_Prescript_Meas[Measure Description], 0)), "")</f>
        <v/>
      </c>
      <c r="D55" s="192"/>
      <c r="E55" s="179"/>
      <c r="F55" s="179"/>
      <c r="G55" s="61" t="str">
        <f>IFERROR(INDEX(Table_Prescript_Meas[Unit], MATCH(Table_PrescriptLights_Input[[#This Row],[Measure number]], Table_Prescript_Meas[Measure Number], 0)), "")</f>
        <v/>
      </c>
      <c r="H55" s="180"/>
      <c r="I55" s="179"/>
      <c r="J55" s="179"/>
      <c r="K55" s="180"/>
      <c r="L55" s="179"/>
      <c r="M55" s="180"/>
      <c r="N55" s="180"/>
      <c r="O55" s="180"/>
      <c r="P55" s="180"/>
      <c r="Q55" s="180"/>
      <c r="R55" s="181"/>
      <c r="S55" s="181"/>
      <c r="T55"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55"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55" s="69" t="str">
        <f>IF(Table_PrescriptLights_Input[[#This Row],[Prescriptive lighting measure]]="","",Table_PrescriptLights_Input[[#This Row],[Calculated Energy Savings]])</f>
        <v/>
      </c>
      <c r="W55" s="73" t="str">
        <f>IF(Table_PrescriptLights_Input[[#This Row],[Prescriptive lighting measure]]="","",Table_PrescriptLights_Input[[#This Row],[Calculated Demand Savings]])</f>
        <v/>
      </c>
      <c r="X55" s="67" t="str">
        <f>IFERROR(Table_PrescriptLights_Input[[#This Row],[Energy savings (kWh)]]*Input_AvgkWhRate, "")</f>
        <v/>
      </c>
      <c r="Y55" s="67" t="str">
        <f>IF(Table_PrescriptLights_Input[[#This Row],[Prescriptive lighting measure]]="", "",Table_PrescriptLights_Input[[#This Row],[Material cost per fixture]]*Table_PrescriptLights_Input[[#This Row],[Number of proposed fixtures]]+Table_PrescriptLights_Input[[#This Row],[Total labor cost]])</f>
        <v/>
      </c>
      <c r="Z55" s="67" t="str">
        <f>IFERROR(Table_PrescriptLights_Input[[#This Row],[Gross measure cost]]-Table_PrescriptLights_Input[[#This Row],[Estimated incentive]], "")</f>
        <v/>
      </c>
      <c r="AA55" s="69" t="str">
        <f t="shared" si="1"/>
        <v/>
      </c>
      <c r="AB55" s="69" t="str">
        <f>IF(ISNUMBER(Table_PrescriptLights_Input[[#This Row],[Detailed Fixture Calculation Wattage]]), "Detailed", "General")</f>
        <v>General</v>
      </c>
      <c r="AC55" s="53" t="e">
        <f>INDEX(Table_IntExt_Match[Measure Selection List], MATCH(Table_PrescriptLights_Input[[#This Row],[Interior or exterior?]], Table_IntExt_Match[Inetrior or Exterior], 0))</f>
        <v>#N/A</v>
      </c>
      <c r="AD55" s="53" t="e">
        <f>INDEX(Table_Prescript_Meas[Unit], MATCH(C55, Table_Prescript_Meas[Measure Number], 0))</f>
        <v>#N/A</v>
      </c>
      <c r="AE55" s="53" t="e">
        <f>INDEX(Table_Prescript_Meas[Lighting Type Selection List], MATCH(C55, Table_Prescript_Meas[Measure Number], 0))</f>
        <v>#N/A</v>
      </c>
      <c r="AF55" s="53" t="e">
        <f>INDEX(Table_Prescript_Meas[AOH Type], MATCH(Table_PrescriptLights_Input[[#This Row],[Measure number]], Table_Prescript_Meas[Measure Number],0))</f>
        <v>#N/A</v>
      </c>
      <c r="AG55"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55" s="53" t="str">
        <f>_xlfn.CONCAT(Table_PrescriptLights_Input[[#This Row],[Existing lighting type]],":",Table_PrescriptLights_Input[[#This Row],[Existing lamps per fixture]], ":",Table_PrescriptLights_Input[[#This Row],[Existing lamp wattage]])</f>
        <v>::</v>
      </c>
      <c r="AI55" s="53" t="e">
        <f>INDEX(Table_TRM_Fixtures[Fixture Code], MATCH(Table_PrescriptLights_Input[[#This Row],[Detailed Baseline Fixture Lookup]], Table_TRM_Fixtures[Detailed Prescriptive Baseline Fixture Lookup], 0))</f>
        <v>#N/A</v>
      </c>
      <c r="AJ55" s="53" t="e">
        <f>INDEX(Table_TRM_Fixtures[Fixture Wattage for Baseline Calculations],MATCH(Table_PrescriptLights_Input[[#This Row],[Detailed Baseline Fixture Lookup]], Table_TRM_Fixtures[Detailed Prescriptive Baseline Fixture Lookup],0))</f>
        <v>#N/A</v>
      </c>
      <c r="AK55" s="127" t="e">
        <f>INDEX(Table_Bldg_IEFD_IEFC[IEFE], MATCH( Input_HVACType,Table_Bldg_IEFD_IEFC[List_HVAC], 0))</f>
        <v>#N/A</v>
      </c>
      <c r="AL55" s="127" t="e">
        <f>INDEX( Table_Bldg_IEFD_IEFC[IEFE],MATCH( Input_HVACType, Table_Bldg_IEFD_IEFC[List_HVAC],0 ))</f>
        <v>#N/A</v>
      </c>
      <c r="AM55" s="127" t="e">
        <f>INDEX(Table_Control_PAF[PAF], MATCH(Table_PrescriptLights_Input[[#This Row],[Existing controls]], Table_Control_PAF[List_Control_Types], 0 ) )</f>
        <v>#N/A</v>
      </c>
      <c r="AN55"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55"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55"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55" s="53">
        <f>IFERROR(LEFT(Table_PrescriptLights_Input[[#This Row],[Existing lighting type]], FIND(",",Table_PrescriptLights_Input[[#This Row],[Existing lighting type]])-1), Table_PrescriptLights_Input[[#This Row],[Existing lighting type]])</f>
        <v>0</v>
      </c>
      <c r="AR55" s="53" t="str">
        <f>_xlfn.CONCAT(Table_PrescriptLights_Input[[#This Row],[Generalized Fixture Type]], ":",Table_PrescriptLights_Input[[#This Row],[Existing lamps per fixture]],":",Table_PrescriptLights_Input[[#This Row],[Existing lamp wattage]])</f>
        <v>0::</v>
      </c>
      <c r="AS55" s="53" t="e">
        <f>INDEX(Table_TRM_Fixtures[Fixture Code], MATCH(Table_PrescriptLights_Input[[#This Row],[Generalized Fixture Baseline Lookup]], Table_TRM_Fixtures[Generalized Baseline Fixture Lookup], 0))</f>
        <v>#N/A</v>
      </c>
      <c r="AT55"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55"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55"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55"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55"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55" s="53" t="e">
        <f>IFERROR(Table_PrescriptLights_Input[[#This Row],[Detailed Baseline Fixture Code]],Table_PrescriptLights_Input[[#This Row],[Generalized Baseline Fixture Code]])</f>
        <v>#N/A</v>
      </c>
      <c r="AZ55" s="4"/>
      <c r="BA55" s="4"/>
      <c r="BB55" s="4"/>
      <c r="BC55" s="4"/>
      <c r="BD55" s="4"/>
      <c r="BE55" s="4"/>
      <c r="BF55" s="4"/>
      <c r="BG55" s="4"/>
      <c r="BH55" s="4"/>
      <c r="BI55" s="4"/>
      <c r="BJ55" s="4"/>
      <c r="BK55" s="4"/>
      <c r="BL55" s="4"/>
      <c r="BM55" s="4"/>
      <c r="BN55" s="4"/>
      <c r="BO55" s="4"/>
      <c r="BP55" s="4"/>
      <c r="BQ55" s="4"/>
    </row>
    <row r="56" spans="1:69" x14ac:dyDescent="0.2">
      <c r="A56" s="4"/>
      <c r="B56" s="189">
        <v>52</v>
      </c>
      <c r="C56" s="61" t="str">
        <f>IFERROR(INDEX(Table_Prescript_Meas[Measure Number], MATCH(Table_PrescriptLights_Input[[#This Row],[Prescriptive lighting measure]], Table_Prescript_Meas[Measure Description], 0)), "")</f>
        <v/>
      </c>
      <c r="D56" s="192"/>
      <c r="E56" s="179"/>
      <c r="F56" s="179"/>
      <c r="G56" s="61" t="str">
        <f>IFERROR(INDEX(Table_Prescript_Meas[Unit], MATCH(Table_PrescriptLights_Input[[#This Row],[Measure number]], Table_Prescript_Meas[Measure Number], 0)), "")</f>
        <v/>
      </c>
      <c r="H56" s="180"/>
      <c r="I56" s="179"/>
      <c r="J56" s="179"/>
      <c r="K56" s="180"/>
      <c r="L56" s="179"/>
      <c r="M56" s="180"/>
      <c r="N56" s="180"/>
      <c r="O56" s="180"/>
      <c r="P56" s="180"/>
      <c r="Q56" s="180"/>
      <c r="R56" s="181"/>
      <c r="S56" s="181"/>
      <c r="T56"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56"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56" s="69" t="str">
        <f>IF(Table_PrescriptLights_Input[[#This Row],[Prescriptive lighting measure]]="","",Table_PrescriptLights_Input[[#This Row],[Calculated Energy Savings]])</f>
        <v/>
      </c>
      <c r="W56" s="73" t="str">
        <f>IF(Table_PrescriptLights_Input[[#This Row],[Prescriptive lighting measure]]="","",Table_PrescriptLights_Input[[#This Row],[Calculated Demand Savings]])</f>
        <v/>
      </c>
      <c r="X56" s="67" t="str">
        <f>IFERROR(Table_PrescriptLights_Input[[#This Row],[Energy savings (kWh)]]*Input_AvgkWhRate, "")</f>
        <v/>
      </c>
      <c r="Y56" s="67" t="str">
        <f>IF(Table_PrescriptLights_Input[[#This Row],[Prescriptive lighting measure]]="", "",Table_PrescriptLights_Input[[#This Row],[Material cost per fixture]]*Table_PrescriptLights_Input[[#This Row],[Number of proposed fixtures]]+Table_PrescriptLights_Input[[#This Row],[Total labor cost]])</f>
        <v/>
      </c>
      <c r="Z56" s="67" t="str">
        <f>IFERROR(Table_PrescriptLights_Input[[#This Row],[Gross measure cost]]-Table_PrescriptLights_Input[[#This Row],[Estimated incentive]], "")</f>
        <v/>
      </c>
      <c r="AA56" s="69" t="str">
        <f t="shared" si="1"/>
        <v/>
      </c>
      <c r="AB56" s="69" t="str">
        <f>IF(ISNUMBER(Table_PrescriptLights_Input[[#This Row],[Detailed Fixture Calculation Wattage]]), "Detailed", "General")</f>
        <v>General</v>
      </c>
      <c r="AC56" s="53" t="e">
        <f>INDEX(Table_IntExt_Match[Measure Selection List], MATCH(Table_PrescriptLights_Input[[#This Row],[Interior or exterior?]], Table_IntExt_Match[Inetrior or Exterior], 0))</f>
        <v>#N/A</v>
      </c>
      <c r="AD56" s="53" t="e">
        <f>INDEX(Table_Prescript_Meas[Unit], MATCH(C56, Table_Prescript_Meas[Measure Number], 0))</f>
        <v>#N/A</v>
      </c>
      <c r="AE56" s="53" t="e">
        <f>INDEX(Table_Prescript_Meas[Lighting Type Selection List], MATCH(C56, Table_Prescript_Meas[Measure Number], 0))</f>
        <v>#N/A</v>
      </c>
      <c r="AF56" s="53" t="e">
        <f>INDEX(Table_Prescript_Meas[AOH Type], MATCH(Table_PrescriptLights_Input[[#This Row],[Measure number]], Table_Prescript_Meas[Measure Number],0))</f>
        <v>#N/A</v>
      </c>
      <c r="AG56"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56" s="53" t="str">
        <f>_xlfn.CONCAT(Table_PrescriptLights_Input[[#This Row],[Existing lighting type]],":",Table_PrescriptLights_Input[[#This Row],[Existing lamps per fixture]], ":",Table_PrescriptLights_Input[[#This Row],[Existing lamp wattage]])</f>
        <v>::</v>
      </c>
      <c r="AI56" s="53" t="e">
        <f>INDEX(Table_TRM_Fixtures[Fixture Code], MATCH(Table_PrescriptLights_Input[[#This Row],[Detailed Baseline Fixture Lookup]], Table_TRM_Fixtures[Detailed Prescriptive Baseline Fixture Lookup], 0))</f>
        <v>#N/A</v>
      </c>
      <c r="AJ56" s="53" t="e">
        <f>INDEX(Table_TRM_Fixtures[Fixture Wattage for Baseline Calculations],MATCH(Table_PrescriptLights_Input[[#This Row],[Detailed Baseline Fixture Lookup]], Table_TRM_Fixtures[Detailed Prescriptive Baseline Fixture Lookup],0))</f>
        <v>#N/A</v>
      </c>
      <c r="AK56" s="127" t="e">
        <f>INDEX(Table_Bldg_IEFD_IEFC[IEFE], MATCH( Input_HVACType,Table_Bldg_IEFD_IEFC[List_HVAC], 0))</f>
        <v>#N/A</v>
      </c>
      <c r="AL56" s="127" t="e">
        <f>INDEX( Table_Bldg_IEFD_IEFC[IEFE],MATCH( Input_HVACType, Table_Bldg_IEFD_IEFC[List_HVAC],0 ))</f>
        <v>#N/A</v>
      </c>
      <c r="AM56" s="127" t="e">
        <f>INDEX(Table_Control_PAF[PAF], MATCH(Table_PrescriptLights_Input[[#This Row],[Existing controls]], Table_Control_PAF[List_Control_Types], 0 ) )</f>
        <v>#N/A</v>
      </c>
      <c r="AN56"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56"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56"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56" s="53">
        <f>IFERROR(LEFT(Table_PrescriptLights_Input[[#This Row],[Existing lighting type]], FIND(",",Table_PrescriptLights_Input[[#This Row],[Existing lighting type]])-1), Table_PrescriptLights_Input[[#This Row],[Existing lighting type]])</f>
        <v>0</v>
      </c>
      <c r="AR56" s="53" t="str">
        <f>_xlfn.CONCAT(Table_PrescriptLights_Input[[#This Row],[Generalized Fixture Type]], ":",Table_PrescriptLights_Input[[#This Row],[Existing lamps per fixture]],":",Table_PrescriptLights_Input[[#This Row],[Existing lamp wattage]])</f>
        <v>0::</v>
      </c>
      <c r="AS56" s="53" t="e">
        <f>INDEX(Table_TRM_Fixtures[Fixture Code], MATCH(Table_PrescriptLights_Input[[#This Row],[Generalized Fixture Baseline Lookup]], Table_TRM_Fixtures[Generalized Baseline Fixture Lookup], 0))</f>
        <v>#N/A</v>
      </c>
      <c r="AT56"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56"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56"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56"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56"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56" s="53" t="e">
        <f>IFERROR(Table_PrescriptLights_Input[[#This Row],[Detailed Baseline Fixture Code]],Table_PrescriptLights_Input[[#This Row],[Generalized Baseline Fixture Code]])</f>
        <v>#N/A</v>
      </c>
      <c r="AZ56" s="4"/>
      <c r="BA56" s="4"/>
      <c r="BB56" s="4"/>
      <c r="BC56" s="4"/>
      <c r="BD56" s="4"/>
      <c r="BE56" s="4"/>
      <c r="BF56" s="4"/>
      <c r="BG56" s="4"/>
      <c r="BH56" s="4"/>
      <c r="BI56" s="4"/>
      <c r="BJ56" s="4"/>
      <c r="BK56" s="4"/>
      <c r="BL56" s="4"/>
      <c r="BM56" s="4"/>
      <c r="BN56" s="4"/>
      <c r="BO56" s="4"/>
      <c r="BP56" s="4"/>
      <c r="BQ56" s="4"/>
    </row>
    <row r="57" spans="1:69" x14ac:dyDescent="0.2">
      <c r="A57" s="4"/>
      <c r="B57" s="189">
        <v>53</v>
      </c>
      <c r="C57" s="61" t="str">
        <f>IFERROR(INDEX(Table_Prescript_Meas[Measure Number], MATCH(Table_PrescriptLights_Input[[#This Row],[Prescriptive lighting measure]], Table_Prescript_Meas[Measure Description], 0)), "")</f>
        <v/>
      </c>
      <c r="D57" s="192"/>
      <c r="E57" s="179"/>
      <c r="F57" s="179"/>
      <c r="G57" s="61" t="str">
        <f>IFERROR(INDEX(Table_Prescript_Meas[Unit], MATCH(Table_PrescriptLights_Input[[#This Row],[Measure number]], Table_Prescript_Meas[Measure Number], 0)), "")</f>
        <v/>
      </c>
      <c r="H57" s="180"/>
      <c r="I57" s="179"/>
      <c r="J57" s="179"/>
      <c r="K57" s="180"/>
      <c r="L57" s="179"/>
      <c r="M57" s="180"/>
      <c r="N57" s="180"/>
      <c r="O57" s="180"/>
      <c r="P57" s="180"/>
      <c r="Q57" s="180"/>
      <c r="R57" s="181"/>
      <c r="S57" s="181"/>
      <c r="T57"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57"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57" s="69" t="str">
        <f>IF(Table_PrescriptLights_Input[[#This Row],[Prescriptive lighting measure]]="","",Table_PrescriptLights_Input[[#This Row],[Calculated Energy Savings]])</f>
        <v/>
      </c>
      <c r="W57" s="73" t="str">
        <f>IF(Table_PrescriptLights_Input[[#This Row],[Prescriptive lighting measure]]="","",Table_PrescriptLights_Input[[#This Row],[Calculated Demand Savings]])</f>
        <v/>
      </c>
      <c r="X57" s="67" t="str">
        <f>IFERROR(Table_PrescriptLights_Input[[#This Row],[Energy savings (kWh)]]*Input_AvgkWhRate, "")</f>
        <v/>
      </c>
      <c r="Y57" s="67" t="str">
        <f>IF(Table_PrescriptLights_Input[[#This Row],[Prescriptive lighting measure]]="", "",Table_PrescriptLights_Input[[#This Row],[Material cost per fixture]]*Table_PrescriptLights_Input[[#This Row],[Number of proposed fixtures]]+Table_PrescriptLights_Input[[#This Row],[Total labor cost]])</f>
        <v/>
      </c>
      <c r="Z57" s="67" t="str">
        <f>IFERROR(Table_PrescriptLights_Input[[#This Row],[Gross measure cost]]-Table_PrescriptLights_Input[[#This Row],[Estimated incentive]], "")</f>
        <v/>
      </c>
      <c r="AA57" s="69" t="str">
        <f t="shared" si="1"/>
        <v/>
      </c>
      <c r="AB57" s="69" t="str">
        <f>IF(ISNUMBER(Table_PrescriptLights_Input[[#This Row],[Detailed Fixture Calculation Wattage]]), "Detailed", "General")</f>
        <v>General</v>
      </c>
      <c r="AC57" s="53" t="e">
        <f>INDEX(Table_IntExt_Match[Measure Selection List], MATCH(Table_PrescriptLights_Input[[#This Row],[Interior or exterior?]], Table_IntExt_Match[Inetrior or Exterior], 0))</f>
        <v>#N/A</v>
      </c>
      <c r="AD57" s="53" t="e">
        <f>INDEX(Table_Prescript_Meas[Unit], MATCH(C57, Table_Prescript_Meas[Measure Number], 0))</f>
        <v>#N/A</v>
      </c>
      <c r="AE57" s="53" t="e">
        <f>INDEX(Table_Prescript_Meas[Lighting Type Selection List], MATCH(C57, Table_Prescript_Meas[Measure Number], 0))</f>
        <v>#N/A</v>
      </c>
      <c r="AF57" s="53" t="e">
        <f>INDEX(Table_Prescript_Meas[AOH Type], MATCH(Table_PrescriptLights_Input[[#This Row],[Measure number]], Table_Prescript_Meas[Measure Number],0))</f>
        <v>#N/A</v>
      </c>
      <c r="AG57"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57" s="53" t="str">
        <f>_xlfn.CONCAT(Table_PrescriptLights_Input[[#This Row],[Existing lighting type]],":",Table_PrescriptLights_Input[[#This Row],[Existing lamps per fixture]], ":",Table_PrescriptLights_Input[[#This Row],[Existing lamp wattage]])</f>
        <v>::</v>
      </c>
      <c r="AI57" s="53" t="e">
        <f>INDEX(Table_TRM_Fixtures[Fixture Code], MATCH(Table_PrescriptLights_Input[[#This Row],[Detailed Baseline Fixture Lookup]], Table_TRM_Fixtures[Detailed Prescriptive Baseline Fixture Lookup], 0))</f>
        <v>#N/A</v>
      </c>
      <c r="AJ57" s="53" t="e">
        <f>INDEX(Table_TRM_Fixtures[Fixture Wattage for Baseline Calculations],MATCH(Table_PrescriptLights_Input[[#This Row],[Detailed Baseline Fixture Lookup]], Table_TRM_Fixtures[Detailed Prescriptive Baseline Fixture Lookup],0))</f>
        <v>#N/A</v>
      </c>
      <c r="AK57" s="127" t="e">
        <f>INDEX(Table_Bldg_IEFD_IEFC[IEFE], MATCH( Input_HVACType,Table_Bldg_IEFD_IEFC[List_HVAC], 0))</f>
        <v>#N/A</v>
      </c>
      <c r="AL57" s="127" t="e">
        <f>INDEX( Table_Bldg_IEFD_IEFC[IEFE],MATCH( Input_HVACType, Table_Bldg_IEFD_IEFC[List_HVAC],0 ))</f>
        <v>#N/A</v>
      </c>
      <c r="AM57" s="127" t="e">
        <f>INDEX(Table_Control_PAF[PAF], MATCH(Table_PrescriptLights_Input[[#This Row],[Existing controls]], Table_Control_PAF[List_Control_Types], 0 ) )</f>
        <v>#N/A</v>
      </c>
      <c r="AN57"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57"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57"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57" s="53">
        <f>IFERROR(LEFT(Table_PrescriptLights_Input[[#This Row],[Existing lighting type]], FIND(",",Table_PrescriptLights_Input[[#This Row],[Existing lighting type]])-1), Table_PrescriptLights_Input[[#This Row],[Existing lighting type]])</f>
        <v>0</v>
      </c>
      <c r="AR57" s="53" t="str">
        <f>_xlfn.CONCAT(Table_PrescriptLights_Input[[#This Row],[Generalized Fixture Type]], ":",Table_PrescriptLights_Input[[#This Row],[Existing lamps per fixture]],":",Table_PrescriptLights_Input[[#This Row],[Existing lamp wattage]])</f>
        <v>0::</v>
      </c>
      <c r="AS57" s="53" t="e">
        <f>INDEX(Table_TRM_Fixtures[Fixture Code], MATCH(Table_PrescriptLights_Input[[#This Row],[Generalized Fixture Baseline Lookup]], Table_TRM_Fixtures[Generalized Baseline Fixture Lookup], 0))</f>
        <v>#N/A</v>
      </c>
      <c r="AT57"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57"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57"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57"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57"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57" s="53" t="e">
        <f>IFERROR(Table_PrescriptLights_Input[[#This Row],[Detailed Baseline Fixture Code]],Table_PrescriptLights_Input[[#This Row],[Generalized Baseline Fixture Code]])</f>
        <v>#N/A</v>
      </c>
      <c r="AZ57" s="4"/>
      <c r="BA57" s="4"/>
      <c r="BB57" s="4"/>
      <c r="BC57" s="4"/>
      <c r="BD57" s="4"/>
      <c r="BE57" s="4"/>
      <c r="BF57" s="4"/>
      <c r="BG57" s="4"/>
      <c r="BH57" s="4"/>
      <c r="BI57" s="4"/>
      <c r="BJ57" s="4"/>
      <c r="BK57" s="4"/>
      <c r="BL57" s="4"/>
      <c r="BM57" s="4"/>
      <c r="BN57" s="4"/>
      <c r="BO57" s="4"/>
      <c r="BP57" s="4"/>
      <c r="BQ57" s="4"/>
    </row>
    <row r="58" spans="1:69" x14ac:dyDescent="0.2">
      <c r="A58" s="4"/>
      <c r="B58" s="189">
        <v>54</v>
      </c>
      <c r="C58" s="61" t="str">
        <f>IFERROR(INDEX(Table_Prescript_Meas[Measure Number], MATCH(Table_PrescriptLights_Input[[#This Row],[Prescriptive lighting measure]], Table_Prescript_Meas[Measure Description], 0)), "")</f>
        <v/>
      </c>
      <c r="D58" s="192"/>
      <c r="E58" s="179"/>
      <c r="F58" s="179"/>
      <c r="G58" s="61" t="str">
        <f>IFERROR(INDEX(Table_Prescript_Meas[Unit], MATCH(Table_PrescriptLights_Input[[#This Row],[Measure number]], Table_Prescript_Meas[Measure Number], 0)), "")</f>
        <v/>
      </c>
      <c r="H58" s="180"/>
      <c r="I58" s="179"/>
      <c r="J58" s="179"/>
      <c r="K58" s="180"/>
      <c r="L58" s="179"/>
      <c r="M58" s="180"/>
      <c r="N58" s="180"/>
      <c r="O58" s="180"/>
      <c r="P58" s="180"/>
      <c r="Q58" s="180"/>
      <c r="R58" s="181"/>
      <c r="S58" s="181"/>
      <c r="T58"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58"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58" s="69" t="str">
        <f>IF(Table_PrescriptLights_Input[[#This Row],[Prescriptive lighting measure]]="","",Table_PrescriptLights_Input[[#This Row],[Calculated Energy Savings]])</f>
        <v/>
      </c>
      <c r="W58" s="73" t="str">
        <f>IF(Table_PrescriptLights_Input[[#This Row],[Prescriptive lighting measure]]="","",Table_PrescriptLights_Input[[#This Row],[Calculated Demand Savings]])</f>
        <v/>
      </c>
      <c r="X58" s="67" t="str">
        <f>IFERROR(Table_PrescriptLights_Input[[#This Row],[Energy savings (kWh)]]*Input_AvgkWhRate, "")</f>
        <v/>
      </c>
      <c r="Y58" s="67" t="str">
        <f>IF(Table_PrescriptLights_Input[[#This Row],[Prescriptive lighting measure]]="", "",Table_PrescriptLights_Input[[#This Row],[Material cost per fixture]]*Table_PrescriptLights_Input[[#This Row],[Number of proposed fixtures]]+Table_PrescriptLights_Input[[#This Row],[Total labor cost]])</f>
        <v/>
      </c>
      <c r="Z58" s="67" t="str">
        <f>IFERROR(Table_PrescriptLights_Input[[#This Row],[Gross measure cost]]-Table_PrescriptLights_Input[[#This Row],[Estimated incentive]], "")</f>
        <v/>
      </c>
      <c r="AA58" s="69" t="str">
        <f t="shared" si="1"/>
        <v/>
      </c>
      <c r="AB58" s="69" t="str">
        <f>IF(ISNUMBER(Table_PrescriptLights_Input[[#This Row],[Detailed Fixture Calculation Wattage]]), "Detailed", "General")</f>
        <v>General</v>
      </c>
      <c r="AC58" s="53" t="e">
        <f>INDEX(Table_IntExt_Match[Measure Selection List], MATCH(Table_PrescriptLights_Input[[#This Row],[Interior or exterior?]], Table_IntExt_Match[Inetrior or Exterior], 0))</f>
        <v>#N/A</v>
      </c>
      <c r="AD58" s="53" t="e">
        <f>INDEX(Table_Prescript_Meas[Unit], MATCH(C58, Table_Prescript_Meas[Measure Number], 0))</f>
        <v>#N/A</v>
      </c>
      <c r="AE58" s="53" t="e">
        <f>INDEX(Table_Prescript_Meas[Lighting Type Selection List], MATCH(C58, Table_Prescript_Meas[Measure Number], 0))</f>
        <v>#N/A</v>
      </c>
      <c r="AF58" s="53" t="e">
        <f>INDEX(Table_Prescript_Meas[AOH Type], MATCH(Table_PrescriptLights_Input[[#This Row],[Measure number]], Table_Prescript_Meas[Measure Number],0))</f>
        <v>#N/A</v>
      </c>
      <c r="AG58"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58" s="53" t="str">
        <f>_xlfn.CONCAT(Table_PrescriptLights_Input[[#This Row],[Existing lighting type]],":",Table_PrescriptLights_Input[[#This Row],[Existing lamps per fixture]], ":",Table_PrescriptLights_Input[[#This Row],[Existing lamp wattage]])</f>
        <v>::</v>
      </c>
      <c r="AI58" s="53" t="e">
        <f>INDEX(Table_TRM_Fixtures[Fixture Code], MATCH(Table_PrescriptLights_Input[[#This Row],[Detailed Baseline Fixture Lookup]], Table_TRM_Fixtures[Detailed Prescriptive Baseline Fixture Lookup], 0))</f>
        <v>#N/A</v>
      </c>
      <c r="AJ58" s="53" t="e">
        <f>INDEX(Table_TRM_Fixtures[Fixture Wattage for Baseline Calculations],MATCH(Table_PrescriptLights_Input[[#This Row],[Detailed Baseline Fixture Lookup]], Table_TRM_Fixtures[Detailed Prescriptive Baseline Fixture Lookup],0))</f>
        <v>#N/A</v>
      </c>
      <c r="AK58" s="127" t="e">
        <f>INDEX(Table_Bldg_IEFD_IEFC[IEFE], MATCH( Input_HVACType,Table_Bldg_IEFD_IEFC[List_HVAC], 0))</f>
        <v>#N/A</v>
      </c>
      <c r="AL58" s="127" t="e">
        <f>INDEX( Table_Bldg_IEFD_IEFC[IEFE],MATCH( Input_HVACType, Table_Bldg_IEFD_IEFC[List_HVAC],0 ))</f>
        <v>#N/A</v>
      </c>
      <c r="AM58" s="127" t="e">
        <f>INDEX(Table_Control_PAF[PAF], MATCH(Table_PrescriptLights_Input[[#This Row],[Existing controls]], Table_Control_PAF[List_Control_Types], 0 ) )</f>
        <v>#N/A</v>
      </c>
      <c r="AN58"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58"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58"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58" s="53">
        <f>IFERROR(LEFT(Table_PrescriptLights_Input[[#This Row],[Existing lighting type]], FIND(",",Table_PrescriptLights_Input[[#This Row],[Existing lighting type]])-1), Table_PrescriptLights_Input[[#This Row],[Existing lighting type]])</f>
        <v>0</v>
      </c>
      <c r="AR58" s="53" t="str">
        <f>_xlfn.CONCAT(Table_PrescriptLights_Input[[#This Row],[Generalized Fixture Type]], ":",Table_PrescriptLights_Input[[#This Row],[Existing lamps per fixture]],":",Table_PrescriptLights_Input[[#This Row],[Existing lamp wattage]])</f>
        <v>0::</v>
      </c>
      <c r="AS58" s="53" t="e">
        <f>INDEX(Table_TRM_Fixtures[Fixture Code], MATCH(Table_PrescriptLights_Input[[#This Row],[Generalized Fixture Baseline Lookup]], Table_TRM_Fixtures[Generalized Baseline Fixture Lookup], 0))</f>
        <v>#N/A</v>
      </c>
      <c r="AT58"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58"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58"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58"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58"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58" s="53" t="e">
        <f>IFERROR(Table_PrescriptLights_Input[[#This Row],[Detailed Baseline Fixture Code]],Table_PrescriptLights_Input[[#This Row],[Generalized Baseline Fixture Code]])</f>
        <v>#N/A</v>
      </c>
      <c r="AZ58" s="4"/>
      <c r="BA58" s="4"/>
      <c r="BB58" s="4"/>
      <c r="BC58" s="4"/>
      <c r="BD58" s="4"/>
      <c r="BE58" s="4"/>
      <c r="BF58" s="4"/>
      <c r="BG58" s="4"/>
      <c r="BH58" s="4"/>
      <c r="BI58" s="4"/>
      <c r="BJ58" s="4"/>
      <c r="BK58" s="4"/>
      <c r="BL58" s="4"/>
      <c r="BM58" s="4"/>
      <c r="BN58" s="4"/>
      <c r="BO58" s="4"/>
      <c r="BP58" s="4"/>
      <c r="BQ58" s="4"/>
    </row>
    <row r="59" spans="1:69" x14ac:dyDescent="0.2">
      <c r="A59" s="4"/>
      <c r="B59" s="189">
        <v>55</v>
      </c>
      <c r="C59" s="61" t="str">
        <f>IFERROR(INDEX(Table_Prescript_Meas[Measure Number], MATCH(Table_PrescriptLights_Input[[#This Row],[Prescriptive lighting measure]], Table_Prescript_Meas[Measure Description], 0)), "")</f>
        <v/>
      </c>
      <c r="D59" s="192"/>
      <c r="E59" s="179"/>
      <c r="F59" s="179"/>
      <c r="G59" s="61" t="str">
        <f>IFERROR(INDEX(Table_Prescript_Meas[Unit], MATCH(Table_PrescriptLights_Input[[#This Row],[Measure number]], Table_Prescript_Meas[Measure Number], 0)), "")</f>
        <v/>
      </c>
      <c r="H59" s="180"/>
      <c r="I59" s="179"/>
      <c r="J59" s="179"/>
      <c r="K59" s="180"/>
      <c r="L59" s="179"/>
      <c r="M59" s="180"/>
      <c r="N59" s="180"/>
      <c r="O59" s="180"/>
      <c r="P59" s="180"/>
      <c r="Q59" s="180"/>
      <c r="R59" s="181"/>
      <c r="S59" s="181"/>
      <c r="T59"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59"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59" s="69" t="str">
        <f>IF(Table_PrescriptLights_Input[[#This Row],[Prescriptive lighting measure]]="","",Table_PrescriptLights_Input[[#This Row],[Calculated Energy Savings]])</f>
        <v/>
      </c>
      <c r="W59" s="73" t="str">
        <f>IF(Table_PrescriptLights_Input[[#This Row],[Prescriptive lighting measure]]="","",Table_PrescriptLights_Input[[#This Row],[Calculated Demand Savings]])</f>
        <v/>
      </c>
      <c r="X59" s="67" t="str">
        <f>IFERROR(Table_PrescriptLights_Input[[#This Row],[Energy savings (kWh)]]*Input_AvgkWhRate, "")</f>
        <v/>
      </c>
      <c r="Y59" s="67" t="str">
        <f>IF(Table_PrescriptLights_Input[[#This Row],[Prescriptive lighting measure]]="", "",Table_PrescriptLights_Input[[#This Row],[Material cost per fixture]]*Table_PrescriptLights_Input[[#This Row],[Number of proposed fixtures]]+Table_PrescriptLights_Input[[#This Row],[Total labor cost]])</f>
        <v/>
      </c>
      <c r="Z59" s="67" t="str">
        <f>IFERROR(Table_PrescriptLights_Input[[#This Row],[Gross measure cost]]-Table_PrescriptLights_Input[[#This Row],[Estimated incentive]], "")</f>
        <v/>
      </c>
      <c r="AA59" s="69" t="str">
        <f t="shared" si="1"/>
        <v/>
      </c>
      <c r="AB59" s="69" t="str">
        <f>IF(ISNUMBER(Table_PrescriptLights_Input[[#This Row],[Detailed Fixture Calculation Wattage]]), "Detailed", "General")</f>
        <v>General</v>
      </c>
      <c r="AC59" s="53" t="e">
        <f>INDEX(Table_IntExt_Match[Measure Selection List], MATCH(Table_PrescriptLights_Input[[#This Row],[Interior or exterior?]], Table_IntExt_Match[Inetrior or Exterior], 0))</f>
        <v>#N/A</v>
      </c>
      <c r="AD59" s="53" t="e">
        <f>INDEX(Table_Prescript_Meas[Unit], MATCH(C59, Table_Prescript_Meas[Measure Number], 0))</f>
        <v>#N/A</v>
      </c>
      <c r="AE59" s="53" t="e">
        <f>INDEX(Table_Prescript_Meas[Lighting Type Selection List], MATCH(C59, Table_Prescript_Meas[Measure Number], 0))</f>
        <v>#N/A</v>
      </c>
      <c r="AF59" s="53" t="e">
        <f>INDEX(Table_Prescript_Meas[AOH Type], MATCH(Table_PrescriptLights_Input[[#This Row],[Measure number]], Table_Prescript_Meas[Measure Number],0))</f>
        <v>#N/A</v>
      </c>
      <c r="AG59"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59" s="53" t="str">
        <f>_xlfn.CONCAT(Table_PrescriptLights_Input[[#This Row],[Existing lighting type]],":",Table_PrescriptLights_Input[[#This Row],[Existing lamps per fixture]], ":",Table_PrescriptLights_Input[[#This Row],[Existing lamp wattage]])</f>
        <v>::</v>
      </c>
      <c r="AI59" s="53" t="e">
        <f>INDEX(Table_TRM_Fixtures[Fixture Code], MATCH(Table_PrescriptLights_Input[[#This Row],[Detailed Baseline Fixture Lookup]], Table_TRM_Fixtures[Detailed Prescriptive Baseline Fixture Lookup], 0))</f>
        <v>#N/A</v>
      </c>
      <c r="AJ59" s="53" t="e">
        <f>INDEX(Table_TRM_Fixtures[Fixture Wattage for Baseline Calculations],MATCH(Table_PrescriptLights_Input[[#This Row],[Detailed Baseline Fixture Lookup]], Table_TRM_Fixtures[Detailed Prescriptive Baseline Fixture Lookup],0))</f>
        <v>#N/A</v>
      </c>
      <c r="AK59" s="127" t="e">
        <f>INDEX(Table_Bldg_IEFD_IEFC[IEFE], MATCH( Input_HVACType,Table_Bldg_IEFD_IEFC[List_HVAC], 0))</f>
        <v>#N/A</v>
      </c>
      <c r="AL59" s="127" t="e">
        <f>INDEX( Table_Bldg_IEFD_IEFC[IEFE],MATCH( Input_HVACType, Table_Bldg_IEFD_IEFC[List_HVAC],0 ))</f>
        <v>#N/A</v>
      </c>
      <c r="AM59" s="127" t="e">
        <f>INDEX(Table_Control_PAF[PAF], MATCH(Table_PrescriptLights_Input[[#This Row],[Existing controls]], Table_Control_PAF[List_Control_Types], 0 ) )</f>
        <v>#N/A</v>
      </c>
      <c r="AN59"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59"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59"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59" s="53">
        <f>IFERROR(LEFT(Table_PrescriptLights_Input[[#This Row],[Existing lighting type]], FIND(",",Table_PrescriptLights_Input[[#This Row],[Existing lighting type]])-1), Table_PrescriptLights_Input[[#This Row],[Existing lighting type]])</f>
        <v>0</v>
      </c>
      <c r="AR59" s="53" t="str">
        <f>_xlfn.CONCAT(Table_PrescriptLights_Input[[#This Row],[Generalized Fixture Type]], ":",Table_PrescriptLights_Input[[#This Row],[Existing lamps per fixture]],":",Table_PrescriptLights_Input[[#This Row],[Existing lamp wattage]])</f>
        <v>0::</v>
      </c>
      <c r="AS59" s="53" t="e">
        <f>INDEX(Table_TRM_Fixtures[Fixture Code], MATCH(Table_PrescriptLights_Input[[#This Row],[Generalized Fixture Baseline Lookup]], Table_TRM_Fixtures[Generalized Baseline Fixture Lookup], 0))</f>
        <v>#N/A</v>
      </c>
      <c r="AT59"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59"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59"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59"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59"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59" s="53" t="e">
        <f>IFERROR(Table_PrescriptLights_Input[[#This Row],[Detailed Baseline Fixture Code]],Table_PrescriptLights_Input[[#This Row],[Generalized Baseline Fixture Code]])</f>
        <v>#N/A</v>
      </c>
      <c r="AZ59" s="4"/>
      <c r="BA59" s="4"/>
      <c r="BB59" s="4"/>
      <c r="BC59" s="4"/>
      <c r="BD59" s="4"/>
      <c r="BE59" s="4"/>
      <c r="BF59" s="4"/>
      <c r="BG59" s="4"/>
      <c r="BH59" s="4"/>
      <c r="BI59" s="4"/>
      <c r="BJ59" s="4"/>
      <c r="BK59" s="4"/>
      <c r="BL59" s="4"/>
      <c r="BM59" s="4"/>
      <c r="BN59" s="4"/>
      <c r="BO59" s="4"/>
      <c r="BP59" s="4"/>
      <c r="BQ59" s="4"/>
    </row>
    <row r="60" spans="1:69" x14ac:dyDescent="0.2">
      <c r="A60" s="4"/>
      <c r="B60" s="189">
        <v>56</v>
      </c>
      <c r="C60" s="61" t="str">
        <f>IFERROR(INDEX(Table_Prescript_Meas[Measure Number], MATCH(Table_PrescriptLights_Input[[#This Row],[Prescriptive lighting measure]], Table_Prescript_Meas[Measure Description], 0)), "")</f>
        <v/>
      </c>
      <c r="D60" s="192"/>
      <c r="E60" s="179"/>
      <c r="F60" s="179"/>
      <c r="G60" s="61" t="str">
        <f>IFERROR(INDEX(Table_Prescript_Meas[Unit], MATCH(Table_PrescriptLights_Input[[#This Row],[Measure number]], Table_Prescript_Meas[Measure Number], 0)), "")</f>
        <v/>
      </c>
      <c r="H60" s="180"/>
      <c r="I60" s="179"/>
      <c r="J60" s="179"/>
      <c r="K60" s="180"/>
      <c r="L60" s="179"/>
      <c r="M60" s="180"/>
      <c r="N60" s="180"/>
      <c r="O60" s="180"/>
      <c r="P60" s="180"/>
      <c r="Q60" s="180"/>
      <c r="R60" s="181"/>
      <c r="S60" s="181"/>
      <c r="T60"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60"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60" s="69" t="str">
        <f>IF(Table_PrescriptLights_Input[[#This Row],[Prescriptive lighting measure]]="","",Table_PrescriptLights_Input[[#This Row],[Calculated Energy Savings]])</f>
        <v/>
      </c>
      <c r="W60" s="73" t="str">
        <f>IF(Table_PrescriptLights_Input[[#This Row],[Prescriptive lighting measure]]="","",Table_PrescriptLights_Input[[#This Row],[Calculated Demand Savings]])</f>
        <v/>
      </c>
      <c r="X60" s="67" t="str">
        <f>IFERROR(Table_PrescriptLights_Input[[#This Row],[Energy savings (kWh)]]*Input_AvgkWhRate, "")</f>
        <v/>
      </c>
      <c r="Y60" s="67" t="str">
        <f>IF(Table_PrescriptLights_Input[[#This Row],[Prescriptive lighting measure]]="", "",Table_PrescriptLights_Input[[#This Row],[Material cost per fixture]]*Table_PrescriptLights_Input[[#This Row],[Number of proposed fixtures]]+Table_PrescriptLights_Input[[#This Row],[Total labor cost]])</f>
        <v/>
      </c>
      <c r="Z60" s="67" t="str">
        <f>IFERROR(Table_PrescriptLights_Input[[#This Row],[Gross measure cost]]-Table_PrescriptLights_Input[[#This Row],[Estimated incentive]], "")</f>
        <v/>
      </c>
      <c r="AA60" s="69" t="str">
        <f t="shared" si="1"/>
        <v/>
      </c>
      <c r="AB60" s="69" t="str">
        <f>IF(ISNUMBER(Table_PrescriptLights_Input[[#This Row],[Detailed Fixture Calculation Wattage]]), "Detailed", "General")</f>
        <v>General</v>
      </c>
      <c r="AC60" s="53" t="e">
        <f>INDEX(Table_IntExt_Match[Measure Selection List], MATCH(Table_PrescriptLights_Input[[#This Row],[Interior or exterior?]], Table_IntExt_Match[Inetrior or Exterior], 0))</f>
        <v>#N/A</v>
      </c>
      <c r="AD60" s="53" t="e">
        <f>INDEX(Table_Prescript_Meas[Unit], MATCH(C60, Table_Prescript_Meas[Measure Number], 0))</f>
        <v>#N/A</v>
      </c>
      <c r="AE60" s="53" t="e">
        <f>INDEX(Table_Prescript_Meas[Lighting Type Selection List], MATCH(C60, Table_Prescript_Meas[Measure Number], 0))</f>
        <v>#N/A</v>
      </c>
      <c r="AF60" s="53" t="e">
        <f>INDEX(Table_Prescript_Meas[AOH Type], MATCH(Table_PrescriptLights_Input[[#This Row],[Measure number]], Table_Prescript_Meas[Measure Number],0))</f>
        <v>#N/A</v>
      </c>
      <c r="AG60"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60" s="53" t="str">
        <f>_xlfn.CONCAT(Table_PrescriptLights_Input[[#This Row],[Existing lighting type]],":",Table_PrescriptLights_Input[[#This Row],[Existing lamps per fixture]], ":",Table_PrescriptLights_Input[[#This Row],[Existing lamp wattage]])</f>
        <v>::</v>
      </c>
      <c r="AI60" s="53" t="e">
        <f>INDEX(Table_TRM_Fixtures[Fixture Code], MATCH(Table_PrescriptLights_Input[[#This Row],[Detailed Baseline Fixture Lookup]], Table_TRM_Fixtures[Detailed Prescriptive Baseline Fixture Lookup], 0))</f>
        <v>#N/A</v>
      </c>
      <c r="AJ60" s="53" t="e">
        <f>INDEX(Table_TRM_Fixtures[Fixture Wattage for Baseline Calculations],MATCH(Table_PrescriptLights_Input[[#This Row],[Detailed Baseline Fixture Lookup]], Table_TRM_Fixtures[Detailed Prescriptive Baseline Fixture Lookup],0))</f>
        <v>#N/A</v>
      </c>
      <c r="AK60" s="127" t="e">
        <f>INDEX(Table_Bldg_IEFD_IEFC[IEFE], MATCH( Input_HVACType,Table_Bldg_IEFD_IEFC[List_HVAC], 0))</f>
        <v>#N/A</v>
      </c>
      <c r="AL60" s="127" t="e">
        <f>INDEX( Table_Bldg_IEFD_IEFC[IEFE],MATCH( Input_HVACType, Table_Bldg_IEFD_IEFC[List_HVAC],0 ))</f>
        <v>#N/A</v>
      </c>
      <c r="AM60" s="127" t="e">
        <f>INDEX(Table_Control_PAF[PAF], MATCH(Table_PrescriptLights_Input[[#This Row],[Existing controls]], Table_Control_PAF[List_Control_Types], 0 ) )</f>
        <v>#N/A</v>
      </c>
      <c r="AN60"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60"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60"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60" s="53">
        <f>IFERROR(LEFT(Table_PrescriptLights_Input[[#This Row],[Existing lighting type]], FIND(",",Table_PrescriptLights_Input[[#This Row],[Existing lighting type]])-1), Table_PrescriptLights_Input[[#This Row],[Existing lighting type]])</f>
        <v>0</v>
      </c>
      <c r="AR60" s="53" t="str">
        <f>_xlfn.CONCAT(Table_PrescriptLights_Input[[#This Row],[Generalized Fixture Type]], ":",Table_PrescriptLights_Input[[#This Row],[Existing lamps per fixture]],":",Table_PrescriptLights_Input[[#This Row],[Existing lamp wattage]])</f>
        <v>0::</v>
      </c>
      <c r="AS60" s="53" t="e">
        <f>INDEX(Table_TRM_Fixtures[Fixture Code], MATCH(Table_PrescriptLights_Input[[#This Row],[Generalized Fixture Baseline Lookup]], Table_TRM_Fixtures[Generalized Baseline Fixture Lookup], 0))</f>
        <v>#N/A</v>
      </c>
      <c r="AT60"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60"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60"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60"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60"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60" s="53" t="e">
        <f>IFERROR(Table_PrescriptLights_Input[[#This Row],[Detailed Baseline Fixture Code]],Table_PrescriptLights_Input[[#This Row],[Generalized Baseline Fixture Code]])</f>
        <v>#N/A</v>
      </c>
      <c r="AZ60" s="4"/>
      <c r="BA60" s="4"/>
      <c r="BB60" s="4"/>
      <c r="BC60" s="4"/>
      <c r="BD60" s="4"/>
      <c r="BE60" s="4"/>
      <c r="BF60" s="4"/>
      <c r="BG60" s="4"/>
      <c r="BH60" s="4"/>
      <c r="BI60" s="4"/>
      <c r="BJ60" s="4"/>
      <c r="BK60" s="4"/>
      <c r="BL60" s="4"/>
      <c r="BM60" s="4"/>
      <c r="BN60" s="4"/>
      <c r="BO60" s="4"/>
      <c r="BP60" s="4"/>
      <c r="BQ60" s="4"/>
    </row>
    <row r="61" spans="1:69" x14ac:dyDescent="0.2">
      <c r="A61" s="4"/>
      <c r="B61" s="189">
        <v>57</v>
      </c>
      <c r="C61" s="61" t="str">
        <f>IFERROR(INDEX(Table_Prescript_Meas[Measure Number], MATCH(Table_PrescriptLights_Input[[#This Row],[Prescriptive lighting measure]], Table_Prescript_Meas[Measure Description], 0)), "")</f>
        <v/>
      </c>
      <c r="D61" s="192"/>
      <c r="E61" s="179"/>
      <c r="F61" s="179"/>
      <c r="G61" s="61" t="str">
        <f>IFERROR(INDEX(Table_Prescript_Meas[Unit], MATCH(Table_PrescriptLights_Input[[#This Row],[Measure number]], Table_Prescript_Meas[Measure Number], 0)), "")</f>
        <v/>
      </c>
      <c r="H61" s="180"/>
      <c r="I61" s="179"/>
      <c r="J61" s="179"/>
      <c r="K61" s="180"/>
      <c r="L61" s="179"/>
      <c r="M61" s="180"/>
      <c r="N61" s="180"/>
      <c r="O61" s="180"/>
      <c r="P61" s="180"/>
      <c r="Q61" s="180"/>
      <c r="R61" s="181"/>
      <c r="S61" s="181"/>
      <c r="T61"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61"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61" s="69" t="str">
        <f>IF(Table_PrescriptLights_Input[[#This Row],[Prescriptive lighting measure]]="","",Table_PrescriptLights_Input[[#This Row],[Calculated Energy Savings]])</f>
        <v/>
      </c>
      <c r="W61" s="73" t="str">
        <f>IF(Table_PrescriptLights_Input[[#This Row],[Prescriptive lighting measure]]="","",Table_PrescriptLights_Input[[#This Row],[Calculated Demand Savings]])</f>
        <v/>
      </c>
      <c r="X61" s="67" t="str">
        <f>IFERROR(Table_PrescriptLights_Input[[#This Row],[Energy savings (kWh)]]*Input_AvgkWhRate, "")</f>
        <v/>
      </c>
      <c r="Y61" s="67" t="str">
        <f>IF(Table_PrescriptLights_Input[[#This Row],[Prescriptive lighting measure]]="", "",Table_PrescriptLights_Input[[#This Row],[Material cost per fixture]]*Table_PrescriptLights_Input[[#This Row],[Number of proposed fixtures]]+Table_PrescriptLights_Input[[#This Row],[Total labor cost]])</f>
        <v/>
      </c>
      <c r="Z61" s="67" t="str">
        <f>IFERROR(Table_PrescriptLights_Input[[#This Row],[Gross measure cost]]-Table_PrescriptLights_Input[[#This Row],[Estimated incentive]], "")</f>
        <v/>
      </c>
      <c r="AA61" s="69" t="str">
        <f t="shared" si="1"/>
        <v/>
      </c>
      <c r="AB61" s="69" t="str">
        <f>IF(ISNUMBER(Table_PrescriptLights_Input[[#This Row],[Detailed Fixture Calculation Wattage]]), "Detailed", "General")</f>
        <v>General</v>
      </c>
      <c r="AC61" s="53" t="e">
        <f>INDEX(Table_IntExt_Match[Measure Selection List], MATCH(Table_PrescriptLights_Input[[#This Row],[Interior or exterior?]], Table_IntExt_Match[Inetrior or Exterior], 0))</f>
        <v>#N/A</v>
      </c>
      <c r="AD61" s="53" t="e">
        <f>INDEX(Table_Prescript_Meas[Unit], MATCH(C61, Table_Prescript_Meas[Measure Number], 0))</f>
        <v>#N/A</v>
      </c>
      <c r="AE61" s="53" t="e">
        <f>INDEX(Table_Prescript_Meas[Lighting Type Selection List], MATCH(C61, Table_Prescript_Meas[Measure Number], 0))</f>
        <v>#N/A</v>
      </c>
      <c r="AF61" s="53" t="e">
        <f>INDEX(Table_Prescript_Meas[AOH Type], MATCH(Table_PrescriptLights_Input[[#This Row],[Measure number]], Table_Prescript_Meas[Measure Number],0))</f>
        <v>#N/A</v>
      </c>
      <c r="AG61"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61" s="53" t="str">
        <f>_xlfn.CONCAT(Table_PrescriptLights_Input[[#This Row],[Existing lighting type]],":",Table_PrescriptLights_Input[[#This Row],[Existing lamps per fixture]], ":",Table_PrescriptLights_Input[[#This Row],[Existing lamp wattage]])</f>
        <v>::</v>
      </c>
      <c r="AI61" s="53" t="e">
        <f>INDEX(Table_TRM_Fixtures[Fixture Code], MATCH(Table_PrescriptLights_Input[[#This Row],[Detailed Baseline Fixture Lookup]], Table_TRM_Fixtures[Detailed Prescriptive Baseline Fixture Lookup], 0))</f>
        <v>#N/A</v>
      </c>
      <c r="AJ61" s="53" t="e">
        <f>INDEX(Table_TRM_Fixtures[Fixture Wattage for Baseline Calculations],MATCH(Table_PrescriptLights_Input[[#This Row],[Detailed Baseline Fixture Lookup]], Table_TRM_Fixtures[Detailed Prescriptive Baseline Fixture Lookup],0))</f>
        <v>#N/A</v>
      </c>
      <c r="AK61" s="127" t="e">
        <f>INDEX(Table_Bldg_IEFD_IEFC[IEFE], MATCH( Input_HVACType,Table_Bldg_IEFD_IEFC[List_HVAC], 0))</f>
        <v>#N/A</v>
      </c>
      <c r="AL61" s="127" t="e">
        <f>INDEX( Table_Bldg_IEFD_IEFC[IEFE],MATCH( Input_HVACType, Table_Bldg_IEFD_IEFC[List_HVAC],0 ))</f>
        <v>#N/A</v>
      </c>
      <c r="AM61" s="127" t="e">
        <f>INDEX(Table_Control_PAF[PAF], MATCH(Table_PrescriptLights_Input[[#This Row],[Existing controls]], Table_Control_PAF[List_Control_Types], 0 ) )</f>
        <v>#N/A</v>
      </c>
      <c r="AN61"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61"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61"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61" s="53">
        <f>IFERROR(LEFT(Table_PrescriptLights_Input[[#This Row],[Existing lighting type]], FIND(",",Table_PrescriptLights_Input[[#This Row],[Existing lighting type]])-1), Table_PrescriptLights_Input[[#This Row],[Existing lighting type]])</f>
        <v>0</v>
      </c>
      <c r="AR61" s="53" t="str">
        <f>_xlfn.CONCAT(Table_PrescriptLights_Input[[#This Row],[Generalized Fixture Type]], ":",Table_PrescriptLights_Input[[#This Row],[Existing lamps per fixture]],":",Table_PrescriptLights_Input[[#This Row],[Existing lamp wattage]])</f>
        <v>0::</v>
      </c>
      <c r="AS61" s="53" t="e">
        <f>INDEX(Table_TRM_Fixtures[Fixture Code], MATCH(Table_PrescriptLights_Input[[#This Row],[Generalized Fixture Baseline Lookup]], Table_TRM_Fixtures[Generalized Baseline Fixture Lookup], 0))</f>
        <v>#N/A</v>
      </c>
      <c r="AT61"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61"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61"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61"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61"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61" s="53" t="e">
        <f>IFERROR(Table_PrescriptLights_Input[[#This Row],[Detailed Baseline Fixture Code]],Table_PrescriptLights_Input[[#This Row],[Generalized Baseline Fixture Code]])</f>
        <v>#N/A</v>
      </c>
      <c r="AZ61" s="4"/>
      <c r="BA61" s="4"/>
      <c r="BB61" s="4"/>
      <c r="BC61" s="4"/>
      <c r="BD61" s="4"/>
      <c r="BE61" s="4"/>
      <c r="BF61" s="4"/>
      <c r="BG61" s="4"/>
      <c r="BH61" s="4"/>
      <c r="BI61" s="4"/>
      <c r="BJ61" s="4"/>
      <c r="BK61" s="4"/>
      <c r="BL61" s="4"/>
      <c r="BM61" s="4"/>
      <c r="BN61" s="4"/>
      <c r="BO61" s="4"/>
      <c r="BP61" s="4"/>
      <c r="BQ61" s="4"/>
    </row>
    <row r="62" spans="1:69" x14ac:dyDescent="0.2">
      <c r="A62" s="4"/>
      <c r="B62" s="189">
        <v>58</v>
      </c>
      <c r="C62" s="61" t="str">
        <f>IFERROR(INDEX(Table_Prescript_Meas[Measure Number], MATCH(Table_PrescriptLights_Input[[#This Row],[Prescriptive lighting measure]], Table_Prescript_Meas[Measure Description], 0)), "")</f>
        <v/>
      </c>
      <c r="D62" s="192"/>
      <c r="E62" s="179"/>
      <c r="F62" s="179"/>
      <c r="G62" s="61" t="str">
        <f>IFERROR(INDEX(Table_Prescript_Meas[Unit], MATCH(Table_PrescriptLights_Input[[#This Row],[Measure number]], Table_Prescript_Meas[Measure Number], 0)), "")</f>
        <v/>
      </c>
      <c r="H62" s="180"/>
      <c r="I62" s="179"/>
      <c r="J62" s="179"/>
      <c r="K62" s="180"/>
      <c r="L62" s="179"/>
      <c r="M62" s="180"/>
      <c r="N62" s="180"/>
      <c r="O62" s="180"/>
      <c r="P62" s="180"/>
      <c r="Q62" s="180"/>
      <c r="R62" s="181"/>
      <c r="S62" s="181"/>
      <c r="T62"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62"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62" s="69" t="str">
        <f>IF(Table_PrescriptLights_Input[[#This Row],[Prescriptive lighting measure]]="","",Table_PrescriptLights_Input[[#This Row],[Calculated Energy Savings]])</f>
        <v/>
      </c>
      <c r="W62" s="73" t="str">
        <f>IF(Table_PrescriptLights_Input[[#This Row],[Prescriptive lighting measure]]="","",Table_PrescriptLights_Input[[#This Row],[Calculated Demand Savings]])</f>
        <v/>
      </c>
      <c r="X62" s="67" t="str">
        <f>IFERROR(Table_PrescriptLights_Input[[#This Row],[Energy savings (kWh)]]*Input_AvgkWhRate, "")</f>
        <v/>
      </c>
      <c r="Y62" s="67" t="str">
        <f>IF(Table_PrescriptLights_Input[[#This Row],[Prescriptive lighting measure]]="", "",Table_PrescriptLights_Input[[#This Row],[Material cost per fixture]]*Table_PrescriptLights_Input[[#This Row],[Number of proposed fixtures]]+Table_PrescriptLights_Input[[#This Row],[Total labor cost]])</f>
        <v/>
      </c>
      <c r="Z62" s="67" t="str">
        <f>IFERROR(Table_PrescriptLights_Input[[#This Row],[Gross measure cost]]-Table_PrescriptLights_Input[[#This Row],[Estimated incentive]], "")</f>
        <v/>
      </c>
      <c r="AA62" s="69" t="str">
        <f t="shared" si="1"/>
        <v/>
      </c>
      <c r="AB62" s="69" t="str">
        <f>IF(ISNUMBER(Table_PrescriptLights_Input[[#This Row],[Detailed Fixture Calculation Wattage]]), "Detailed", "General")</f>
        <v>General</v>
      </c>
      <c r="AC62" s="53" t="e">
        <f>INDEX(Table_IntExt_Match[Measure Selection List], MATCH(Table_PrescriptLights_Input[[#This Row],[Interior or exterior?]], Table_IntExt_Match[Inetrior or Exterior], 0))</f>
        <v>#N/A</v>
      </c>
      <c r="AD62" s="53" t="e">
        <f>INDEX(Table_Prescript_Meas[Unit], MATCH(C62, Table_Prescript_Meas[Measure Number], 0))</f>
        <v>#N/A</v>
      </c>
      <c r="AE62" s="53" t="e">
        <f>INDEX(Table_Prescript_Meas[Lighting Type Selection List], MATCH(C62, Table_Prescript_Meas[Measure Number], 0))</f>
        <v>#N/A</v>
      </c>
      <c r="AF62" s="53" t="e">
        <f>INDEX(Table_Prescript_Meas[AOH Type], MATCH(Table_PrescriptLights_Input[[#This Row],[Measure number]], Table_Prescript_Meas[Measure Number],0))</f>
        <v>#N/A</v>
      </c>
      <c r="AG62"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62" s="53" t="str">
        <f>_xlfn.CONCAT(Table_PrescriptLights_Input[[#This Row],[Existing lighting type]],":",Table_PrescriptLights_Input[[#This Row],[Existing lamps per fixture]], ":",Table_PrescriptLights_Input[[#This Row],[Existing lamp wattage]])</f>
        <v>::</v>
      </c>
      <c r="AI62" s="53" t="e">
        <f>INDEX(Table_TRM_Fixtures[Fixture Code], MATCH(Table_PrescriptLights_Input[[#This Row],[Detailed Baseline Fixture Lookup]], Table_TRM_Fixtures[Detailed Prescriptive Baseline Fixture Lookup], 0))</f>
        <v>#N/A</v>
      </c>
      <c r="AJ62" s="53" t="e">
        <f>INDEX(Table_TRM_Fixtures[Fixture Wattage for Baseline Calculations],MATCH(Table_PrescriptLights_Input[[#This Row],[Detailed Baseline Fixture Lookup]], Table_TRM_Fixtures[Detailed Prescriptive Baseline Fixture Lookup],0))</f>
        <v>#N/A</v>
      </c>
      <c r="AK62" s="127" t="e">
        <f>INDEX(Table_Bldg_IEFD_IEFC[IEFE], MATCH( Input_HVACType,Table_Bldg_IEFD_IEFC[List_HVAC], 0))</f>
        <v>#N/A</v>
      </c>
      <c r="AL62" s="127" t="e">
        <f>INDEX( Table_Bldg_IEFD_IEFC[IEFE],MATCH( Input_HVACType, Table_Bldg_IEFD_IEFC[List_HVAC],0 ))</f>
        <v>#N/A</v>
      </c>
      <c r="AM62" s="127" t="e">
        <f>INDEX(Table_Control_PAF[PAF], MATCH(Table_PrescriptLights_Input[[#This Row],[Existing controls]], Table_Control_PAF[List_Control_Types], 0 ) )</f>
        <v>#N/A</v>
      </c>
      <c r="AN62"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62"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62"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62" s="53">
        <f>IFERROR(LEFT(Table_PrescriptLights_Input[[#This Row],[Existing lighting type]], FIND(",",Table_PrescriptLights_Input[[#This Row],[Existing lighting type]])-1), Table_PrescriptLights_Input[[#This Row],[Existing lighting type]])</f>
        <v>0</v>
      </c>
      <c r="AR62" s="53" t="str">
        <f>_xlfn.CONCAT(Table_PrescriptLights_Input[[#This Row],[Generalized Fixture Type]], ":",Table_PrescriptLights_Input[[#This Row],[Existing lamps per fixture]],":",Table_PrescriptLights_Input[[#This Row],[Existing lamp wattage]])</f>
        <v>0::</v>
      </c>
      <c r="AS62" s="53" t="e">
        <f>INDEX(Table_TRM_Fixtures[Fixture Code], MATCH(Table_PrescriptLights_Input[[#This Row],[Generalized Fixture Baseline Lookup]], Table_TRM_Fixtures[Generalized Baseline Fixture Lookup], 0))</f>
        <v>#N/A</v>
      </c>
      <c r="AT62"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62"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62"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62"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62"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62" s="53" t="e">
        <f>IFERROR(Table_PrescriptLights_Input[[#This Row],[Detailed Baseline Fixture Code]],Table_PrescriptLights_Input[[#This Row],[Generalized Baseline Fixture Code]])</f>
        <v>#N/A</v>
      </c>
      <c r="AZ62" s="4"/>
      <c r="BA62" s="4"/>
      <c r="BB62" s="4"/>
      <c r="BC62" s="4"/>
      <c r="BD62" s="4"/>
      <c r="BE62" s="4"/>
      <c r="BF62" s="4"/>
      <c r="BG62" s="4"/>
      <c r="BH62" s="4"/>
      <c r="BI62" s="4"/>
      <c r="BJ62" s="4"/>
      <c r="BK62" s="4"/>
      <c r="BL62" s="4"/>
      <c r="BM62" s="4"/>
      <c r="BN62" s="4"/>
      <c r="BO62" s="4"/>
      <c r="BP62" s="4"/>
      <c r="BQ62" s="4"/>
    </row>
    <row r="63" spans="1:69" x14ac:dyDescent="0.2">
      <c r="A63" s="4"/>
      <c r="B63" s="189">
        <v>59</v>
      </c>
      <c r="C63" s="61" t="str">
        <f>IFERROR(INDEX(Table_Prescript_Meas[Measure Number], MATCH(Table_PrescriptLights_Input[[#This Row],[Prescriptive lighting measure]], Table_Prescript_Meas[Measure Description], 0)), "")</f>
        <v/>
      </c>
      <c r="D63" s="192"/>
      <c r="E63" s="179"/>
      <c r="F63" s="179"/>
      <c r="G63" s="61" t="str">
        <f>IFERROR(INDEX(Table_Prescript_Meas[Unit], MATCH(Table_PrescriptLights_Input[[#This Row],[Measure number]], Table_Prescript_Meas[Measure Number], 0)), "")</f>
        <v/>
      </c>
      <c r="H63" s="180"/>
      <c r="I63" s="179"/>
      <c r="J63" s="179"/>
      <c r="K63" s="180"/>
      <c r="L63" s="179"/>
      <c r="M63" s="180"/>
      <c r="N63" s="180"/>
      <c r="O63" s="180"/>
      <c r="P63" s="180"/>
      <c r="Q63" s="180"/>
      <c r="R63" s="181"/>
      <c r="S63" s="181"/>
      <c r="T63"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63"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63" s="69" t="str">
        <f>IF(Table_PrescriptLights_Input[[#This Row],[Prescriptive lighting measure]]="","",Table_PrescriptLights_Input[[#This Row],[Calculated Energy Savings]])</f>
        <v/>
      </c>
      <c r="W63" s="73" t="str">
        <f>IF(Table_PrescriptLights_Input[[#This Row],[Prescriptive lighting measure]]="","",Table_PrescriptLights_Input[[#This Row],[Calculated Demand Savings]])</f>
        <v/>
      </c>
      <c r="X63" s="67" t="str">
        <f>IFERROR(Table_PrescriptLights_Input[[#This Row],[Energy savings (kWh)]]*Input_AvgkWhRate, "")</f>
        <v/>
      </c>
      <c r="Y63" s="67" t="str">
        <f>IF(Table_PrescriptLights_Input[[#This Row],[Prescriptive lighting measure]]="", "",Table_PrescriptLights_Input[[#This Row],[Material cost per fixture]]*Table_PrescriptLights_Input[[#This Row],[Number of proposed fixtures]]+Table_PrescriptLights_Input[[#This Row],[Total labor cost]])</f>
        <v/>
      </c>
      <c r="Z63" s="67" t="str">
        <f>IFERROR(Table_PrescriptLights_Input[[#This Row],[Gross measure cost]]-Table_PrescriptLights_Input[[#This Row],[Estimated incentive]], "")</f>
        <v/>
      </c>
      <c r="AA63" s="69" t="str">
        <f t="shared" si="1"/>
        <v/>
      </c>
      <c r="AB63" s="69" t="str">
        <f>IF(ISNUMBER(Table_PrescriptLights_Input[[#This Row],[Detailed Fixture Calculation Wattage]]), "Detailed", "General")</f>
        <v>General</v>
      </c>
      <c r="AC63" s="53" t="e">
        <f>INDEX(Table_IntExt_Match[Measure Selection List], MATCH(Table_PrescriptLights_Input[[#This Row],[Interior or exterior?]], Table_IntExt_Match[Inetrior or Exterior], 0))</f>
        <v>#N/A</v>
      </c>
      <c r="AD63" s="53" t="e">
        <f>INDEX(Table_Prescript_Meas[Unit], MATCH(C63, Table_Prescript_Meas[Measure Number], 0))</f>
        <v>#N/A</v>
      </c>
      <c r="AE63" s="53" t="e">
        <f>INDEX(Table_Prescript_Meas[Lighting Type Selection List], MATCH(C63, Table_Prescript_Meas[Measure Number], 0))</f>
        <v>#N/A</v>
      </c>
      <c r="AF63" s="53" t="e">
        <f>INDEX(Table_Prescript_Meas[AOH Type], MATCH(Table_PrescriptLights_Input[[#This Row],[Measure number]], Table_Prescript_Meas[Measure Number],0))</f>
        <v>#N/A</v>
      </c>
      <c r="AG63"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63" s="53" t="str">
        <f>_xlfn.CONCAT(Table_PrescriptLights_Input[[#This Row],[Existing lighting type]],":",Table_PrescriptLights_Input[[#This Row],[Existing lamps per fixture]], ":",Table_PrescriptLights_Input[[#This Row],[Existing lamp wattage]])</f>
        <v>::</v>
      </c>
      <c r="AI63" s="53" t="e">
        <f>INDEX(Table_TRM_Fixtures[Fixture Code], MATCH(Table_PrescriptLights_Input[[#This Row],[Detailed Baseline Fixture Lookup]], Table_TRM_Fixtures[Detailed Prescriptive Baseline Fixture Lookup], 0))</f>
        <v>#N/A</v>
      </c>
      <c r="AJ63" s="53" t="e">
        <f>INDEX(Table_TRM_Fixtures[Fixture Wattage for Baseline Calculations],MATCH(Table_PrescriptLights_Input[[#This Row],[Detailed Baseline Fixture Lookup]], Table_TRM_Fixtures[Detailed Prescriptive Baseline Fixture Lookup],0))</f>
        <v>#N/A</v>
      </c>
      <c r="AK63" s="127" t="e">
        <f>INDEX(Table_Bldg_IEFD_IEFC[IEFE], MATCH( Input_HVACType,Table_Bldg_IEFD_IEFC[List_HVAC], 0))</f>
        <v>#N/A</v>
      </c>
      <c r="AL63" s="127" t="e">
        <f>INDEX( Table_Bldg_IEFD_IEFC[IEFE],MATCH( Input_HVACType, Table_Bldg_IEFD_IEFC[List_HVAC],0 ))</f>
        <v>#N/A</v>
      </c>
      <c r="AM63" s="127" t="e">
        <f>INDEX(Table_Control_PAF[PAF], MATCH(Table_PrescriptLights_Input[[#This Row],[Existing controls]], Table_Control_PAF[List_Control_Types], 0 ) )</f>
        <v>#N/A</v>
      </c>
      <c r="AN63"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63"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63"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63" s="53">
        <f>IFERROR(LEFT(Table_PrescriptLights_Input[[#This Row],[Existing lighting type]], FIND(",",Table_PrescriptLights_Input[[#This Row],[Existing lighting type]])-1), Table_PrescriptLights_Input[[#This Row],[Existing lighting type]])</f>
        <v>0</v>
      </c>
      <c r="AR63" s="53" t="str">
        <f>_xlfn.CONCAT(Table_PrescriptLights_Input[[#This Row],[Generalized Fixture Type]], ":",Table_PrescriptLights_Input[[#This Row],[Existing lamps per fixture]],":",Table_PrescriptLights_Input[[#This Row],[Existing lamp wattage]])</f>
        <v>0::</v>
      </c>
      <c r="AS63" s="53" t="e">
        <f>INDEX(Table_TRM_Fixtures[Fixture Code], MATCH(Table_PrescriptLights_Input[[#This Row],[Generalized Fixture Baseline Lookup]], Table_TRM_Fixtures[Generalized Baseline Fixture Lookup], 0))</f>
        <v>#N/A</v>
      </c>
      <c r="AT63"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63"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63"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63"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63"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63" s="53" t="e">
        <f>IFERROR(Table_PrescriptLights_Input[[#This Row],[Detailed Baseline Fixture Code]],Table_PrescriptLights_Input[[#This Row],[Generalized Baseline Fixture Code]])</f>
        <v>#N/A</v>
      </c>
      <c r="AZ63" s="4"/>
      <c r="BA63" s="4"/>
      <c r="BB63" s="4"/>
      <c r="BC63" s="4"/>
      <c r="BD63" s="4"/>
      <c r="BE63" s="4"/>
      <c r="BF63" s="4"/>
      <c r="BG63" s="4"/>
      <c r="BH63" s="4"/>
      <c r="BI63" s="4"/>
      <c r="BJ63" s="4"/>
      <c r="BK63" s="4"/>
      <c r="BL63" s="4"/>
      <c r="BM63" s="4"/>
      <c r="BN63" s="4"/>
      <c r="BO63" s="4"/>
      <c r="BP63" s="4"/>
      <c r="BQ63" s="4"/>
    </row>
    <row r="64" spans="1:69" x14ac:dyDescent="0.2">
      <c r="A64" s="4"/>
      <c r="B64" s="189">
        <v>60</v>
      </c>
      <c r="C64" s="61" t="str">
        <f>IFERROR(INDEX(Table_Prescript_Meas[Measure Number], MATCH(Table_PrescriptLights_Input[[#This Row],[Prescriptive lighting measure]], Table_Prescript_Meas[Measure Description], 0)), "")</f>
        <v/>
      </c>
      <c r="D64" s="192"/>
      <c r="E64" s="179"/>
      <c r="F64" s="179"/>
      <c r="G64" s="61" t="str">
        <f>IFERROR(INDEX(Table_Prescript_Meas[Unit], MATCH(Table_PrescriptLights_Input[[#This Row],[Measure number]], Table_Prescript_Meas[Measure Number], 0)), "")</f>
        <v/>
      </c>
      <c r="H64" s="180"/>
      <c r="I64" s="179"/>
      <c r="J64" s="179"/>
      <c r="K64" s="180"/>
      <c r="L64" s="179"/>
      <c r="M64" s="180"/>
      <c r="N64" s="180"/>
      <c r="O64" s="180"/>
      <c r="P64" s="180"/>
      <c r="Q64" s="180"/>
      <c r="R64" s="181"/>
      <c r="S64" s="181"/>
      <c r="T64"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64"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64" s="69" t="str">
        <f>IF(Table_PrescriptLights_Input[[#This Row],[Prescriptive lighting measure]]="","",Table_PrescriptLights_Input[[#This Row],[Calculated Energy Savings]])</f>
        <v/>
      </c>
      <c r="W64" s="73" t="str">
        <f>IF(Table_PrescriptLights_Input[[#This Row],[Prescriptive lighting measure]]="","",Table_PrescriptLights_Input[[#This Row],[Calculated Demand Savings]])</f>
        <v/>
      </c>
      <c r="X64" s="67" t="str">
        <f>IFERROR(Table_PrescriptLights_Input[[#This Row],[Energy savings (kWh)]]*Input_AvgkWhRate, "")</f>
        <v/>
      </c>
      <c r="Y64" s="67" t="str">
        <f>IF(Table_PrescriptLights_Input[[#This Row],[Prescriptive lighting measure]]="", "",Table_PrescriptLights_Input[[#This Row],[Material cost per fixture]]*Table_PrescriptLights_Input[[#This Row],[Number of proposed fixtures]]+Table_PrescriptLights_Input[[#This Row],[Total labor cost]])</f>
        <v/>
      </c>
      <c r="Z64" s="67" t="str">
        <f>IFERROR(Table_PrescriptLights_Input[[#This Row],[Gross measure cost]]-Table_PrescriptLights_Input[[#This Row],[Estimated incentive]], "")</f>
        <v/>
      </c>
      <c r="AA64" s="69" t="str">
        <f t="shared" si="1"/>
        <v/>
      </c>
      <c r="AB64" s="69" t="str">
        <f>IF(ISNUMBER(Table_PrescriptLights_Input[[#This Row],[Detailed Fixture Calculation Wattage]]), "Detailed", "General")</f>
        <v>General</v>
      </c>
      <c r="AC64" s="53" t="e">
        <f>INDEX(Table_IntExt_Match[Measure Selection List], MATCH(Table_PrescriptLights_Input[[#This Row],[Interior or exterior?]], Table_IntExt_Match[Inetrior or Exterior], 0))</f>
        <v>#N/A</v>
      </c>
      <c r="AD64" s="53" t="e">
        <f>INDEX(Table_Prescript_Meas[Unit], MATCH(C64, Table_Prescript_Meas[Measure Number], 0))</f>
        <v>#N/A</v>
      </c>
      <c r="AE64" s="53" t="e">
        <f>INDEX(Table_Prescript_Meas[Lighting Type Selection List], MATCH(C64, Table_Prescript_Meas[Measure Number], 0))</f>
        <v>#N/A</v>
      </c>
      <c r="AF64" s="53" t="e">
        <f>INDEX(Table_Prescript_Meas[AOH Type], MATCH(Table_PrescriptLights_Input[[#This Row],[Measure number]], Table_Prescript_Meas[Measure Number],0))</f>
        <v>#N/A</v>
      </c>
      <c r="AG64"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64" s="53" t="str">
        <f>_xlfn.CONCAT(Table_PrescriptLights_Input[[#This Row],[Existing lighting type]],":",Table_PrescriptLights_Input[[#This Row],[Existing lamps per fixture]], ":",Table_PrescriptLights_Input[[#This Row],[Existing lamp wattage]])</f>
        <v>::</v>
      </c>
      <c r="AI64" s="53" t="e">
        <f>INDEX(Table_TRM_Fixtures[Fixture Code], MATCH(Table_PrescriptLights_Input[[#This Row],[Detailed Baseline Fixture Lookup]], Table_TRM_Fixtures[Detailed Prescriptive Baseline Fixture Lookup], 0))</f>
        <v>#N/A</v>
      </c>
      <c r="AJ64" s="53" t="e">
        <f>INDEX(Table_TRM_Fixtures[Fixture Wattage for Baseline Calculations],MATCH(Table_PrescriptLights_Input[[#This Row],[Detailed Baseline Fixture Lookup]], Table_TRM_Fixtures[Detailed Prescriptive Baseline Fixture Lookup],0))</f>
        <v>#N/A</v>
      </c>
      <c r="AK64" s="127" t="e">
        <f>INDEX(Table_Bldg_IEFD_IEFC[IEFE], MATCH( Input_HVACType,Table_Bldg_IEFD_IEFC[List_HVAC], 0))</f>
        <v>#N/A</v>
      </c>
      <c r="AL64" s="127" t="e">
        <f>INDEX( Table_Bldg_IEFD_IEFC[IEFE],MATCH( Input_HVACType, Table_Bldg_IEFD_IEFC[List_HVAC],0 ))</f>
        <v>#N/A</v>
      </c>
      <c r="AM64" s="127" t="e">
        <f>INDEX(Table_Control_PAF[PAF], MATCH(Table_PrescriptLights_Input[[#This Row],[Existing controls]], Table_Control_PAF[List_Control_Types], 0 ) )</f>
        <v>#N/A</v>
      </c>
      <c r="AN64"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64"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64"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64" s="53">
        <f>IFERROR(LEFT(Table_PrescriptLights_Input[[#This Row],[Existing lighting type]], FIND(",",Table_PrescriptLights_Input[[#This Row],[Existing lighting type]])-1), Table_PrescriptLights_Input[[#This Row],[Existing lighting type]])</f>
        <v>0</v>
      </c>
      <c r="AR64" s="53" t="str">
        <f>_xlfn.CONCAT(Table_PrescriptLights_Input[[#This Row],[Generalized Fixture Type]], ":",Table_PrescriptLights_Input[[#This Row],[Existing lamps per fixture]],":",Table_PrescriptLights_Input[[#This Row],[Existing lamp wattage]])</f>
        <v>0::</v>
      </c>
      <c r="AS64" s="53" t="e">
        <f>INDEX(Table_TRM_Fixtures[Fixture Code], MATCH(Table_PrescriptLights_Input[[#This Row],[Generalized Fixture Baseline Lookup]], Table_TRM_Fixtures[Generalized Baseline Fixture Lookup], 0))</f>
        <v>#N/A</v>
      </c>
      <c r="AT64"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64"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64"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64"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64"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64" s="53" t="e">
        <f>IFERROR(Table_PrescriptLights_Input[[#This Row],[Detailed Baseline Fixture Code]],Table_PrescriptLights_Input[[#This Row],[Generalized Baseline Fixture Code]])</f>
        <v>#N/A</v>
      </c>
      <c r="AZ64" s="4"/>
      <c r="BA64" s="4"/>
      <c r="BB64" s="4"/>
      <c r="BC64" s="4"/>
      <c r="BD64" s="4"/>
      <c r="BE64" s="4"/>
      <c r="BF64" s="4"/>
      <c r="BG64" s="4"/>
      <c r="BH64" s="4"/>
      <c r="BI64" s="4"/>
      <c r="BJ64" s="4"/>
      <c r="BK64" s="4"/>
      <c r="BL64" s="4"/>
      <c r="BM64" s="4"/>
      <c r="BN64" s="4"/>
      <c r="BO64" s="4"/>
      <c r="BP64" s="4"/>
      <c r="BQ64" s="4"/>
    </row>
    <row r="65" spans="1:69" x14ac:dyDescent="0.2">
      <c r="A65" s="4"/>
      <c r="B65" s="189">
        <v>61</v>
      </c>
      <c r="C65" s="61" t="str">
        <f>IFERROR(INDEX(Table_Prescript_Meas[Measure Number], MATCH(Table_PrescriptLights_Input[[#This Row],[Prescriptive lighting measure]], Table_Prescript_Meas[Measure Description], 0)), "")</f>
        <v/>
      </c>
      <c r="D65" s="192"/>
      <c r="E65" s="179"/>
      <c r="F65" s="179"/>
      <c r="G65" s="61" t="str">
        <f>IFERROR(INDEX(Table_Prescript_Meas[Unit], MATCH(Table_PrescriptLights_Input[[#This Row],[Measure number]], Table_Prescript_Meas[Measure Number], 0)), "")</f>
        <v/>
      </c>
      <c r="H65" s="180"/>
      <c r="I65" s="179"/>
      <c r="J65" s="179"/>
      <c r="K65" s="180"/>
      <c r="L65" s="179"/>
      <c r="M65" s="180"/>
      <c r="N65" s="180"/>
      <c r="O65" s="180"/>
      <c r="P65" s="180"/>
      <c r="Q65" s="180"/>
      <c r="R65" s="181"/>
      <c r="S65" s="181"/>
      <c r="T65"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65"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65" s="69" t="str">
        <f>IF(Table_PrescriptLights_Input[[#This Row],[Prescriptive lighting measure]]="","",Table_PrescriptLights_Input[[#This Row],[Calculated Energy Savings]])</f>
        <v/>
      </c>
      <c r="W65" s="73" t="str">
        <f>IF(Table_PrescriptLights_Input[[#This Row],[Prescriptive lighting measure]]="","",Table_PrescriptLights_Input[[#This Row],[Calculated Demand Savings]])</f>
        <v/>
      </c>
      <c r="X65" s="67" t="str">
        <f>IFERROR(Table_PrescriptLights_Input[[#This Row],[Energy savings (kWh)]]*Input_AvgkWhRate, "")</f>
        <v/>
      </c>
      <c r="Y65" s="67" t="str">
        <f>IF(Table_PrescriptLights_Input[[#This Row],[Prescriptive lighting measure]]="", "",Table_PrescriptLights_Input[[#This Row],[Material cost per fixture]]*Table_PrescriptLights_Input[[#This Row],[Number of proposed fixtures]]+Table_PrescriptLights_Input[[#This Row],[Total labor cost]])</f>
        <v/>
      </c>
      <c r="Z65" s="67" t="str">
        <f>IFERROR(Table_PrescriptLights_Input[[#This Row],[Gross measure cost]]-Table_PrescriptLights_Input[[#This Row],[Estimated incentive]], "")</f>
        <v/>
      </c>
      <c r="AA65" s="69" t="str">
        <f t="shared" si="1"/>
        <v/>
      </c>
      <c r="AB65" s="69" t="str">
        <f>IF(ISNUMBER(Table_PrescriptLights_Input[[#This Row],[Detailed Fixture Calculation Wattage]]), "Detailed", "General")</f>
        <v>General</v>
      </c>
      <c r="AC65" s="53" t="e">
        <f>INDEX(Table_IntExt_Match[Measure Selection List], MATCH(Table_PrescriptLights_Input[[#This Row],[Interior or exterior?]], Table_IntExt_Match[Inetrior or Exterior], 0))</f>
        <v>#N/A</v>
      </c>
      <c r="AD65" s="53" t="e">
        <f>INDEX(Table_Prescript_Meas[Unit], MATCH(C65, Table_Prescript_Meas[Measure Number], 0))</f>
        <v>#N/A</v>
      </c>
      <c r="AE65" s="53" t="e">
        <f>INDEX(Table_Prescript_Meas[Lighting Type Selection List], MATCH(C65, Table_Prescript_Meas[Measure Number], 0))</f>
        <v>#N/A</v>
      </c>
      <c r="AF65" s="53" t="e">
        <f>INDEX(Table_Prescript_Meas[AOH Type], MATCH(Table_PrescriptLights_Input[[#This Row],[Measure number]], Table_Prescript_Meas[Measure Number],0))</f>
        <v>#N/A</v>
      </c>
      <c r="AG65"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65" s="53" t="str">
        <f>_xlfn.CONCAT(Table_PrescriptLights_Input[[#This Row],[Existing lighting type]],":",Table_PrescriptLights_Input[[#This Row],[Existing lamps per fixture]], ":",Table_PrescriptLights_Input[[#This Row],[Existing lamp wattage]])</f>
        <v>::</v>
      </c>
      <c r="AI65" s="53" t="e">
        <f>INDEX(Table_TRM_Fixtures[Fixture Code], MATCH(Table_PrescriptLights_Input[[#This Row],[Detailed Baseline Fixture Lookup]], Table_TRM_Fixtures[Detailed Prescriptive Baseline Fixture Lookup], 0))</f>
        <v>#N/A</v>
      </c>
      <c r="AJ65" s="53" t="e">
        <f>INDEX(Table_TRM_Fixtures[Fixture Wattage for Baseline Calculations],MATCH(Table_PrescriptLights_Input[[#This Row],[Detailed Baseline Fixture Lookup]], Table_TRM_Fixtures[Detailed Prescriptive Baseline Fixture Lookup],0))</f>
        <v>#N/A</v>
      </c>
      <c r="AK65" s="127" t="e">
        <f>INDEX(Table_Bldg_IEFD_IEFC[IEFE], MATCH( Input_HVACType,Table_Bldg_IEFD_IEFC[List_HVAC], 0))</f>
        <v>#N/A</v>
      </c>
      <c r="AL65" s="127" t="e">
        <f>INDEX( Table_Bldg_IEFD_IEFC[IEFE],MATCH( Input_HVACType, Table_Bldg_IEFD_IEFC[List_HVAC],0 ))</f>
        <v>#N/A</v>
      </c>
      <c r="AM65" s="127" t="e">
        <f>INDEX(Table_Control_PAF[PAF], MATCH(Table_PrescriptLights_Input[[#This Row],[Existing controls]], Table_Control_PAF[List_Control_Types], 0 ) )</f>
        <v>#N/A</v>
      </c>
      <c r="AN65"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65"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65"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65" s="53">
        <f>IFERROR(LEFT(Table_PrescriptLights_Input[[#This Row],[Existing lighting type]], FIND(",",Table_PrescriptLights_Input[[#This Row],[Existing lighting type]])-1), Table_PrescriptLights_Input[[#This Row],[Existing lighting type]])</f>
        <v>0</v>
      </c>
      <c r="AR65" s="53" t="str">
        <f>_xlfn.CONCAT(Table_PrescriptLights_Input[[#This Row],[Generalized Fixture Type]], ":",Table_PrescriptLights_Input[[#This Row],[Existing lamps per fixture]],":",Table_PrescriptLights_Input[[#This Row],[Existing lamp wattage]])</f>
        <v>0::</v>
      </c>
      <c r="AS65" s="53" t="e">
        <f>INDEX(Table_TRM_Fixtures[Fixture Code], MATCH(Table_PrescriptLights_Input[[#This Row],[Generalized Fixture Baseline Lookup]], Table_TRM_Fixtures[Generalized Baseline Fixture Lookup], 0))</f>
        <v>#N/A</v>
      </c>
      <c r="AT65"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65"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65"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65"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65"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65" s="53" t="e">
        <f>IFERROR(Table_PrescriptLights_Input[[#This Row],[Detailed Baseline Fixture Code]],Table_PrescriptLights_Input[[#This Row],[Generalized Baseline Fixture Code]])</f>
        <v>#N/A</v>
      </c>
      <c r="AZ65" s="4"/>
      <c r="BA65" s="4"/>
      <c r="BB65" s="4"/>
      <c r="BC65" s="4"/>
      <c r="BD65" s="4"/>
      <c r="BE65" s="4"/>
      <c r="BF65" s="4"/>
      <c r="BG65" s="4"/>
      <c r="BH65" s="4"/>
      <c r="BI65" s="4"/>
      <c r="BJ65" s="4"/>
      <c r="BK65" s="4"/>
      <c r="BL65" s="4"/>
      <c r="BM65" s="4"/>
      <c r="BN65" s="4"/>
      <c r="BO65" s="4"/>
      <c r="BP65" s="4"/>
      <c r="BQ65" s="4"/>
    </row>
    <row r="66" spans="1:69" x14ac:dyDescent="0.2">
      <c r="A66" s="4"/>
      <c r="B66" s="189">
        <v>62</v>
      </c>
      <c r="C66" s="61" t="str">
        <f>IFERROR(INDEX(Table_Prescript_Meas[Measure Number], MATCH(Table_PrescriptLights_Input[[#This Row],[Prescriptive lighting measure]], Table_Prescript_Meas[Measure Description], 0)), "")</f>
        <v/>
      </c>
      <c r="D66" s="192"/>
      <c r="E66" s="179"/>
      <c r="F66" s="179"/>
      <c r="G66" s="61" t="str">
        <f>IFERROR(INDEX(Table_Prescript_Meas[Unit], MATCH(Table_PrescriptLights_Input[[#This Row],[Measure number]], Table_Prescript_Meas[Measure Number], 0)), "")</f>
        <v/>
      </c>
      <c r="H66" s="180"/>
      <c r="I66" s="179"/>
      <c r="J66" s="179"/>
      <c r="K66" s="180"/>
      <c r="L66" s="179"/>
      <c r="M66" s="180"/>
      <c r="N66" s="180"/>
      <c r="O66" s="180"/>
      <c r="P66" s="180"/>
      <c r="Q66" s="180"/>
      <c r="R66" s="181"/>
      <c r="S66" s="181"/>
      <c r="T66"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66"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66" s="69" t="str">
        <f>IF(Table_PrescriptLights_Input[[#This Row],[Prescriptive lighting measure]]="","",Table_PrescriptLights_Input[[#This Row],[Calculated Energy Savings]])</f>
        <v/>
      </c>
      <c r="W66" s="73" t="str">
        <f>IF(Table_PrescriptLights_Input[[#This Row],[Prescriptive lighting measure]]="","",Table_PrescriptLights_Input[[#This Row],[Calculated Demand Savings]])</f>
        <v/>
      </c>
      <c r="X66" s="67" t="str">
        <f>IFERROR(Table_PrescriptLights_Input[[#This Row],[Energy savings (kWh)]]*Input_AvgkWhRate, "")</f>
        <v/>
      </c>
      <c r="Y66" s="67" t="str">
        <f>IF(Table_PrescriptLights_Input[[#This Row],[Prescriptive lighting measure]]="", "",Table_PrescriptLights_Input[[#This Row],[Material cost per fixture]]*Table_PrescriptLights_Input[[#This Row],[Number of proposed fixtures]]+Table_PrescriptLights_Input[[#This Row],[Total labor cost]])</f>
        <v/>
      </c>
      <c r="Z66" s="67" t="str">
        <f>IFERROR(Table_PrescriptLights_Input[[#This Row],[Gross measure cost]]-Table_PrescriptLights_Input[[#This Row],[Estimated incentive]], "")</f>
        <v/>
      </c>
      <c r="AA66" s="69" t="str">
        <f t="shared" si="1"/>
        <v/>
      </c>
      <c r="AB66" s="69" t="str">
        <f>IF(ISNUMBER(Table_PrescriptLights_Input[[#This Row],[Detailed Fixture Calculation Wattage]]), "Detailed", "General")</f>
        <v>General</v>
      </c>
      <c r="AC66" s="53" t="e">
        <f>INDEX(Table_IntExt_Match[Measure Selection List], MATCH(Table_PrescriptLights_Input[[#This Row],[Interior or exterior?]], Table_IntExt_Match[Inetrior or Exterior], 0))</f>
        <v>#N/A</v>
      </c>
      <c r="AD66" s="53" t="e">
        <f>INDEX(Table_Prescript_Meas[Unit], MATCH(C66, Table_Prescript_Meas[Measure Number], 0))</f>
        <v>#N/A</v>
      </c>
      <c r="AE66" s="53" t="e">
        <f>INDEX(Table_Prescript_Meas[Lighting Type Selection List], MATCH(C66, Table_Prescript_Meas[Measure Number], 0))</f>
        <v>#N/A</v>
      </c>
      <c r="AF66" s="53" t="e">
        <f>INDEX(Table_Prescript_Meas[AOH Type], MATCH(Table_PrescriptLights_Input[[#This Row],[Measure number]], Table_Prescript_Meas[Measure Number],0))</f>
        <v>#N/A</v>
      </c>
      <c r="AG66"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66" s="53" t="str">
        <f>_xlfn.CONCAT(Table_PrescriptLights_Input[[#This Row],[Existing lighting type]],":",Table_PrescriptLights_Input[[#This Row],[Existing lamps per fixture]], ":",Table_PrescriptLights_Input[[#This Row],[Existing lamp wattage]])</f>
        <v>::</v>
      </c>
      <c r="AI66" s="53" t="e">
        <f>INDEX(Table_TRM_Fixtures[Fixture Code], MATCH(Table_PrescriptLights_Input[[#This Row],[Detailed Baseline Fixture Lookup]], Table_TRM_Fixtures[Detailed Prescriptive Baseline Fixture Lookup], 0))</f>
        <v>#N/A</v>
      </c>
      <c r="AJ66" s="53" t="e">
        <f>INDEX(Table_TRM_Fixtures[Fixture Wattage for Baseline Calculations],MATCH(Table_PrescriptLights_Input[[#This Row],[Detailed Baseline Fixture Lookup]], Table_TRM_Fixtures[Detailed Prescriptive Baseline Fixture Lookup],0))</f>
        <v>#N/A</v>
      </c>
      <c r="AK66" s="127" t="e">
        <f>INDEX(Table_Bldg_IEFD_IEFC[IEFE], MATCH( Input_HVACType,Table_Bldg_IEFD_IEFC[List_HVAC], 0))</f>
        <v>#N/A</v>
      </c>
      <c r="AL66" s="127" t="e">
        <f>INDEX( Table_Bldg_IEFD_IEFC[IEFE],MATCH( Input_HVACType, Table_Bldg_IEFD_IEFC[List_HVAC],0 ))</f>
        <v>#N/A</v>
      </c>
      <c r="AM66" s="127" t="e">
        <f>INDEX(Table_Control_PAF[PAF], MATCH(Table_PrescriptLights_Input[[#This Row],[Existing controls]], Table_Control_PAF[List_Control_Types], 0 ) )</f>
        <v>#N/A</v>
      </c>
      <c r="AN66"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66"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66"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66" s="53">
        <f>IFERROR(LEFT(Table_PrescriptLights_Input[[#This Row],[Existing lighting type]], FIND(",",Table_PrescriptLights_Input[[#This Row],[Existing lighting type]])-1), Table_PrescriptLights_Input[[#This Row],[Existing lighting type]])</f>
        <v>0</v>
      </c>
      <c r="AR66" s="53" t="str">
        <f>_xlfn.CONCAT(Table_PrescriptLights_Input[[#This Row],[Generalized Fixture Type]], ":",Table_PrescriptLights_Input[[#This Row],[Existing lamps per fixture]],":",Table_PrescriptLights_Input[[#This Row],[Existing lamp wattage]])</f>
        <v>0::</v>
      </c>
      <c r="AS66" s="53" t="e">
        <f>INDEX(Table_TRM_Fixtures[Fixture Code], MATCH(Table_PrescriptLights_Input[[#This Row],[Generalized Fixture Baseline Lookup]], Table_TRM_Fixtures[Generalized Baseline Fixture Lookup], 0))</f>
        <v>#N/A</v>
      </c>
      <c r="AT66"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66"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66"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66"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66"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66" s="53" t="e">
        <f>IFERROR(Table_PrescriptLights_Input[[#This Row],[Detailed Baseline Fixture Code]],Table_PrescriptLights_Input[[#This Row],[Generalized Baseline Fixture Code]])</f>
        <v>#N/A</v>
      </c>
      <c r="AZ66" s="4"/>
      <c r="BA66" s="4"/>
      <c r="BB66" s="4"/>
      <c r="BC66" s="4"/>
      <c r="BD66" s="4"/>
      <c r="BE66" s="4"/>
      <c r="BF66" s="4"/>
      <c r="BG66" s="4"/>
      <c r="BH66" s="4"/>
      <c r="BI66" s="4"/>
      <c r="BJ66" s="4"/>
      <c r="BK66" s="4"/>
      <c r="BL66" s="4"/>
      <c r="BM66" s="4"/>
      <c r="BN66" s="4"/>
      <c r="BO66" s="4"/>
      <c r="BP66" s="4"/>
      <c r="BQ66" s="4"/>
    </row>
    <row r="67" spans="1:69" x14ac:dyDescent="0.2">
      <c r="A67" s="4"/>
      <c r="B67" s="189">
        <v>63</v>
      </c>
      <c r="C67" s="61" t="str">
        <f>IFERROR(INDEX(Table_Prescript_Meas[Measure Number], MATCH(Table_PrescriptLights_Input[[#This Row],[Prescriptive lighting measure]], Table_Prescript_Meas[Measure Description], 0)), "")</f>
        <v/>
      </c>
      <c r="D67" s="192"/>
      <c r="E67" s="179"/>
      <c r="F67" s="179"/>
      <c r="G67" s="61" t="str">
        <f>IFERROR(INDEX(Table_Prescript_Meas[Unit], MATCH(Table_PrescriptLights_Input[[#This Row],[Measure number]], Table_Prescript_Meas[Measure Number], 0)), "")</f>
        <v/>
      </c>
      <c r="H67" s="180"/>
      <c r="I67" s="179"/>
      <c r="J67" s="179"/>
      <c r="K67" s="180"/>
      <c r="L67" s="179"/>
      <c r="M67" s="180"/>
      <c r="N67" s="180"/>
      <c r="O67" s="180"/>
      <c r="P67" s="180"/>
      <c r="Q67" s="180"/>
      <c r="R67" s="181"/>
      <c r="S67" s="181"/>
      <c r="T67"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67"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67" s="69" t="str">
        <f>IF(Table_PrescriptLights_Input[[#This Row],[Prescriptive lighting measure]]="","",Table_PrescriptLights_Input[[#This Row],[Calculated Energy Savings]])</f>
        <v/>
      </c>
      <c r="W67" s="73" t="str">
        <f>IF(Table_PrescriptLights_Input[[#This Row],[Prescriptive lighting measure]]="","",Table_PrescriptLights_Input[[#This Row],[Calculated Demand Savings]])</f>
        <v/>
      </c>
      <c r="X67" s="67" t="str">
        <f>IFERROR(Table_PrescriptLights_Input[[#This Row],[Energy savings (kWh)]]*Input_AvgkWhRate, "")</f>
        <v/>
      </c>
      <c r="Y67" s="67" t="str">
        <f>IF(Table_PrescriptLights_Input[[#This Row],[Prescriptive lighting measure]]="", "",Table_PrescriptLights_Input[[#This Row],[Material cost per fixture]]*Table_PrescriptLights_Input[[#This Row],[Number of proposed fixtures]]+Table_PrescriptLights_Input[[#This Row],[Total labor cost]])</f>
        <v/>
      </c>
      <c r="Z67" s="67" t="str">
        <f>IFERROR(Table_PrescriptLights_Input[[#This Row],[Gross measure cost]]-Table_PrescriptLights_Input[[#This Row],[Estimated incentive]], "")</f>
        <v/>
      </c>
      <c r="AA67" s="69" t="str">
        <f t="shared" si="1"/>
        <v/>
      </c>
      <c r="AB67" s="69" t="str">
        <f>IF(ISNUMBER(Table_PrescriptLights_Input[[#This Row],[Detailed Fixture Calculation Wattage]]), "Detailed", "General")</f>
        <v>General</v>
      </c>
      <c r="AC67" s="53" t="e">
        <f>INDEX(Table_IntExt_Match[Measure Selection List], MATCH(Table_PrescriptLights_Input[[#This Row],[Interior or exterior?]], Table_IntExt_Match[Inetrior or Exterior], 0))</f>
        <v>#N/A</v>
      </c>
      <c r="AD67" s="53" t="e">
        <f>INDEX(Table_Prescript_Meas[Unit], MATCH(C67, Table_Prescript_Meas[Measure Number], 0))</f>
        <v>#N/A</v>
      </c>
      <c r="AE67" s="53" t="e">
        <f>INDEX(Table_Prescript_Meas[Lighting Type Selection List], MATCH(C67, Table_Prescript_Meas[Measure Number], 0))</f>
        <v>#N/A</v>
      </c>
      <c r="AF67" s="53" t="e">
        <f>INDEX(Table_Prescript_Meas[AOH Type], MATCH(Table_PrescriptLights_Input[[#This Row],[Measure number]], Table_Prescript_Meas[Measure Number],0))</f>
        <v>#N/A</v>
      </c>
      <c r="AG67"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67" s="53" t="str">
        <f>_xlfn.CONCAT(Table_PrescriptLights_Input[[#This Row],[Existing lighting type]],":",Table_PrescriptLights_Input[[#This Row],[Existing lamps per fixture]], ":",Table_PrescriptLights_Input[[#This Row],[Existing lamp wattage]])</f>
        <v>::</v>
      </c>
      <c r="AI67" s="53" t="e">
        <f>INDEX(Table_TRM_Fixtures[Fixture Code], MATCH(Table_PrescriptLights_Input[[#This Row],[Detailed Baseline Fixture Lookup]], Table_TRM_Fixtures[Detailed Prescriptive Baseline Fixture Lookup], 0))</f>
        <v>#N/A</v>
      </c>
      <c r="AJ67" s="53" t="e">
        <f>INDEX(Table_TRM_Fixtures[Fixture Wattage for Baseline Calculations],MATCH(Table_PrescriptLights_Input[[#This Row],[Detailed Baseline Fixture Lookup]], Table_TRM_Fixtures[Detailed Prescriptive Baseline Fixture Lookup],0))</f>
        <v>#N/A</v>
      </c>
      <c r="AK67" s="127" t="e">
        <f>INDEX(Table_Bldg_IEFD_IEFC[IEFE], MATCH( Input_HVACType,Table_Bldg_IEFD_IEFC[List_HVAC], 0))</f>
        <v>#N/A</v>
      </c>
      <c r="AL67" s="127" t="e">
        <f>INDEX( Table_Bldg_IEFD_IEFC[IEFE],MATCH( Input_HVACType, Table_Bldg_IEFD_IEFC[List_HVAC],0 ))</f>
        <v>#N/A</v>
      </c>
      <c r="AM67" s="127" t="e">
        <f>INDEX(Table_Control_PAF[PAF], MATCH(Table_PrescriptLights_Input[[#This Row],[Existing controls]], Table_Control_PAF[List_Control_Types], 0 ) )</f>
        <v>#N/A</v>
      </c>
      <c r="AN67"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67"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67"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67" s="53">
        <f>IFERROR(LEFT(Table_PrescriptLights_Input[[#This Row],[Existing lighting type]], FIND(",",Table_PrescriptLights_Input[[#This Row],[Existing lighting type]])-1), Table_PrescriptLights_Input[[#This Row],[Existing lighting type]])</f>
        <v>0</v>
      </c>
      <c r="AR67" s="53" t="str">
        <f>_xlfn.CONCAT(Table_PrescriptLights_Input[[#This Row],[Generalized Fixture Type]], ":",Table_PrescriptLights_Input[[#This Row],[Existing lamps per fixture]],":",Table_PrescriptLights_Input[[#This Row],[Existing lamp wattage]])</f>
        <v>0::</v>
      </c>
      <c r="AS67" s="53" t="e">
        <f>INDEX(Table_TRM_Fixtures[Fixture Code], MATCH(Table_PrescriptLights_Input[[#This Row],[Generalized Fixture Baseline Lookup]], Table_TRM_Fixtures[Generalized Baseline Fixture Lookup], 0))</f>
        <v>#N/A</v>
      </c>
      <c r="AT67"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67"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67"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67"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67"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67" s="53" t="e">
        <f>IFERROR(Table_PrescriptLights_Input[[#This Row],[Detailed Baseline Fixture Code]],Table_PrescriptLights_Input[[#This Row],[Generalized Baseline Fixture Code]])</f>
        <v>#N/A</v>
      </c>
      <c r="AZ67" s="4"/>
      <c r="BA67" s="4"/>
      <c r="BB67" s="4"/>
      <c r="BC67" s="4"/>
      <c r="BD67" s="4"/>
      <c r="BE67" s="4"/>
      <c r="BF67" s="4"/>
      <c r="BG67" s="4"/>
      <c r="BH67" s="4"/>
      <c r="BI67" s="4"/>
      <c r="BJ67" s="4"/>
      <c r="BK67" s="4"/>
      <c r="BL67" s="4"/>
      <c r="BM67" s="4"/>
      <c r="BN67" s="4"/>
      <c r="BO67" s="4"/>
      <c r="BP67" s="4"/>
      <c r="BQ67" s="4"/>
    </row>
    <row r="68" spans="1:69" x14ac:dyDescent="0.2">
      <c r="A68" s="4"/>
      <c r="B68" s="189">
        <v>64</v>
      </c>
      <c r="C68" s="61" t="str">
        <f>IFERROR(INDEX(Table_Prescript_Meas[Measure Number], MATCH(Table_PrescriptLights_Input[[#This Row],[Prescriptive lighting measure]], Table_Prescript_Meas[Measure Description], 0)), "")</f>
        <v/>
      </c>
      <c r="D68" s="192"/>
      <c r="E68" s="179"/>
      <c r="F68" s="179"/>
      <c r="G68" s="61" t="str">
        <f>IFERROR(INDEX(Table_Prescript_Meas[Unit], MATCH(Table_PrescriptLights_Input[[#This Row],[Measure number]], Table_Prescript_Meas[Measure Number], 0)), "")</f>
        <v/>
      </c>
      <c r="H68" s="180"/>
      <c r="I68" s="179"/>
      <c r="J68" s="179"/>
      <c r="K68" s="180"/>
      <c r="L68" s="179"/>
      <c r="M68" s="180"/>
      <c r="N68" s="180"/>
      <c r="O68" s="180"/>
      <c r="P68" s="180"/>
      <c r="Q68" s="180"/>
      <c r="R68" s="181"/>
      <c r="S68" s="181"/>
      <c r="T68"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68"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68" s="69" t="str">
        <f>IF(Table_PrescriptLights_Input[[#This Row],[Prescriptive lighting measure]]="","",Table_PrescriptLights_Input[[#This Row],[Calculated Energy Savings]])</f>
        <v/>
      </c>
      <c r="W68" s="73" t="str">
        <f>IF(Table_PrescriptLights_Input[[#This Row],[Prescriptive lighting measure]]="","",Table_PrescriptLights_Input[[#This Row],[Calculated Demand Savings]])</f>
        <v/>
      </c>
      <c r="X68" s="67" t="str">
        <f>IFERROR(Table_PrescriptLights_Input[[#This Row],[Energy savings (kWh)]]*Input_AvgkWhRate, "")</f>
        <v/>
      </c>
      <c r="Y68" s="67" t="str">
        <f>IF(Table_PrescriptLights_Input[[#This Row],[Prescriptive lighting measure]]="", "",Table_PrescriptLights_Input[[#This Row],[Material cost per fixture]]*Table_PrescriptLights_Input[[#This Row],[Number of proposed fixtures]]+Table_PrescriptLights_Input[[#This Row],[Total labor cost]])</f>
        <v/>
      </c>
      <c r="Z68" s="67" t="str">
        <f>IFERROR(Table_PrescriptLights_Input[[#This Row],[Gross measure cost]]-Table_PrescriptLights_Input[[#This Row],[Estimated incentive]], "")</f>
        <v/>
      </c>
      <c r="AA68" s="69" t="str">
        <f t="shared" si="1"/>
        <v/>
      </c>
      <c r="AB68" s="69" t="str">
        <f>IF(ISNUMBER(Table_PrescriptLights_Input[[#This Row],[Detailed Fixture Calculation Wattage]]), "Detailed", "General")</f>
        <v>General</v>
      </c>
      <c r="AC68" s="53" t="e">
        <f>INDEX(Table_IntExt_Match[Measure Selection List], MATCH(Table_PrescriptLights_Input[[#This Row],[Interior or exterior?]], Table_IntExt_Match[Inetrior or Exterior], 0))</f>
        <v>#N/A</v>
      </c>
      <c r="AD68" s="53" t="e">
        <f>INDEX(Table_Prescript_Meas[Unit], MATCH(C68, Table_Prescript_Meas[Measure Number], 0))</f>
        <v>#N/A</v>
      </c>
      <c r="AE68" s="53" t="e">
        <f>INDEX(Table_Prescript_Meas[Lighting Type Selection List], MATCH(C68, Table_Prescript_Meas[Measure Number], 0))</f>
        <v>#N/A</v>
      </c>
      <c r="AF68" s="53" t="e">
        <f>INDEX(Table_Prescript_Meas[AOH Type], MATCH(Table_PrescriptLights_Input[[#This Row],[Measure number]], Table_Prescript_Meas[Measure Number],0))</f>
        <v>#N/A</v>
      </c>
      <c r="AG68"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68" s="53" t="str">
        <f>_xlfn.CONCAT(Table_PrescriptLights_Input[[#This Row],[Existing lighting type]],":",Table_PrescriptLights_Input[[#This Row],[Existing lamps per fixture]], ":",Table_PrescriptLights_Input[[#This Row],[Existing lamp wattage]])</f>
        <v>::</v>
      </c>
      <c r="AI68" s="53" t="e">
        <f>INDEX(Table_TRM_Fixtures[Fixture Code], MATCH(Table_PrescriptLights_Input[[#This Row],[Detailed Baseline Fixture Lookup]], Table_TRM_Fixtures[Detailed Prescriptive Baseline Fixture Lookup], 0))</f>
        <v>#N/A</v>
      </c>
      <c r="AJ68" s="53" t="e">
        <f>INDEX(Table_TRM_Fixtures[Fixture Wattage for Baseline Calculations],MATCH(Table_PrescriptLights_Input[[#This Row],[Detailed Baseline Fixture Lookup]], Table_TRM_Fixtures[Detailed Prescriptive Baseline Fixture Lookup],0))</f>
        <v>#N/A</v>
      </c>
      <c r="AK68" s="127" t="e">
        <f>INDEX(Table_Bldg_IEFD_IEFC[IEFE], MATCH( Input_HVACType,Table_Bldg_IEFD_IEFC[List_HVAC], 0))</f>
        <v>#N/A</v>
      </c>
      <c r="AL68" s="127" t="e">
        <f>INDEX( Table_Bldg_IEFD_IEFC[IEFE],MATCH( Input_HVACType, Table_Bldg_IEFD_IEFC[List_HVAC],0 ))</f>
        <v>#N/A</v>
      </c>
      <c r="AM68" s="127" t="e">
        <f>INDEX(Table_Control_PAF[PAF], MATCH(Table_PrescriptLights_Input[[#This Row],[Existing controls]], Table_Control_PAF[List_Control_Types], 0 ) )</f>
        <v>#N/A</v>
      </c>
      <c r="AN68"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68"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68"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68" s="53">
        <f>IFERROR(LEFT(Table_PrescriptLights_Input[[#This Row],[Existing lighting type]], FIND(",",Table_PrescriptLights_Input[[#This Row],[Existing lighting type]])-1), Table_PrescriptLights_Input[[#This Row],[Existing lighting type]])</f>
        <v>0</v>
      </c>
      <c r="AR68" s="53" t="str">
        <f>_xlfn.CONCAT(Table_PrescriptLights_Input[[#This Row],[Generalized Fixture Type]], ":",Table_PrescriptLights_Input[[#This Row],[Existing lamps per fixture]],":",Table_PrescriptLights_Input[[#This Row],[Existing lamp wattage]])</f>
        <v>0::</v>
      </c>
      <c r="AS68" s="53" t="e">
        <f>INDEX(Table_TRM_Fixtures[Fixture Code], MATCH(Table_PrescriptLights_Input[[#This Row],[Generalized Fixture Baseline Lookup]], Table_TRM_Fixtures[Generalized Baseline Fixture Lookup], 0))</f>
        <v>#N/A</v>
      </c>
      <c r="AT68"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68"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68"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68"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68"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68" s="53" t="e">
        <f>IFERROR(Table_PrescriptLights_Input[[#This Row],[Detailed Baseline Fixture Code]],Table_PrescriptLights_Input[[#This Row],[Generalized Baseline Fixture Code]])</f>
        <v>#N/A</v>
      </c>
      <c r="AZ68" s="4"/>
      <c r="BA68" s="4"/>
      <c r="BB68" s="4"/>
      <c r="BC68" s="4"/>
      <c r="BD68" s="4"/>
      <c r="BE68" s="4"/>
      <c r="BF68" s="4"/>
      <c r="BG68" s="4"/>
      <c r="BH68" s="4"/>
      <c r="BI68" s="4"/>
      <c r="BJ68" s="4"/>
      <c r="BK68" s="4"/>
      <c r="BL68" s="4"/>
      <c r="BM68" s="4"/>
      <c r="BN68" s="4"/>
      <c r="BO68" s="4"/>
      <c r="BP68" s="4"/>
      <c r="BQ68" s="4"/>
    </row>
    <row r="69" spans="1:69" x14ac:dyDescent="0.2">
      <c r="A69" s="4"/>
      <c r="B69" s="189">
        <v>65</v>
      </c>
      <c r="C69" s="61" t="str">
        <f>IFERROR(INDEX(Table_Prescript_Meas[Measure Number], MATCH(Table_PrescriptLights_Input[[#This Row],[Prescriptive lighting measure]], Table_Prescript_Meas[Measure Description], 0)), "")</f>
        <v/>
      </c>
      <c r="D69" s="192"/>
      <c r="E69" s="179"/>
      <c r="F69" s="179"/>
      <c r="G69" s="61" t="str">
        <f>IFERROR(INDEX(Table_Prescript_Meas[Unit], MATCH(Table_PrescriptLights_Input[[#This Row],[Measure number]], Table_Prescript_Meas[Measure Number], 0)), "")</f>
        <v/>
      </c>
      <c r="H69" s="180"/>
      <c r="I69" s="179"/>
      <c r="J69" s="179"/>
      <c r="K69" s="180"/>
      <c r="L69" s="179"/>
      <c r="M69" s="180"/>
      <c r="N69" s="180"/>
      <c r="O69" s="180"/>
      <c r="P69" s="180"/>
      <c r="Q69" s="180"/>
      <c r="R69" s="181"/>
      <c r="S69" s="181"/>
      <c r="T69"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69"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69" s="69" t="str">
        <f>IF(Table_PrescriptLights_Input[[#This Row],[Prescriptive lighting measure]]="","",Table_PrescriptLights_Input[[#This Row],[Calculated Energy Savings]])</f>
        <v/>
      </c>
      <c r="W69" s="73" t="str">
        <f>IF(Table_PrescriptLights_Input[[#This Row],[Prescriptive lighting measure]]="","",Table_PrescriptLights_Input[[#This Row],[Calculated Demand Savings]])</f>
        <v/>
      </c>
      <c r="X69" s="67" t="str">
        <f>IFERROR(Table_PrescriptLights_Input[[#This Row],[Energy savings (kWh)]]*Input_AvgkWhRate, "")</f>
        <v/>
      </c>
      <c r="Y69" s="67" t="str">
        <f>IF(Table_PrescriptLights_Input[[#This Row],[Prescriptive lighting measure]]="", "",Table_PrescriptLights_Input[[#This Row],[Material cost per fixture]]*Table_PrescriptLights_Input[[#This Row],[Number of proposed fixtures]]+Table_PrescriptLights_Input[[#This Row],[Total labor cost]])</f>
        <v/>
      </c>
      <c r="Z69" s="67" t="str">
        <f>IFERROR(Table_PrescriptLights_Input[[#This Row],[Gross measure cost]]-Table_PrescriptLights_Input[[#This Row],[Estimated incentive]], "")</f>
        <v/>
      </c>
      <c r="AA69" s="69" t="str">
        <f t="shared" ref="AA69:AA100" si="2">IFERROR($Z69/$X69,"")</f>
        <v/>
      </c>
      <c r="AB69" s="69" t="str">
        <f>IF(ISNUMBER(Table_PrescriptLights_Input[[#This Row],[Detailed Fixture Calculation Wattage]]), "Detailed", "General")</f>
        <v>General</v>
      </c>
      <c r="AC69" s="53" t="e">
        <f>INDEX(Table_IntExt_Match[Measure Selection List], MATCH(Table_PrescriptLights_Input[[#This Row],[Interior or exterior?]], Table_IntExt_Match[Inetrior or Exterior], 0))</f>
        <v>#N/A</v>
      </c>
      <c r="AD69" s="53" t="e">
        <f>INDEX(Table_Prescript_Meas[Unit], MATCH(C69, Table_Prescript_Meas[Measure Number], 0))</f>
        <v>#N/A</v>
      </c>
      <c r="AE69" s="53" t="e">
        <f>INDEX(Table_Prescript_Meas[Lighting Type Selection List], MATCH(C69, Table_Prescript_Meas[Measure Number], 0))</f>
        <v>#N/A</v>
      </c>
      <c r="AF69" s="53" t="e">
        <f>INDEX(Table_Prescript_Meas[AOH Type], MATCH(Table_PrescriptLights_Input[[#This Row],[Measure number]], Table_Prescript_Meas[Measure Number],0))</f>
        <v>#N/A</v>
      </c>
      <c r="AG69"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69" s="53" t="str">
        <f>_xlfn.CONCAT(Table_PrescriptLights_Input[[#This Row],[Existing lighting type]],":",Table_PrescriptLights_Input[[#This Row],[Existing lamps per fixture]], ":",Table_PrescriptLights_Input[[#This Row],[Existing lamp wattage]])</f>
        <v>::</v>
      </c>
      <c r="AI69" s="53" t="e">
        <f>INDEX(Table_TRM_Fixtures[Fixture Code], MATCH(Table_PrescriptLights_Input[[#This Row],[Detailed Baseline Fixture Lookup]], Table_TRM_Fixtures[Detailed Prescriptive Baseline Fixture Lookup], 0))</f>
        <v>#N/A</v>
      </c>
      <c r="AJ69" s="53" t="e">
        <f>INDEX(Table_TRM_Fixtures[Fixture Wattage for Baseline Calculations],MATCH(Table_PrescriptLights_Input[[#This Row],[Detailed Baseline Fixture Lookup]], Table_TRM_Fixtures[Detailed Prescriptive Baseline Fixture Lookup],0))</f>
        <v>#N/A</v>
      </c>
      <c r="AK69" s="127" t="e">
        <f>INDEX(Table_Bldg_IEFD_IEFC[IEFE], MATCH( Input_HVACType,Table_Bldg_IEFD_IEFC[List_HVAC], 0))</f>
        <v>#N/A</v>
      </c>
      <c r="AL69" s="127" t="e">
        <f>INDEX( Table_Bldg_IEFD_IEFC[IEFE],MATCH( Input_HVACType, Table_Bldg_IEFD_IEFC[List_HVAC],0 ))</f>
        <v>#N/A</v>
      </c>
      <c r="AM69" s="127" t="e">
        <f>INDEX(Table_Control_PAF[PAF], MATCH(Table_PrescriptLights_Input[[#This Row],[Existing controls]], Table_Control_PAF[List_Control_Types], 0 ) )</f>
        <v>#N/A</v>
      </c>
      <c r="AN69"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69"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69"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69" s="53">
        <f>IFERROR(LEFT(Table_PrescriptLights_Input[[#This Row],[Existing lighting type]], FIND(",",Table_PrescriptLights_Input[[#This Row],[Existing lighting type]])-1), Table_PrescriptLights_Input[[#This Row],[Existing lighting type]])</f>
        <v>0</v>
      </c>
      <c r="AR69" s="53" t="str">
        <f>_xlfn.CONCAT(Table_PrescriptLights_Input[[#This Row],[Generalized Fixture Type]], ":",Table_PrescriptLights_Input[[#This Row],[Existing lamps per fixture]],":",Table_PrescriptLights_Input[[#This Row],[Existing lamp wattage]])</f>
        <v>0::</v>
      </c>
      <c r="AS69" s="53" t="e">
        <f>INDEX(Table_TRM_Fixtures[Fixture Code], MATCH(Table_PrescriptLights_Input[[#This Row],[Generalized Fixture Baseline Lookup]], Table_TRM_Fixtures[Generalized Baseline Fixture Lookup], 0))</f>
        <v>#N/A</v>
      </c>
      <c r="AT69"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69"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69"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69"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69"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69" s="53" t="e">
        <f>IFERROR(Table_PrescriptLights_Input[[#This Row],[Detailed Baseline Fixture Code]],Table_PrescriptLights_Input[[#This Row],[Generalized Baseline Fixture Code]])</f>
        <v>#N/A</v>
      </c>
      <c r="AZ69" s="4"/>
      <c r="BA69" s="4"/>
      <c r="BB69" s="4"/>
      <c r="BC69" s="4"/>
      <c r="BD69" s="4"/>
      <c r="BE69" s="4"/>
      <c r="BF69" s="4"/>
      <c r="BG69" s="4"/>
      <c r="BH69" s="4"/>
      <c r="BI69" s="4"/>
      <c r="BJ69" s="4"/>
      <c r="BK69" s="4"/>
      <c r="BL69" s="4"/>
      <c r="BM69" s="4"/>
      <c r="BN69" s="4"/>
      <c r="BO69" s="4"/>
      <c r="BP69" s="4"/>
      <c r="BQ69" s="4"/>
    </row>
    <row r="70" spans="1:69" x14ac:dyDescent="0.2">
      <c r="A70" s="4"/>
      <c r="B70" s="189">
        <v>66</v>
      </c>
      <c r="C70" s="61" t="str">
        <f>IFERROR(INDEX(Table_Prescript_Meas[Measure Number], MATCH(Table_PrescriptLights_Input[[#This Row],[Prescriptive lighting measure]], Table_Prescript_Meas[Measure Description], 0)), "")</f>
        <v/>
      </c>
      <c r="D70" s="192"/>
      <c r="E70" s="179"/>
      <c r="F70" s="179"/>
      <c r="G70" s="61" t="str">
        <f>IFERROR(INDEX(Table_Prescript_Meas[Unit], MATCH(Table_PrescriptLights_Input[[#This Row],[Measure number]], Table_Prescript_Meas[Measure Number], 0)), "")</f>
        <v/>
      </c>
      <c r="H70" s="180"/>
      <c r="I70" s="179"/>
      <c r="J70" s="179"/>
      <c r="K70" s="180"/>
      <c r="L70" s="179"/>
      <c r="M70" s="180"/>
      <c r="N70" s="180"/>
      <c r="O70" s="180"/>
      <c r="P70" s="180"/>
      <c r="Q70" s="180"/>
      <c r="R70" s="181"/>
      <c r="S70" s="181"/>
      <c r="T70"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70"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70" s="69" t="str">
        <f>IF(Table_PrescriptLights_Input[[#This Row],[Prescriptive lighting measure]]="","",Table_PrescriptLights_Input[[#This Row],[Calculated Energy Savings]])</f>
        <v/>
      </c>
      <c r="W70" s="73" t="str">
        <f>IF(Table_PrescriptLights_Input[[#This Row],[Prescriptive lighting measure]]="","",Table_PrescriptLights_Input[[#This Row],[Calculated Demand Savings]])</f>
        <v/>
      </c>
      <c r="X70" s="67" t="str">
        <f>IFERROR(Table_PrescriptLights_Input[[#This Row],[Energy savings (kWh)]]*Input_AvgkWhRate, "")</f>
        <v/>
      </c>
      <c r="Y70" s="67" t="str">
        <f>IF(Table_PrescriptLights_Input[[#This Row],[Prescriptive lighting measure]]="", "",Table_PrescriptLights_Input[[#This Row],[Material cost per fixture]]*Table_PrescriptLights_Input[[#This Row],[Number of proposed fixtures]]+Table_PrescriptLights_Input[[#This Row],[Total labor cost]])</f>
        <v/>
      </c>
      <c r="Z70" s="67" t="str">
        <f>IFERROR(Table_PrescriptLights_Input[[#This Row],[Gross measure cost]]-Table_PrescriptLights_Input[[#This Row],[Estimated incentive]], "")</f>
        <v/>
      </c>
      <c r="AA70" s="69" t="str">
        <f t="shared" si="2"/>
        <v/>
      </c>
      <c r="AB70" s="69" t="str">
        <f>IF(ISNUMBER(Table_PrescriptLights_Input[[#This Row],[Detailed Fixture Calculation Wattage]]), "Detailed", "General")</f>
        <v>General</v>
      </c>
      <c r="AC70" s="53" t="e">
        <f>INDEX(Table_IntExt_Match[Measure Selection List], MATCH(Table_PrescriptLights_Input[[#This Row],[Interior or exterior?]], Table_IntExt_Match[Inetrior or Exterior], 0))</f>
        <v>#N/A</v>
      </c>
      <c r="AD70" s="53" t="e">
        <f>INDEX(Table_Prescript_Meas[Unit], MATCH(C70, Table_Prescript_Meas[Measure Number], 0))</f>
        <v>#N/A</v>
      </c>
      <c r="AE70" s="53" t="e">
        <f>INDEX(Table_Prescript_Meas[Lighting Type Selection List], MATCH(C70, Table_Prescript_Meas[Measure Number], 0))</f>
        <v>#N/A</v>
      </c>
      <c r="AF70" s="53" t="e">
        <f>INDEX(Table_Prescript_Meas[AOH Type], MATCH(Table_PrescriptLights_Input[[#This Row],[Measure number]], Table_Prescript_Meas[Measure Number],0))</f>
        <v>#N/A</v>
      </c>
      <c r="AG70"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70" s="53" t="str">
        <f>_xlfn.CONCAT(Table_PrescriptLights_Input[[#This Row],[Existing lighting type]],":",Table_PrescriptLights_Input[[#This Row],[Existing lamps per fixture]], ":",Table_PrescriptLights_Input[[#This Row],[Existing lamp wattage]])</f>
        <v>::</v>
      </c>
      <c r="AI70" s="53" t="e">
        <f>INDEX(Table_TRM_Fixtures[Fixture Code], MATCH(Table_PrescriptLights_Input[[#This Row],[Detailed Baseline Fixture Lookup]], Table_TRM_Fixtures[Detailed Prescriptive Baseline Fixture Lookup], 0))</f>
        <v>#N/A</v>
      </c>
      <c r="AJ70" s="53" t="e">
        <f>INDEX(Table_TRM_Fixtures[Fixture Wattage for Baseline Calculations],MATCH(Table_PrescriptLights_Input[[#This Row],[Detailed Baseline Fixture Lookup]], Table_TRM_Fixtures[Detailed Prescriptive Baseline Fixture Lookup],0))</f>
        <v>#N/A</v>
      </c>
      <c r="AK70" s="127" t="e">
        <f>INDEX(Table_Bldg_IEFD_IEFC[IEFE], MATCH( Input_HVACType,Table_Bldg_IEFD_IEFC[List_HVAC], 0))</f>
        <v>#N/A</v>
      </c>
      <c r="AL70" s="127" t="e">
        <f>INDEX( Table_Bldg_IEFD_IEFC[IEFE],MATCH( Input_HVACType, Table_Bldg_IEFD_IEFC[List_HVAC],0 ))</f>
        <v>#N/A</v>
      </c>
      <c r="AM70" s="127" t="e">
        <f>INDEX(Table_Control_PAF[PAF], MATCH(Table_PrescriptLights_Input[[#This Row],[Existing controls]], Table_Control_PAF[List_Control_Types], 0 ) )</f>
        <v>#N/A</v>
      </c>
      <c r="AN70"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70"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70"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70" s="53">
        <f>IFERROR(LEFT(Table_PrescriptLights_Input[[#This Row],[Existing lighting type]], FIND(",",Table_PrescriptLights_Input[[#This Row],[Existing lighting type]])-1), Table_PrescriptLights_Input[[#This Row],[Existing lighting type]])</f>
        <v>0</v>
      </c>
      <c r="AR70" s="53" t="str">
        <f>_xlfn.CONCAT(Table_PrescriptLights_Input[[#This Row],[Generalized Fixture Type]], ":",Table_PrescriptLights_Input[[#This Row],[Existing lamps per fixture]],":",Table_PrescriptLights_Input[[#This Row],[Existing lamp wattage]])</f>
        <v>0::</v>
      </c>
      <c r="AS70" s="53" t="e">
        <f>INDEX(Table_TRM_Fixtures[Fixture Code], MATCH(Table_PrescriptLights_Input[[#This Row],[Generalized Fixture Baseline Lookup]], Table_TRM_Fixtures[Generalized Baseline Fixture Lookup], 0))</f>
        <v>#N/A</v>
      </c>
      <c r="AT70"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70"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70"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70"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70"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70" s="53" t="e">
        <f>IFERROR(Table_PrescriptLights_Input[[#This Row],[Detailed Baseline Fixture Code]],Table_PrescriptLights_Input[[#This Row],[Generalized Baseline Fixture Code]])</f>
        <v>#N/A</v>
      </c>
      <c r="AZ70" s="4"/>
      <c r="BA70" s="4"/>
      <c r="BB70" s="4"/>
      <c r="BC70" s="4"/>
      <c r="BD70" s="4"/>
      <c r="BE70" s="4"/>
      <c r="BF70" s="4"/>
      <c r="BG70" s="4"/>
      <c r="BH70" s="4"/>
      <c r="BI70" s="4"/>
      <c r="BJ70" s="4"/>
      <c r="BK70" s="4"/>
      <c r="BL70" s="4"/>
      <c r="BM70" s="4"/>
      <c r="BN70" s="4"/>
      <c r="BO70" s="4"/>
      <c r="BP70" s="4"/>
      <c r="BQ70" s="4"/>
    </row>
    <row r="71" spans="1:69" x14ac:dyDescent="0.2">
      <c r="A71" s="4"/>
      <c r="B71" s="189">
        <v>67</v>
      </c>
      <c r="C71" s="61" t="str">
        <f>IFERROR(INDEX(Table_Prescript_Meas[Measure Number], MATCH(Table_PrescriptLights_Input[[#This Row],[Prescriptive lighting measure]], Table_Prescript_Meas[Measure Description], 0)), "")</f>
        <v/>
      </c>
      <c r="D71" s="192"/>
      <c r="E71" s="179"/>
      <c r="F71" s="179"/>
      <c r="G71" s="61" t="str">
        <f>IFERROR(INDEX(Table_Prescript_Meas[Unit], MATCH(Table_PrescriptLights_Input[[#This Row],[Measure number]], Table_Prescript_Meas[Measure Number], 0)), "")</f>
        <v/>
      </c>
      <c r="H71" s="180"/>
      <c r="I71" s="179"/>
      <c r="J71" s="179"/>
      <c r="K71" s="180"/>
      <c r="L71" s="179"/>
      <c r="M71" s="180"/>
      <c r="N71" s="180"/>
      <c r="O71" s="180"/>
      <c r="P71" s="180"/>
      <c r="Q71" s="180"/>
      <c r="R71" s="181"/>
      <c r="S71" s="181"/>
      <c r="T71"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71"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71" s="69" t="str">
        <f>IF(Table_PrescriptLights_Input[[#This Row],[Prescriptive lighting measure]]="","",Table_PrescriptLights_Input[[#This Row],[Calculated Energy Savings]])</f>
        <v/>
      </c>
      <c r="W71" s="73" t="str">
        <f>IF(Table_PrescriptLights_Input[[#This Row],[Prescriptive lighting measure]]="","",Table_PrescriptLights_Input[[#This Row],[Calculated Demand Savings]])</f>
        <v/>
      </c>
      <c r="X71" s="67" t="str">
        <f>IFERROR(Table_PrescriptLights_Input[[#This Row],[Energy savings (kWh)]]*Input_AvgkWhRate, "")</f>
        <v/>
      </c>
      <c r="Y71" s="67" t="str">
        <f>IF(Table_PrescriptLights_Input[[#This Row],[Prescriptive lighting measure]]="", "",Table_PrescriptLights_Input[[#This Row],[Material cost per fixture]]*Table_PrescriptLights_Input[[#This Row],[Number of proposed fixtures]]+Table_PrescriptLights_Input[[#This Row],[Total labor cost]])</f>
        <v/>
      </c>
      <c r="Z71" s="67" t="str">
        <f>IFERROR(Table_PrescriptLights_Input[[#This Row],[Gross measure cost]]-Table_PrescriptLights_Input[[#This Row],[Estimated incentive]], "")</f>
        <v/>
      </c>
      <c r="AA71" s="69" t="str">
        <f t="shared" si="2"/>
        <v/>
      </c>
      <c r="AB71" s="69" t="str">
        <f>IF(ISNUMBER(Table_PrescriptLights_Input[[#This Row],[Detailed Fixture Calculation Wattage]]), "Detailed", "General")</f>
        <v>General</v>
      </c>
      <c r="AC71" s="53" t="e">
        <f>INDEX(Table_IntExt_Match[Measure Selection List], MATCH(Table_PrescriptLights_Input[[#This Row],[Interior or exterior?]], Table_IntExt_Match[Inetrior or Exterior], 0))</f>
        <v>#N/A</v>
      </c>
      <c r="AD71" s="53" t="e">
        <f>INDEX(Table_Prescript_Meas[Unit], MATCH(C71, Table_Prescript_Meas[Measure Number], 0))</f>
        <v>#N/A</v>
      </c>
      <c r="AE71" s="53" t="e">
        <f>INDEX(Table_Prescript_Meas[Lighting Type Selection List], MATCH(C71, Table_Prescript_Meas[Measure Number], 0))</f>
        <v>#N/A</v>
      </c>
      <c r="AF71" s="53" t="e">
        <f>INDEX(Table_Prescript_Meas[AOH Type], MATCH(Table_PrescriptLights_Input[[#This Row],[Measure number]], Table_Prescript_Meas[Measure Number],0))</f>
        <v>#N/A</v>
      </c>
      <c r="AG71"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71" s="53" t="str">
        <f>_xlfn.CONCAT(Table_PrescriptLights_Input[[#This Row],[Existing lighting type]],":",Table_PrescriptLights_Input[[#This Row],[Existing lamps per fixture]], ":",Table_PrescriptLights_Input[[#This Row],[Existing lamp wattage]])</f>
        <v>::</v>
      </c>
      <c r="AI71" s="53" t="e">
        <f>INDEX(Table_TRM_Fixtures[Fixture Code], MATCH(Table_PrescriptLights_Input[[#This Row],[Detailed Baseline Fixture Lookup]], Table_TRM_Fixtures[Detailed Prescriptive Baseline Fixture Lookup], 0))</f>
        <v>#N/A</v>
      </c>
      <c r="AJ71" s="53" t="e">
        <f>INDEX(Table_TRM_Fixtures[Fixture Wattage for Baseline Calculations],MATCH(Table_PrescriptLights_Input[[#This Row],[Detailed Baseline Fixture Lookup]], Table_TRM_Fixtures[Detailed Prescriptive Baseline Fixture Lookup],0))</f>
        <v>#N/A</v>
      </c>
      <c r="AK71" s="127" t="e">
        <f>INDEX(Table_Bldg_IEFD_IEFC[IEFE], MATCH( Input_HVACType,Table_Bldg_IEFD_IEFC[List_HVAC], 0))</f>
        <v>#N/A</v>
      </c>
      <c r="AL71" s="127" t="e">
        <f>INDEX( Table_Bldg_IEFD_IEFC[IEFE],MATCH( Input_HVACType, Table_Bldg_IEFD_IEFC[List_HVAC],0 ))</f>
        <v>#N/A</v>
      </c>
      <c r="AM71" s="127" t="e">
        <f>INDEX(Table_Control_PAF[PAF], MATCH(Table_PrescriptLights_Input[[#This Row],[Existing controls]], Table_Control_PAF[List_Control_Types], 0 ) )</f>
        <v>#N/A</v>
      </c>
      <c r="AN71"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71"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71"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71" s="53">
        <f>IFERROR(LEFT(Table_PrescriptLights_Input[[#This Row],[Existing lighting type]], FIND(",",Table_PrescriptLights_Input[[#This Row],[Existing lighting type]])-1), Table_PrescriptLights_Input[[#This Row],[Existing lighting type]])</f>
        <v>0</v>
      </c>
      <c r="AR71" s="53" t="str">
        <f>_xlfn.CONCAT(Table_PrescriptLights_Input[[#This Row],[Generalized Fixture Type]], ":",Table_PrescriptLights_Input[[#This Row],[Existing lamps per fixture]],":",Table_PrescriptLights_Input[[#This Row],[Existing lamp wattage]])</f>
        <v>0::</v>
      </c>
      <c r="AS71" s="53" t="e">
        <f>INDEX(Table_TRM_Fixtures[Fixture Code], MATCH(Table_PrescriptLights_Input[[#This Row],[Generalized Fixture Baseline Lookup]], Table_TRM_Fixtures[Generalized Baseline Fixture Lookup], 0))</f>
        <v>#N/A</v>
      </c>
      <c r="AT71"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71"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71"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71"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71"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71" s="53" t="e">
        <f>IFERROR(Table_PrescriptLights_Input[[#This Row],[Detailed Baseline Fixture Code]],Table_PrescriptLights_Input[[#This Row],[Generalized Baseline Fixture Code]])</f>
        <v>#N/A</v>
      </c>
      <c r="AZ71" s="4"/>
      <c r="BA71" s="4"/>
      <c r="BB71" s="4"/>
      <c r="BC71" s="4"/>
      <c r="BD71" s="4"/>
      <c r="BE71" s="4"/>
      <c r="BF71" s="4"/>
      <c r="BG71" s="4"/>
      <c r="BH71" s="4"/>
      <c r="BI71" s="4"/>
      <c r="BJ71" s="4"/>
      <c r="BK71" s="4"/>
      <c r="BL71" s="4"/>
      <c r="BM71" s="4"/>
      <c r="BN71" s="4"/>
      <c r="BO71" s="4"/>
      <c r="BP71" s="4"/>
      <c r="BQ71" s="4"/>
    </row>
    <row r="72" spans="1:69" x14ac:dyDescent="0.2">
      <c r="A72" s="4"/>
      <c r="B72" s="189">
        <v>68</v>
      </c>
      <c r="C72" s="61" t="str">
        <f>IFERROR(INDEX(Table_Prescript_Meas[Measure Number], MATCH(Table_PrescriptLights_Input[[#This Row],[Prescriptive lighting measure]], Table_Prescript_Meas[Measure Description], 0)), "")</f>
        <v/>
      </c>
      <c r="D72" s="192"/>
      <c r="E72" s="179"/>
      <c r="F72" s="179"/>
      <c r="G72" s="61" t="str">
        <f>IFERROR(INDEX(Table_Prescript_Meas[Unit], MATCH(Table_PrescriptLights_Input[[#This Row],[Measure number]], Table_Prescript_Meas[Measure Number], 0)), "")</f>
        <v/>
      </c>
      <c r="H72" s="180"/>
      <c r="I72" s="179"/>
      <c r="J72" s="179"/>
      <c r="K72" s="180"/>
      <c r="L72" s="179"/>
      <c r="M72" s="180"/>
      <c r="N72" s="180"/>
      <c r="O72" s="180"/>
      <c r="P72" s="180"/>
      <c r="Q72" s="180"/>
      <c r="R72" s="181"/>
      <c r="S72" s="181"/>
      <c r="T72"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72"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72" s="69" t="str">
        <f>IF(Table_PrescriptLights_Input[[#This Row],[Prescriptive lighting measure]]="","",Table_PrescriptLights_Input[[#This Row],[Calculated Energy Savings]])</f>
        <v/>
      </c>
      <c r="W72" s="73" t="str">
        <f>IF(Table_PrescriptLights_Input[[#This Row],[Prescriptive lighting measure]]="","",Table_PrescriptLights_Input[[#This Row],[Calculated Demand Savings]])</f>
        <v/>
      </c>
      <c r="X72" s="67" t="str">
        <f>IFERROR(Table_PrescriptLights_Input[[#This Row],[Energy savings (kWh)]]*Input_AvgkWhRate, "")</f>
        <v/>
      </c>
      <c r="Y72" s="67" t="str">
        <f>IF(Table_PrescriptLights_Input[[#This Row],[Prescriptive lighting measure]]="", "",Table_PrescriptLights_Input[[#This Row],[Material cost per fixture]]*Table_PrescriptLights_Input[[#This Row],[Number of proposed fixtures]]+Table_PrescriptLights_Input[[#This Row],[Total labor cost]])</f>
        <v/>
      </c>
      <c r="Z72" s="67" t="str">
        <f>IFERROR(Table_PrescriptLights_Input[[#This Row],[Gross measure cost]]-Table_PrescriptLights_Input[[#This Row],[Estimated incentive]], "")</f>
        <v/>
      </c>
      <c r="AA72" s="69" t="str">
        <f t="shared" si="2"/>
        <v/>
      </c>
      <c r="AB72" s="69" t="str">
        <f>IF(ISNUMBER(Table_PrescriptLights_Input[[#This Row],[Detailed Fixture Calculation Wattage]]), "Detailed", "General")</f>
        <v>General</v>
      </c>
      <c r="AC72" s="53" t="e">
        <f>INDEX(Table_IntExt_Match[Measure Selection List], MATCH(Table_PrescriptLights_Input[[#This Row],[Interior or exterior?]], Table_IntExt_Match[Inetrior or Exterior], 0))</f>
        <v>#N/A</v>
      </c>
      <c r="AD72" s="53" t="e">
        <f>INDEX(Table_Prescript_Meas[Unit], MATCH(C72, Table_Prescript_Meas[Measure Number], 0))</f>
        <v>#N/A</v>
      </c>
      <c r="AE72" s="53" t="e">
        <f>INDEX(Table_Prescript_Meas[Lighting Type Selection List], MATCH(C72, Table_Prescript_Meas[Measure Number], 0))</f>
        <v>#N/A</v>
      </c>
      <c r="AF72" s="53" t="e">
        <f>INDEX(Table_Prescript_Meas[AOH Type], MATCH(Table_PrescriptLights_Input[[#This Row],[Measure number]], Table_Prescript_Meas[Measure Number],0))</f>
        <v>#N/A</v>
      </c>
      <c r="AG72"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72" s="53" t="str">
        <f>_xlfn.CONCAT(Table_PrescriptLights_Input[[#This Row],[Existing lighting type]],":",Table_PrescriptLights_Input[[#This Row],[Existing lamps per fixture]], ":",Table_PrescriptLights_Input[[#This Row],[Existing lamp wattage]])</f>
        <v>::</v>
      </c>
      <c r="AI72" s="53" t="e">
        <f>INDEX(Table_TRM_Fixtures[Fixture Code], MATCH(Table_PrescriptLights_Input[[#This Row],[Detailed Baseline Fixture Lookup]], Table_TRM_Fixtures[Detailed Prescriptive Baseline Fixture Lookup], 0))</f>
        <v>#N/A</v>
      </c>
      <c r="AJ72" s="53" t="e">
        <f>INDEX(Table_TRM_Fixtures[Fixture Wattage for Baseline Calculations],MATCH(Table_PrescriptLights_Input[[#This Row],[Detailed Baseline Fixture Lookup]], Table_TRM_Fixtures[Detailed Prescriptive Baseline Fixture Lookup],0))</f>
        <v>#N/A</v>
      </c>
      <c r="AK72" s="127" t="e">
        <f>INDEX(Table_Bldg_IEFD_IEFC[IEFE], MATCH( Input_HVACType,Table_Bldg_IEFD_IEFC[List_HVAC], 0))</f>
        <v>#N/A</v>
      </c>
      <c r="AL72" s="127" t="e">
        <f>INDEX( Table_Bldg_IEFD_IEFC[IEFE],MATCH( Input_HVACType, Table_Bldg_IEFD_IEFC[List_HVAC],0 ))</f>
        <v>#N/A</v>
      </c>
      <c r="AM72" s="127" t="e">
        <f>INDEX(Table_Control_PAF[PAF], MATCH(Table_PrescriptLights_Input[[#This Row],[Existing controls]], Table_Control_PAF[List_Control_Types], 0 ) )</f>
        <v>#N/A</v>
      </c>
      <c r="AN72"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72"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72"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72" s="53">
        <f>IFERROR(LEFT(Table_PrescriptLights_Input[[#This Row],[Existing lighting type]], FIND(",",Table_PrescriptLights_Input[[#This Row],[Existing lighting type]])-1), Table_PrescriptLights_Input[[#This Row],[Existing lighting type]])</f>
        <v>0</v>
      </c>
      <c r="AR72" s="53" t="str">
        <f>_xlfn.CONCAT(Table_PrescriptLights_Input[[#This Row],[Generalized Fixture Type]], ":",Table_PrescriptLights_Input[[#This Row],[Existing lamps per fixture]],":",Table_PrescriptLights_Input[[#This Row],[Existing lamp wattage]])</f>
        <v>0::</v>
      </c>
      <c r="AS72" s="53" t="e">
        <f>INDEX(Table_TRM_Fixtures[Fixture Code], MATCH(Table_PrescriptLights_Input[[#This Row],[Generalized Fixture Baseline Lookup]], Table_TRM_Fixtures[Generalized Baseline Fixture Lookup], 0))</f>
        <v>#N/A</v>
      </c>
      <c r="AT72"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72"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72"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72"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72"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72" s="53" t="e">
        <f>IFERROR(Table_PrescriptLights_Input[[#This Row],[Detailed Baseline Fixture Code]],Table_PrescriptLights_Input[[#This Row],[Generalized Baseline Fixture Code]])</f>
        <v>#N/A</v>
      </c>
      <c r="AZ72" s="4"/>
      <c r="BA72" s="4"/>
      <c r="BB72" s="4"/>
      <c r="BC72" s="4"/>
      <c r="BD72" s="4"/>
      <c r="BE72" s="4"/>
      <c r="BF72" s="4"/>
      <c r="BG72" s="4"/>
      <c r="BH72" s="4"/>
      <c r="BI72" s="4"/>
      <c r="BJ72" s="4"/>
      <c r="BK72" s="4"/>
      <c r="BL72" s="4"/>
      <c r="BM72" s="4"/>
      <c r="BN72" s="4"/>
      <c r="BO72" s="4"/>
      <c r="BP72" s="4"/>
      <c r="BQ72" s="4"/>
    </row>
    <row r="73" spans="1:69" x14ac:dyDescent="0.2">
      <c r="A73" s="4"/>
      <c r="B73" s="189">
        <v>69</v>
      </c>
      <c r="C73" s="61" t="str">
        <f>IFERROR(INDEX(Table_Prescript_Meas[Measure Number], MATCH(Table_PrescriptLights_Input[[#This Row],[Prescriptive lighting measure]], Table_Prescript_Meas[Measure Description], 0)), "")</f>
        <v/>
      </c>
      <c r="D73" s="192"/>
      <c r="E73" s="179"/>
      <c r="F73" s="179"/>
      <c r="G73" s="61" t="str">
        <f>IFERROR(INDEX(Table_Prescript_Meas[Unit], MATCH(Table_PrescriptLights_Input[[#This Row],[Measure number]], Table_Prescript_Meas[Measure Number], 0)), "")</f>
        <v/>
      </c>
      <c r="H73" s="180"/>
      <c r="I73" s="179"/>
      <c r="J73" s="179"/>
      <c r="K73" s="180"/>
      <c r="L73" s="179"/>
      <c r="M73" s="180"/>
      <c r="N73" s="180"/>
      <c r="O73" s="180"/>
      <c r="P73" s="180"/>
      <c r="Q73" s="180"/>
      <c r="R73" s="181"/>
      <c r="S73" s="181"/>
      <c r="T73"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73"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73" s="69" t="str">
        <f>IF(Table_PrescriptLights_Input[[#This Row],[Prescriptive lighting measure]]="","",Table_PrescriptLights_Input[[#This Row],[Calculated Energy Savings]])</f>
        <v/>
      </c>
      <c r="W73" s="73" t="str">
        <f>IF(Table_PrescriptLights_Input[[#This Row],[Prescriptive lighting measure]]="","",Table_PrescriptLights_Input[[#This Row],[Calculated Demand Savings]])</f>
        <v/>
      </c>
      <c r="X73" s="67" t="str">
        <f>IFERROR(Table_PrescriptLights_Input[[#This Row],[Energy savings (kWh)]]*Input_AvgkWhRate, "")</f>
        <v/>
      </c>
      <c r="Y73" s="67" t="str">
        <f>IF(Table_PrescriptLights_Input[[#This Row],[Prescriptive lighting measure]]="", "",Table_PrescriptLights_Input[[#This Row],[Material cost per fixture]]*Table_PrescriptLights_Input[[#This Row],[Number of proposed fixtures]]+Table_PrescriptLights_Input[[#This Row],[Total labor cost]])</f>
        <v/>
      </c>
      <c r="Z73" s="67" t="str">
        <f>IFERROR(Table_PrescriptLights_Input[[#This Row],[Gross measure cost]]-Table_PrescriptLights_Input[[#This Row],[Estimated incentive]], "")</f>
        <v/>
      </c>
      <c r="AA73" s="69" t="str">
        <f t="shared" si="2"/>
        <v/>
      </c>
      <c r="AB73" s="69" t="str">
        <f>IF(ISNUMBER(Table_PrescriptLights_Input[[#This Row],[Detailed Fixture Calculation Wattage]]), "Detailed", "General")</f>
        <v>General</v>
      </c>
      <c r="AC73" s="53" t="e">
        <f>INDEX(Table_IntExt_Match[Measure Selection List], MATCH(Table_PrescriptLights_Input[[#This Row],[Interior or exterior?]], Table_IntExt_Match[Inetrior or Exterior], 0))</f>
        <v>#N/A</v>
      </c>
      <c r="AD73" s="53" t="e">
        <f>INDEX(Table_Prescript_Meas[Unit], MATCH(C73, Table_Prescript_Meas[Measure Number], 0))</f>
        <v>#N/A</v>
      </c>
      <c r="AE73" s="53" t="e">
        <f>INDEX(Table_Prescript_Meas[Lighting Type Selection List], MATCH(C73, Table_Prescript_Meas[Measure Number], 0))</f>
        <v>#N/A</v>
      </c>
      <c r="AF73" s="53" t="e">
        <f>INDEX(Table_Prescript_Meas[AOH Type], MATCH(Table_PrescriptLights_Input[[#This Row],[Measure number]], Table_Prescript_Meas[Measure Number],0))</f>
        <v>#N/A</v>
      </c>
      <c r="AG73"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73" s="53" t="str">
        <f>_xlfn.CONCAT(Table_PrescriptLights_Input[[#This Row],[Existing lighting type]],":",Table_PrescriptLights_Input[[#This Row],[Existing lamps per fixture]], ":",Table_PrescriptLights_Input[[#This Row],[Existing lamp wattage]])</f>
        <v>::</v>
      </c>
      <c r="AI73" s="53" t="e">
        <f>INDEX(Table_TRM_Fixtures[Fixture Code], MATCH(Table_PrescriptLights_Input[[#This Row],[Detailed Baseline Fixture Lookup]], Table_TRM_Fixtures[Detailed Prescriptive Baseline Fixture Lookup], 0))</f>
        <v>#N/A</v>
      </c>
      <c r="AJ73" s="53" t="e">
        <f>INDEX(Table_TRM_Fixtures[Fixture Wattage for Baseline Calculations],MATCH(Table_PrescriptLights_Input[[#This Row],[Detailed Baseline Fixture Lookup]], Table_TRM_Fixtures[Detailed Prescriptive Baseline Fixture Lookup],0))</f>
        <v>#N/A</v>
      </c>
      <c r="AK73" s="127" t="e">
        <f>INDEX(Table_Bldg_IEFD_IEFC[IEFE], MATCH( Input_HVACType,Table_Bldg_IEFD_IEFC[List_HVAC], 0))</f>
        <v>#N/A</v>
      </c>
      <c r="AL73" s="127" t="e">
        <f>INDEX( Table_Bldg_IEFD_IEFC[IEFE],MATCH( Input_HVACType, Table_Bldg_IEFD_IEFC[List_HVAC],0 ))</f>
        <v>#N/A</v>
      </c>
      <c r="AM73" s="127" t="e">
        <f>INDEX(Table_Control_PAF[PAF], MATCH(Table_PrescriptLights_Input[[#This Row],[Existing controls]], Table_Control_PAF[List_Control_Types], 0 ) )</f>
        <v>#N/A</v>
      </c>
      <c r="AN73"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73"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73"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73" s="53">
        <f>IFERROR(LEFT(Table_PrescriptLights_Input[[#This Row],[Existing lighting type]], FIND(",",Table_PrescriptLights_Input[[#This Row],[Existing lighting type]])-1), Table_PrescriptLights_Input[[#This Row],[Existing lighting type]])</f>
        <v>0</v>
      </c>
      <c r="AR73" s="53" t="str">
        <f>_xlfn.CONCAT(Table_PrescriptLights_Input[[#This Row],[Generalized Fixture Type]], ":",Table_PrescriptLights_Input[[#This Row],[Existing lamps per fixture]],":",Table_PrescriptLights_Input[[#This Row],[Existing lamp wattage]])</f>
        <v>0::</v>
      </c>
      <c r="AS73" s="53" t="e">
        <f>INDEX(Table_TRM_Fixtures[Fixture Code], MATCH(Table_PrescriptLights_Input[[#This Row],[Generalized Fixture Baseline Lookup]], Table_TRM_Fixtures[Generalized Baseline Fixture Lookup], 0))</f>
        <v>#N/A</v>
      </c>
      <c r="AT73"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73"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73"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73"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73"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73" s="53" t="e">
        <f>IFERROR(Table_PrescriptLights_Input[[#This Row],[Detailed Baseline Fixture Code]],Table_PrescriptLights_Input[[#This Row],[Generalized Baseline Fixture Code]])</f>
        <v>#N/A</v>
      </c>
      <c r="AZ73" s="4"/>
      <c r="BA73" s="4"/>
      <c r="BB73" s="4"/>
      <c r="BC73" s="4"/>
      <c r="BD73" s="4"/>
      <c r="BE73" s="4"/>
      <c r="BF73" s="4"/>
      <c r="BG73" s="4"/>
      <c r="BH73" s="4"/>
      <c r="BI73" s="4"/>
      <c r="BJ73" s="4"/>
      <c r="BK73" s="4"/>
      <c r="BL73" s="4"/>
      <c r="BM73" s="4"/>
      <c r="BN73" s="4"/>
      <c r="BO73" s="4"/>
      <c r="BP73" s="4"/>
      <c r="BQ73" s="4"/>
    </row>
    <row r="74" spans="1:69" x14ac:dyDescent="0.2">
      <c r="A74" s="4"/>
      <c r="B74" s="189">
        <v>70</v>
      </c>
      <c r="C74" s="61" t="str">
        <f>IFERROR(INDEX(Table_Prescript_Meas[Measure Number], MATCH(Table_PrescriptLights_Input[[#This Row],[Prescriptive lighting measure]], Table_Prescript_Meas[Measure Description], 0)), "")</f>
        <v/>
      </c>
      <c r="D74" s="192"/>
      <c r="E74" s="179"/>
      <c r="F74" s="179"/>
      <c r="G74" s="61" t="str">
        <f>IFERROR(INDEX(Table_Prescript_Meas[Unit], MATCH(Table_PrescriptLights_Input[[#This Row],[Measure number]], Table_Prescript_Meas[Measure Number], 0)), "")</f>
        <v/>
      </c>
      <c r="H74" s="180"/>
      <c r="I74" s="179"/>
      <c r="J74" s="179"/>
      <c r="K74" s="180"/>
      <c r="L74" s="179"/>
      <c r="M74" s="180"/>
      <c r="N74" s="180"/>
      <c r="O74" s="180"/>
      <c r="P74" s="180"/>
      <c r="Q74" s="180"/>
      <c r="R74" s="181"/>
      <c r="S74" s="181"/>
      <c r="T74"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74"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74" s="69" t="str">
        <f>IF(Table_PrescriptLights_Input[[#This Row],[Prescriptive lighting measure]]="","",Table_PrescriptLights_Input[[#This Row],[Calculated Energy Savings]])</f>
        <v/>
      </c>
      <c r="W74" s="73" t="str">
        <f>IF(Table_PrescriptLights_Input[[#This Row],[Prescriptive lighting measure]]="","",Table_PrescriptLights_Input[[#This Row],[Calculated Demand Savings]])</f>
        <v/>
      </c>
      <c r="X74" s="67" t="str">
        <f>IFERROR(Table_PrescriptLights_Input[[#This Row],[Energy savings (kWh)]]*Input_AvgkWhRate, "")</f>
        <v/>
      </c>
      <c r="Y74" s="67" t="str">
        <f>IF(Table_PrescriptLights_Input[[#This Row],[Prescriptive lighting measure]]="", "",Table_PrescriptLights_Input[[#This Row],[Material cost per fixture]]*Table_PrescriptLights_Input[[#This Row],[Number of proposed fixtures]]+Table_PrescriptLights_Input[[#This Row],[Total labor cost]])</f>
        <v/>
      </c>
      <c r="Z74" s="67" t="str">
        <f>IFERROR(Table_PrescriptLights_Input[[#This Row],[Gross measure cost]]-Table_PrescriptLights_Input[[#This Row],[Estimated incentive]], "")</f>
        <v/>
      </c>
      <c r="AA74" s="69" t="str">
        <f t="shared" si="2"/>
        <v/>
      </c>
      <c r="AB74" s="69" t="str">
        <f>IF(ISNUMBER(Table_PrescriptLights_Input[[#This Row],[Detailed Fixture Calculation Wattage]]), "Detailed", "General")</f>
        <v>General</v>
      </c>
      <c r="AC74" s="53" t="e">
        <f>INDEX(Table_IntExt_Match[Measure Selection List], MATCH(Table_PrescriptLights_Input[[#This Row],[Interior or exterior?]], Table_IntExt_Match[Inetrior or Exterior], 0))</f>
        <v>#N/A</v>
      </c>
      <c r="AD74" s="53" t="e">
        <f>INDEX(Table_Prescript_Meas[Unit], MATCH(C74, Table_Prescript_Meas[Measure Number], 0))</f>
        <v>#N/A</v>
      </c>
      <c r="AE74" s="53" t="e">
        <f>INDEX(Table_Prescript_Meas[Lighting Type Selection List], MATCH(C74, Table_Prescript_Meas[Measure Number], 0))</f>
        <v>#N/A</v>
      </c>
      <c r="AF74" s="53" t="e">
        <f>INDEX(Table_Prescript_Meas[AOH Type], MATCH(Table_PrescriptLights_Input[[#This Row],[Measure number]], Table_Prescript_Meas[Measure Number],0))</f>
        <v>#N/A</v>
      </c>
      <c r="AG74"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74" s="53" t="str">
        <f>_xlfn.CONCAT(Table_PrescriptLights_Input[[#This Row],[Existing lighting type]],":",Table_PrescriptLights_Input[[#This Row],[Existing lamps per fixture]], ":",Table_PrescriptLights_Input[[#This Row],[Existing lamp wattage]])</f>
        <v>::</v>
      </c>
      <c r="AI74" s="53" t="e">
        <f>INDEX(Table_TRM_Fixtures[Fixture Code], MATCH(Table_PrescriptLights_Input[[#This Row],[Detailed Baseline Fixture Lookup]], Table_TRM_Fixtures[Detailed Prescriptive Baseline Fixture Lookup], 0))</f>
        <v>#N/A</v>
      </c>
      <c r="AJ74" s="53" t="e">
        <f>INDEX(Table_TRM_Fixtures[Fixture Wattage for Baseline Calculations],MATCH(Table_PrescriptLights_Input[[#This Row],[Detailed Baseline Fixture Lookup]], Table_TRM_Fixtures[Detailed Prescriptive Baseline Fixture Lookup],0))</f>
        <v>#N/A</v>
      </c>
      <c r="AK74" s="127" t="e">
        <f>INDEX(Table_Bldg_IEFD_IEFC[IEFE], MATCH( Input_HVACType,Table_Bldg_IEFD_IEFC[List_HVAC], 0))</f>
        <v>#N/A</v>
      </c>
      <c r="AL74" s="127" t="e">
        <f>INDEX( Table_Bldg_IEFD_IEFC[IEFE],MATCH( Input_HVACType, Table_Bldg_IEFD_IEFC[List_HVAC],0 ))</f>
        <v>#N/A</v>
      </c>
      <c r="AM74" s="127" t="e">
        <f>INDEX(Table_Control_PAF[PAF], MATCH(Table_PrescriptLights_Input[[#This Row],[Existing controls]], Table_Control_PAF[List_Control_Types], 0 ) )</f>
        <v>#N/A</v>
      </c>
      <c r="AN74"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74"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74"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74" s="53">
        <f>IFERROR(LEFT(Table_PrescriptLights_Input[[#This Row],[Existing lighting type]], FIND(",",Table_PrescriptLights_Input[[#This Row],[Existing lighting type]])-1), Table_PrescriptLights_Input[[#This Row],[Existing lighting type]])</f>
        <v>0</v>
      </c>
      <c r="AR74" s="53" t="str">
        <f>_xlfn.CONCAT(Table_PrescriptLights_Input[[#This Row],[Generalized Fixture Type]], ":",Table_PrescriptLights_Input[[#This Row],[Existing lamps per fixture]],":",Table_PrescriptLights_Input[[#This Row],[Existing lamp wattage]])</f>
        <v>0::</v>
      </c>
      <c r="AS74" s="53" t="e">
        <f>INDEX(Table_TRM_Fixtures[Fixture Code], MATCH(Table_PrescriptLights_Input[[#This Row],[Generalized Fixture Baseline Lookup]], Table_TRM_Fixtures[Generalized Baseline Fixture Lookup], 0))</f>
        <v>#N/A</v>
      </c>
      <c r="AT74"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74"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74"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74"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74"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74" s="53" t="e">
        <f>IFERROR(Table_PrescriptLights_Input[[#This Row],[Detailed Baseline Fixture Code]],Table_PrescriptLights_Input[[#This Row],[Generalized Baseline Fixture Code]])</f>
        <v>#N/A</v>
      </c>
      <c r="AZ74" s="4"/>
      <c r="BA74" s="4"/>
      <c r="BB74" s="4"/>
      <c r="BC74" s="4"/>
      <c r="BD74" s="4"/>
      <c r="BE74" s="4"/>
      <c r="BF74" s="4"/>
      <c r="BG74" s="4"/>
      <c r="BH74" s="4"/>
      <c r="BI74" s="4"/>
      <c r="BJ74" s="4"/>
      <c r="BK74" s="4"/>
      <c r="BL74" s="4"/>
      <c r="BM74" s="4"/>
      <c r="BN74" s="4"/>
      <c r="BO74" s="4"/>
      <c r="BP74" s="4"/>
      <c r="BQ74" s="4"/>
    </row>
    <row r="75" spans="1:69" x14ac:dyDescent="0.2">
      <c r="A75" s="4"/>
      <c r="B75" s="189">
        <v>71</v>
      </c>
      <c r="C75" s="61" t="str">
        <f>IFERROR(INDEX(Table_Prescript_Meas[Measure Number], MATCH(Table_PrescriptLights_Input[[#This Row],[Prescriptive lighting measure]], Table_Prescript_Meas[Measure Description], 0)), "")</f>
        <v/>
      </c>
      <c r="D75" s="192"/>
      <c r="E75" s="179"/>
      <c r="F75" s="179"/>
      <c r="G75" s="61" t="str">
        <f>IFERROR(INDEX(Table_Prescript_Meas[Unit], MATCH(Table_PrescriptLights_Input[[#This Row],[Measure number]], Table_Prescript_Meas[Measure Number], 0)), "")</f>
        <v/>
      </c>
      <c r="H75" s="180"/>
      <c r="I75" s="179"/>
      <c r="J75" s="179"/>
      <c r="K75" s="180"/>
      <c r="L75" s="179"/>
      <c r="M75" s="180"/>
      <c r="N75" s="180"/>
      <c r="O75" s="180"/>
      <c r="P75" s="180"/>
      <c r="Q75" s="180"/>
      <c r="R75" s="181"/>
      <c r="S75" s="181"/>
      <c r="T75"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75"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75" s="69" t="str">
        <f>IF(Table_PrescriptLights_Input[[#This Row],[Prescriptive lighting measure]]="","",Table_PrescriptLights_Input[[#This Row],[Calculated Energy Savings]])</f>
        <v/>
      </c>
      <c r="W75" s="73" t="str">
        <f>IF(Table_PrescriptLights_Input[[#This Row],[Prescriptive lighting measure]]="","",Table_PrescriptLights_Input[[#This Row],[Calculated Demand Savings]])</f>
        <v/>
      </c>
      <c r="X75" s="67" t="str">
        <f>IFERROR(Table_PrescriptLights_Input[[#This Row],[Energy savings (kWh)]]*Input_AvgkWhRate, "")</f>
        <v/>
      </c>
      <c r="Y75" s="67" t="str">
        <f>IF(Table_PrescriptLights_Input[[#This Row],[Prescriptive lighting measure]]="", "",Table_PrescriptLights_Input[[#This Row],[Material cost per fixture]]*Table_PrescriptLights_Input[[#This Row],[Number of proposed fixtures]]+Table_PrescriptLights_Input[[#This Row],[Total labor cost]])</f>
        <v/>
      </c>
      <c r="Z75" s="67" t="str">
        <f>IFERROR(Table_PrescriptLights_Input[[#This Row],[Gross measure cost]]-Table_PrescriptLights_Input[[#This Row],[Estimated incentive]], "")</f>
        <v/>
      </c>
      <c r="AA75" s="69" t="str">
        <f t="shared" si="2"/>
        <v/>
      </c>
      <c r="AB75" s="69" t="str">
        <f>IF(ISNUMBER(Table_PrescriptLights_Input[[#This Row],[Detailed Fixture Calculation Wattage]]), "Detailed", "General")</f>
        <v>General</v>
      </c>
      <c r="AC75" s="53" t="e">
        <f>INDEX(Table_IntExt_Match[Measure Selection List], MATCH(Table_PrescriptLights_Input[[#This Row],[Interior or exterior?]], Table_IntExt_Match[Inetrior or Exterior], 0))</f>
        <v>#N/A</v>
      </c>
      <c r="AD75" s="53" t="e">
        <f>INDEX(Table_Prescript_Meas[Unit], MATCH(C75, Table_Prescript_Meas[Measure Number], 0))</f>
        <v>#N/A</v>
      </c>
      <c r="AE75" s="53" t="e">
        <f>INDEX(Table_Prescript_Meas[Lighting Type Selection List], MATCH(C75, Table_Prescript_Meas[Measure Number], 0))</f>
        <v>#N/A</v>
      </c>
      <c r="AF75" s="53" t="e">
        <f>INDEX(Table_Prescript_Meas[AOH Type], MATCH(Table_PrescriptLights_Input[[#This Row],[Measure number]], Table_Prescript_Meas[Measure Number],0))</f>
        <v>#N/A</v>
      </c>
      <c r="AG75"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75" s="53" t="str">
        <f>_xlfn.CONCAT(Table_PrescriptLights_Input[[#This Row],[Existing lighting type]],":",Table_PrescriptLights_Input[[#This Row],[Existing lamps per fixture]], ":",Table_PrescriptLights_Input[[#This Row],[Existing lamp wattage]])</f>
        <v>::</v>
      </c>
      <c r="AI75" s="53" t="e">
        <f>INDEX(Table_TRM_Fixtures[Fixture Code], MATCH(Table_PrescriptLights_Input[[#This Row],[Detailed Baseline Fixture Lookup]], Table_TRM_Fixtures[Detailed Prescriptive Baseline Fixture Lookup], 0))</f>
        <v>#N/A</v>
      </c>
      <c r="AJ75" s="53" t="e">
        <f>INDEX(Table_TRM_Fixtures[Fixture Wattage for Baseline Calculations],MATCH(Table_PrescriptLights_Input[[#This Row],[Detailed Baseline Fixture Lookup]], Table_TRM_Fixtures[Detailed Prescriptive Baseline Fixture Lookup],0))</f>
        <v>#N/A</v>
      </c>
      <c r="AK75" s="127" t="e">
        <f>INDEX(Table_Bldg_IEFD_IEFC[IEFE], MATCH( Input_HVACType,Table_Bldg_IEFD_IEFC[List_HVAC], 0))</f>
        <v>#N/A</v>
      </c>
      <c r="AL75" s="127" t="e">
        <f>INDEX( Table_Bldg_IEFD_IEFC[IEFE],MATCH( Input_HVACType, Table_Bldg_IEFD_IEFC[List_HVAC],0 ))</f>
        <v>#N/A</v>
      </c>
      <c r="AM75" s="127" t="e">
        <f>INDEX(Table_Control_PAF[PAF], MATCH(Table_PrescriptLights_Input[[#This Row],[Existing controls]], Table_Control_PAF[List_Control_Types], 0 ) )</f>
        <v>#N/A</v>
      </c>
      <c r="AN75"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75"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75"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75" s="53">
        <f>IFERROR(LEFT(Table_PrescriptLights_Input[[#This Row],[Existing lighting type]], FIND(",",Table_PrescriptLights_Input[[#This Row],[Existing lighting type]])-1), Table_PrescriptLights_Input[[#This Row],[Existing lighting type]])</f>
        <v>0</v>
      </c>
      <c r="AR75" s="53" t="str">
        <f>_xlfn.CONCAT(Table_PrescriptLights_Input[[#This Row],[Generalized Fixture Type]], ":",Table_PrescriptLights_Input[[#This Row],[Existing lamps per fixture]],":",Table_PrescriptLights_Input[[#This Row],[Existing lamp wattage]])</f>
        <v>0::</v>
      </c>
      <c r="AS75" s="53" t="e">
        <f>INDEX(Table_TRM_Fixtures[Fixture Code], MATCH(Table_PrescriptLights_Input[[#This Row],[Generalized Fixture Baseline Lookup]], Table_TRM_Fixtures[Generalized Baseline Fixture Lookup], 0))</f>
        <v>#N/A</v>
      </c>
      <c r="AT75"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75"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75"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75"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75"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75" s="53" t="e">
        <f>IFERROR(Table_PrescriptLights_Input[[#This Row],[Detailed Baseline Fixture Code]],Table_PrescriptLights_Input[[#This Row],[Generalized Baseline Fixture Code]])</f>
        <v>#N/A</v>
      </c>
      <c r="AZ75" s="4"/>
      <c r="BA75" s="4"/>
      <c r="BB75" s="4"/>
      <c r="BC75" s="4"/>
      <c r="BD75" s="4"/>
      <c r="BE75" s="4"/>
      <c r="BF75" s="4"/>
      <c r="BG75" s="4"/>
      <c r="BH75" s="4"/>
      <c r="BI75" s="4"/>
      <c r="BJ75" s="4"/>
      <c r="BK75" s="4"/>
      <c r="BL75" s="4"/>
      <c r="BM75" s="4"/>
      <c r="BN75" s="4"/>
      <c r="BO75" s="4"/>
      <c r="BP75" s="4"/>
      <c r="BQ75" s="4"/>
    </row>
    <row r="76" spans="1:69" x14ac:dyDescent="0.2">
      <c r="A76" s="4"/>
      <c r="B76" s="189">
        <v>72</v>
      </c>
      <c r="C76" s="61" t="str">
        <f>IFERROR(INDEX(Table_Prescript_Meas[Measure Number], MATCH(Table_PrescriptLights_Input[[#This Row],[Prescriptive lighting measure]], Table_Prescript_Meas[Measure Description], 0)), "")</f>
        <v/>
      </c>
      <c r="D76" s="192"/>
      <c r="E76" s="179"/>
      <c r="F76" s="179"/>
      <c r="G76" s="61" t="str">
        <f>IFERROR(INDEX(Table_Prescript_Meas[Unit], MATCH(Table_PrescriptLights_Input[[#This Row],[Measure number]], Table_Prescript_Meas[Measure Number], 0)), "")</f>
        <v/>
      </c>
      <c r="H76" s="180"/>
      <c r="I76" s="179"/>
      <c r="J76" s="179"/>
      <c r="K76" s="180"/>
      <c r="L76" s="179"/>
      <c r="M76" s="180"/>
      <c r="N76" s="180"/>
      <c r="O76" s="180"/>
      <c r="P76" s="180"/>
      <c r="Q76" s="180"/>
      <c r="R76" s="181"/>
      <c r="S76" s="181"/>
      <c r="T76"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76"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76" s="69" t="str">
        <f>IF(Table_PrescriptLights_Input[[#This Row],[Prescriptive lighting measure]]="","",Table_PrescriptLights_Input[[#This Row],[Calculated Energy Savings]])</f>
        <v/>
      </c>
      <c r="W76" s="73" t="str">
        <f>IF(Table_PrescriptLights_Input[[#This Row],[Prescriptive lighting measure]]="","",Table_PrescriptLights_Input[[#This Row],[Calculated Demand Savings]])</f>
        <v/>
      </c>
      <c r="X76" s="67" t="str">
        <f>IFERROR(Table_PrescriptLights_Input[[#This Row],[Energy savings (kWh)]]*Input_AvgkWhRate, "")</f>
        <v/>
      </c>
      <c r="Y76" s="67" t="str">
        <f>IF(Table_PrescriptLights_Input[[#This Row],[Prescriptive lighting measure]]="", "",Table_PrescriptLights_Input[[#This Row],[Material cost per fixture]]*Table_PrescriptLights_Input[[#This Row],[Number of proposed fixtures]]+Table_PrescriptLights_Input[[#This Row],[Total labor cost]])</f>
        <v/>
      </c>
      <c r="Z76" s="67" t="str">
        <f>IFERROR(Table_PrescriptLights_Input[[#This Row],[Gross measure cost]]-Table_PrescriptLights_Input[[#This Row],[Estimated incentive]], "")</f>
        <v/>
      </c>
      <c r="AA76" s="69" t="str">
        <f t="shared" si="2"/>
        <v/>
      </c>
      <c r="AB76" s="69" t="str">
        <f>IF(ISNUMBER(Table_PrescriptLights_Input[[#This Row],[Detailed Fixture Calculation Wattage]]), "Detailed", "General")</f>
        <v>General</v>
      </c>
      <c r="AC76" s="53" t="e">
        <f>INDEX(Table_IntExt_Match[Measure Selection List], MATCH(Table_PrescriptLights_Input[[#This Row],[Interior or exterior?]], Table_IntExt_Match[Inetrior or Exterior], 0))</f>
        <v>#N/A</v>
      </c>
      <c r="AD76" s="53" t="e">
        <f>INDEX(Table_Prescript_Meas[Unit], MATCH(C76, Table_Prescript_Meas[Measure Number], 0))</f>
        <v>#N/A</v>
      </c>
      <c r="AE76" s="53" t="e">
        <f>INDEX(Table_Prescript_Meas[Lighting Type Selection List], MATCH(C76, Table_Prescript_Meas[Measure Number], 0))</f>
        <v>#N/A</v>
      </c>
      <c r="AF76" s="53" t="e">
        <f>INDEX(Table_Prescript_Meas[AOH Type], MATCH(Table_PrescriptLights_Input[[#This Row],[Measure number]], Table_Prescript_Meas[Measure Number],0))</f>
        <v>#N/A</v>
      </c>
      <c r="AG76"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76" s="53" t="str">
        <f>_xlfn.CONCAT(Table_PrescriptLights_Input[[#This Row],[Existing lighting type]],":",Table_PrescriptLights_Input[[#This Row],[Existing lamps per fixture]], ":",Table_PrescriptLights_Input[[#This Row],[Existing lamp wattage]])</f>
        <v>::</v>
      </c>
      <c r="AI76" s="53" t="e">
        <f>INDEX(Table_TRM_Fixtures[Fixture Code], MATCH(Table_PrescriptLights_Input[[#This Row],[Detailed Baseline Fixture Lookup]], Table_TRM_Fixtures[Detailed Prescriptive Baseline Fixture Lookup], 0))</f>
        <v>#N/A</v>
      </c>
      <c r="AJ76" s="53" t="e">
        <f>INDEX(Table_TRM_Fixtures[Fixture Wattage for Baseline Calculations],MATCH(Table_PrescriptLights_Input[[#This Row],[Detailed Baseline Fixture Lookup]], Table_TRM_Fixtures[Detailed Prescriptive Baseline Fixture Lookup],0))</f>
        <v>#N/A</v>
      </c>
      <c r="AK76" s="127" t="e">
        <f>INDEX(Table_Bldg_IEFD_IEFC[IEFE], MATCH( Input_HVACType,Table_Bldg_IEFD_IEFC[List_HVAC], 0))</f>
        <v>#N/A</v>
      </c>
      <c r="AL76" s="127" t="e">
        <f>INDEX( Table_Bldg_IEFD_IEFC[IEFE],MATCH( Input_HVACType, Table_Bldg_IEFD_IEFC[List_HVAC],0 ))</f>
        <v>#N/A</v>
      </c>
      <c r="AM76" s="127" t="e">
        <f>INDEX(Table_Control_PAF[PAF], MATCH(Table_PrescriptLights_Input[[#This Row],[Existing controls]], Table_Control_PAF[List_Control_Types], 0 ) )</f>
        <v>#N/A</v>
      </c>
      <c r="AN76"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76"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76"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76" s="53">
        <f>IFERROR(LEFT(Table_PrescriptLights_Input[[#This Row],[Existing lighting type]], FIND(",",Table_PrescriptLights_Input[[#This Row],[Existing lighting type]])-1), Table_PrescriptLights_Input[[#This Row],[Existing lighting type]])</f>
        <v>0</v>
      </c>
      <c r="AR76" s="53" t="str">
        <f>_xlfn.CONCAT(Table_PrescriptLights_Input[[#This Row],[Generalized Fixture Type]], ":",Table_PrescriptLights_Input[[#This Row],[Existing lamps per fixture]],":",Table_PrescriptLights_Input[[#This Row],[Existing lamp wattage]])</f>
        <v>0::</v>
      </c>
      <c r="AS76" s="53" t="e">
        <f>INDEX(Table_TRM_Fixtures[Fixture Code], MATCH(Table_PrescriptLights_Input[[#This Row],[Generalized Fixture Baseline Lookup]], Table_TRM_Fixtures[Generalized Baseline Fixture Lookup], 0))</f>
        <v>#N/A</v>
      </c>
      <c r="AT76"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76"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76"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76"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76"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76" s="53" t="e">
        <f>IFERROR(Table_PrescriptLights_Input[[#This Row],[Detailed Baseline Fixture Code]],Table_PrescriptLights_Input[[#This Row],[Generalized Baseline Fixture Code]])</f>
        <v>#N/A</v>
      </c>
      <c r="AZ76" s="4"/>
      <c r="BA76" s="4"/>
      <c r="BB76" s="4"/>
      <c r="BC76" s="4"/>
      <c r="BD76" s="4"/>
      <c r="BE76" s="4"/>
      <c r="BF76" s="4"/>
      <c r="BG76" s="4"/>
      <c r="BH76" s="4"/>
      <c r="BI76" s="4"/>
      <c r="BJ76" s="4"/>
      <c r="BK76" s="4"/>
      <c r="BL76" s="4"/>
      <c r="BM76" s="4"/>
      <c r="BN76" s="4"/>
      <c r="BO76" s="4"/>
      <c r="BP76" s="4"/>
      <c r="BQ76" s="4"/>
    </row>
    <row r="77" spans="1:69" x14ac:dyDescent="0.2">
      <c r="A77" s="4"/>
      <c r="B77" s="189">
        <v>73</v>
      </c>
      <c r="C77" s="61" t="str">
        <f>IFERROR(INDEX(Table_Prescript_Meas[Measure Number], MATCH(Table_PrescriptLights_Input[[#This Row],[Prescriptive lighting measure]], Table_Prescript_Meas[Measure Description], 0)), "")</f>
        <v/>
      </c>
      <c r="D77" s="192"/>
      <c r="E77" s="179"/>
      <c r="F77" s="179"/>
      <c r="G77" s="61" t="str">
        <f>IFERROR(INDEX(Table_Prescript_Meas[Unit], MATCH(Table_PrescriptLights_Input[[#This Row],[Measure number]], Table_Prescript_Meas[Measure Number], 0)), "")</f>
        <v/>
      </c>
      <c r="H77" s="180"/>
      <c r="I77" s="179"/>
      <c r="J77" s="179"/>
      <c r="K77" s="180"/>
      <c r="L77" s="179"/>
      <c r="M77" s="180"/>
      <c r="N77" s="180"/>
      <c r="O77" s="180"/>
      <c r="P77" s="180"/>
      <c r="Q77" s="180"/>
      <c r="R77" s="181"/>
      <c r="S77" s="181"/>
      <c r="T77"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77"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77" s="69" t="str">
        <f>IF(Table_PrescriptLights_Input[[#This Row],[Prescriptive lighting measure]]="","",Table_PrescriptLights_Input[[#This Row],[Calculated Energy Savings]])</f>
        <v/>
      </c>
      <c r="W77" s="73" t="str">
        <f>IF(Table_PrescriptLights_Input[[#This Row],[Prescriptive lighting measure]]="","",Table_PrescriptLights_Input[[#This Row],[Calculated Demand Savings]])</f>
        <v/>
      </c>
      <c r="X77" s="67" t="str">
        <f>IFERROR(Table_PrescriptLights_Input[[#This Row],[Energy savings (kWh)]]*Input_AvgkWhRate, "")</f>
        <v/>
      </c>
      <c r="Y77" s="67" t="str">
        <f>IF(Table_PrescriptLights_Input[[#This Row],[Prescriptive lighting measure]]="", "",Table_PrescriptLights_Input[[#This Row],[Material cost per fixture]]*Table_PrescriptLights_Input[[#This Row],[Number of proposed fixtures]]+Table_PrescriptLights_Input[[#This Row],[Total labor cost]])</f>
        <v/>
      </c>
      <c r="Z77" s="67" t="str">
        <f>IFERROR(Table_PrescriptLights_Input[[#This Row],[Gross measure cost]]-Table_PrescriptLights_Input[[#This Row],[Estimated incentive]], "")</f>
        <v/>
      </c>
      <c r="AA77" s="69" t="str">
        <f t="shared" si="2"/>
        <v/>
      </c>
      <c r="AB77" s="69" t="str">
        <f>IF(ISNUMBER(Table_PrescriptLights_Input[[#This Row],[Detailed Fixture Calculation Wattage]]), "Detailed", "General")</f>
        <v>General</v>
      </c>
      <c r="AC77" s="53" t="e">
        <f>INDEX(Table_IntExt_Match[Measure Selection List], MATCH(Table_PrescriptLights_Input[[#This Row],[Interior or exterior?]], Table_IntExt_Match[Inetrior or Exterior], 0))</f>
        <v>#N/A</v>
      </c>
      <c r="AD77" s="53" t="e">
        <f>INDEX(Table_Prescript_Meas[Unit], MATCH(C77, Table_Prescript_Meas[Measure Number], 0))</f>
        <v>#N/A</v>
      </c>
      <c r="AE77" s="53" t="e">
        <f>INDEX(Table_Prescript_Meas[Lighting Type Selection List], MATCH(C77, Table_Prescript_Meas[Measure Number], 0))</f>
        <v>#N/A</v>
      </c>
      <c r="AF77" s="53" t="e">
        <f>INDEX(Table_Prescript_Meas[AOH Type], MATCH(Table_PrescriptLights_Input[[#This Row],[Measure number]], Table_Prescript_Meas[Measure Number],0))</f>
        <v>#N/A</v>
      </c>
      <c r="AG77"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77" s="53" t="str">
        <f>_xlfn.CONCAT(Table_PrescriptLights_Input[[#This Row],[Existing lighting type]],":",Table_PrescriptLights_Input[[#This Row],[Existing lamps per fixture]], ":",Table_PrescriptLights_Input[[#This Row],[Existing lamp wattage]])</f>
        <v>::</v>
      </c>
      <c r="AI77" s="53" t="e">
        <f>INDEX(Table_TRM_Fixtures[Fixture Code], MATCH(Table_PrescriptLights_Input[[#This Row],[Detailed Baseline Fixture Lookup]], Table_TRM_Fixtures[Detailed Prescriptive Baseline Fixture Lookup], 0))</f>
        <v>#N/A</v>
      </c>
      <c r="AJ77" s="53" t="e">
        <f>INDEX(Table_TRM_Fixtures[Fixture Wattage for Baseline Calculations],MATCH(Table_PrescriptLights_Input[[#This Row],[Detailed Baseline Fixture Lookup]], Table_TRM_Fixtures[Detailed Prescriptive Baseline Fixture Lookup],0))</f>
        <v>#N/A</v>
      </c>
      <c r="AK77" s="127" t="e">
        <f>INDEX(Table_Bldg_IEFD_IEFC[IEFE], MATCH( Input_HVACType,Table_Bldg_IEFD_IEFC[List_HVAC], 0))</f>
        <v>#N/A</v>
      </c>
      <c r="AL77" s="127" t="e">
        <f>INDEX( Table_Bldg_IEFD_IEFC[IEFE],MATCH( Input_HVACType, Table_Bldg_IEFD_IEFC[List_HVAC],0 ))</f>
        <v>#N/A</v>
      </c>
      <c r="AM77" s="127" t="e">
        <f>INDEX(Table_Control_PAF[PAF], MATCH(Table_PrescriptLights_Input[[#This Row],[Existing controls]], Table_Control_PAF[List_Control_Types], 0 ) )</f>
        <v>#N/A</v>
      </c>
      <c r="AN77"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77"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77"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77" s="53">
        <f>IFERROR(LEFT(Table_PrescriptLights_Input[[#This Row],[Existing lighting type]], FIND(",",Table_PrescriptLights_Input[[#This Row],[Existing lighting type]])-1), Table_PrescriptLights_Input[[#This Row],[Existing lighting type]])</f>
        <v>0</v>
      </c>
      <c r="AR77" s="53" t="str">
        <f>_xlfn.CONCAT(Table_PrescriptLights_Input[[#This Row],[Generalized Fixture Type]], ":",Table_PrescriptLights_Input[[#This Row],[Existing lamps per fixture]],":",Table_PrescriptLights_Input[[#This Row],[Existing lamp wattage]])</f>
        <v>0::</v>
      </c>
      <c r="AS77" s="53" t="e">
        <f>INDEX(Table_TRM_Fixtures[Fixture Code], MATCH(Table_PrescriptLights_Input[[#This Row],[Generalized Fixture Baseline Lookup]], Table_TRM_Fixtures[Generalized Baseline Fixture Lookup], 0))</f>
        <v>#N/A</v>
      </c>
      <c r="AT77"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77"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77"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77"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77"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77" s="53" t="e">
        <f>IFERROR(Table_PrescriptLights_Input[[#This Row],[Detailed Baseline Fixture Code]],Table_PrescriptLights_Input[[#This Row],[Generalized Baseline Fixture Code]])</f>
        <v>#N/A</v>
      </c>
      <c r="AZ77" s="4"/>
      <c r="BA77" s="4"/>
      <c r="BB77" s="4"/>
      <c r="BC77" s="4"/>
      <c r="BD77" s="4"/>
      <c r="BE77" s="4"/>
      <c r="BF77" s="4"/>
      <c r="BG77" s="4"/>
      <c r="BH77" s="4"/>
      <c r="BI77" s="4"/>
      <c r="BJ77" s="4"/>
      <c r="BK77" s="4"/>
      <c r="BL77" s="4"/>
      <c r="BM77" s="4"/>
      <c r="BN77" s="4"/>
      <c r="BO77" s="4"/>
      <c r="BP77" s="4"/>
      <c r="BQ77" s="4"/>
    </row>
    <row r="78" spans="1:69" x14ac:dyDescent="0.2">
      <c r="A78" s="4"/>
      <c r="B78" s="189">
        <v>74</v>
      </c>
      <c r="C78" s="61" t="str">
        <f>IFERROR(INDEX(Table_Prescript_Meas[Measure Number], MATCH(Table_PrescriptLights_Input[[#This Row],[Prescriptive lighting measure]], Table_Prescript_Meas[Measure Description], 0)), "")</f>
        <v/>
      </c>
      <c r="D78" s="192"/>
      <c r="E78" s="179"/>
      <c r="F78" s="179"/>
      <c r="G78" s="61" t="str">
        <f>IFERROR(INDEX(Table_Prescript_Meas[Unit], MATCH(Table_PrescriptLights_Input[[#This Row],[Measure number]], Table_Prescript_Meas[Measure Number], 0)), "")</f>
        <v/>
      </c>
      <c r="H78" s="180"/>
      <c r="I78" s="179"/>
      <c r="J78" s="179"/>
      <c r="K78" s="180"/>
      <c r="L78" s="179"/>
      <c r="M78" s="180"/>
      <c r="N78" s="180"/>
      <c r="O78" s="180"/>
      <c r="P78" s="180"/>
      <c r="Q78" s="180"/>
      <c r="R78" s="181"/>
      <c r="S78" s="181"/>
      <c r="T78"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78"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78" s="69" t="str">
        <f>IF(Table_PrescriptLights_Input[[#This Row],[Prescriptive lighting measure]]="","",Table_PrescriptLights_Input[[#This Row],[Calculated Energy Savings]])</f>
        <v/>
      </c>
      <c r="W78" s="73" t="str">
        <f>IF(Table_PrescriptLights_Input[[#This Row],[Prescriptive lighting measure]]="","",Table_PrescriptLights_Input[[#This Row],[Calculated Demand Savings]])</f>
        <v/>
      </c>
      <c r="X78" s="67" t="str">
        <f>IFERROR(Table_PrescriptLights_Input[[#This Row],[Energy savings (kWh)]]*Input_AvgkWhRate, "")</f>
        <v/>
      </c>
      <c r="Y78" s="67" t="str">
        <f>IF(Table_PrescriptLights_Input[[#This Row],[Prescriptive lighting measure]]="", "",Table_PrescriptLights_Input[[#This Row],[Material cost per fixture]]*Table_PrescriptLights_Input[[#This Row],[Number of proposed fixtures]]+Table_PrescriptLights_Input[[#This Row],[Total labor cost]])</f>
        <v/>
      </c>
      <c r="Z78" s="67" t="str">
        <f>IFERROR(Table_PrescriptLights_Input[[#This Row],[Gross measure cost]]-Table_PrescriptLights_Input[[#This Row],[Estimated incentive]], "")</f>
        <v/>
      </c>
      <c r="AA78" s="69" t="str">
        <f t="shared" si="2"/>
        <v/>
      </c>
      <c r="AB78" s="69" t="str">
        <f>IF(ISNUMBER(Table_PrescriptLights_Input[[#This Row],[Detailed Fixture Calculation Wattage]]), "Detailed", "General")</f>
        <v>General</v>
      </c>
      <c r="AC78" s="53" t="e">
        <f>INDEX(Table_IntExt_Match[Measure Selection List], MATCH(Table_PrescriptLights_Input[[#This Row],[Interior or exterior?]], Table_IntExt_Match[Inetrior or Exterior], 0))</f>
        <v>#N/A</v>
      </c>
      <c r="AD78" s="53" t="e">
        <f>INDEX(Table_Prescript_Meas[Unit], MATCH(C78, Table_Prescript_Meas[Measure Number], 0))</f>
        <v>#N/A</v>
      </c>
      <c r="AE78" s="53" t="e">
        <f>INDEX(Table_Prescript_Meas[Lighting Type Selection List], MATCH(C78, Table_Prescript_Meas[Measure Number], 0))</f>
        <v>#N/A</v>
      </c>
      <c r="AF78" s="53" t="e">
        <f>INDEX(Table_Prescript_Meas[AOH Type], MATCH(Table_PrescriptLights_Input[[#This Row],[Measure number]], Table_Prescript_Meas[Measure Number],0))</f>
        <v>#N/A</v>
      </c>
      <c r="AG78"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78" s="53" t="str">
        <f>_xlfn.CONCAT(Table_PrescriptLights_Input[[#This Row],[Existing lighting type]],":",Table_PrescriptLights_Input[[#This Row],[Existing lamps per fixture]], ":",Table_PrescriptLights_Input[[#This Row],[Existing lamp wattage]])</f>
        <v>::</v>
      </c>
      <c r="AI78" s="53" t="e">
        <f>INDEX(Table_TRM_Fixtures[Fixture Code], MATCH(Table_PrescriptLights_Input[[#This Row],[Detailed Baseline Fixture Lookup]], Table_TRM_Fixtures[Detailed Prescriptive Baseline Fixture Lookup], 0))</f>
        <v>#N/A</v>
      </c>
      <c r="AJ78" s="53" t="e">
        <f>INDEX(Table_TRM_Fixtures[Fixture Wattage for Baseline Calculations],MATCH(Table_PrescriptLights_Input[[#This Row],[Detailed Baseline Fixture Lookup]], Table_TRM_Fixtures[Detailed Prescriptive Baseline Fixture Lookup],0))</f>
        <v>#N/A</v>
      </c>
      <c r="AK78" s="127" t="e">
        <f>INDEX(Table_Bldg_IEFD_IEFC[IEFE], MATCH( Input_HVACType,Table_Bldg_IEFD_IEFC[List_HVAC], 0))</f>
        <v>#N/A</v>
      </c>
      <c r="AL78" s="127" t="e">
        <f>INDEX( Table_Bldg_IEFD_IEFC[IEFE],MATCH( Input_HVACType, Table_Bldg_IEFD_IEFC[List_HVAC],0 ))</f>
        <v>#N/A</v>
      </c>
      <c r="AM78" s="127" t="e">
        <f>INDEX(Table_Control_PAF[PAF], MATCH(Table_PrescriptLights_Input[[#This Row],[Existing controls]], Table_Control_PAF[List_Control_Types], 0 ) )</f>
        <v>#N/A</v>
      </c>
      <c r="AN78"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78"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78"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78" s="53">
        <f>IFERROR(LEFT(Table_PrescriptLights_Input[[#This Row],[Existing lighting type]], FIND(",",Table_PrescriptLights_Input[[#This Row],[Existing lighting type]])-1), Table_PrescriptLights_Input[[#This Row],[Existing lighting type]])</f>
        <v>0</v>
      </c>
      <c r="AR78" s="53" t="str">
        <f>_xlfn.CONCAT(Table_PrescriptLights_Input[[#This Row],[Generalized Fixture Type]], ":",Table_PrescriptLights_Input[[#This Row],[Existing lamps per fixture]],":",Table_PrescriptLights_Input[[#This Row],[Existing lamp wattage]])</f>
        <v>0::</v>
      </c>
      <c r="AS78" s="53" t="e">
        <f>INDEX(Table_TRM_Fixtures[Fixture Code], MATCH(Table_PrescriptLights_Input[[#This Row],[Generalized Fixture Baseline Lookup]], Table_TRM_Fixtures[Generalized Baseline Fixture Lookup], 0))</f>
        <v>#N/A</v>
      </c>
      <c r="AT78"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78"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78"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78"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78"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78" s="53" t="e">
        <f>IFERROR(Table_PrescriptLights_Input[[#This Row],[Detailed Baseline Fixture Code]],Table_PrescriptLights_Input[[#This Row],[Generalized Baseline Fixture Code]])</f>
        <v>#N/A</v>
      </c>
      <c r="AZ78" s="4"/>
      <c r="BA78" s="4"/>
      <c r="BB78" s="4"/>
      <c r="BC78" s="4"/>
      <c r="BD78" s="4"/>
      <c r="BE78" s="4"/>
      <c r="BF78" s="4"/>
      <c r="BG78" s="4"/>
      <c r="BH78" s="4"/>
      <c r="BI78" s="4"/>
      <c r="BJ78" s="4"/>
      <c r="BK78" s="4"/>
      <c r="BL78" s="4"/>
      <c r="BM78" s="4"/>
      <c r="BN78" s="4"/>
      <c r="BO78" s="4"/>
      <c r="BP78" s="4"/>
      <c r="BQ78" s="4"/>
    </row>
    <row r="79" spans="1:69" x14ac:dyDescent="0.2">
      <c r="A79" s="4"/>
      <c r="B79" s="189">
        <v>75</v>
      </c>
      <c r="C79" s="61" t="str">
        <f>IFERROR(INDEX(Table_Prescript_Meas[Measure Number], MATCH(Table_PrescriptLights_Input[[#This Row],[Prescriptive lighting measure]], Table_Prescript_Meas[Measure Description], 0)), "")</f>
        <v/>
      </c>
      <c r="D79" s="192"/>
      <c r="E79" s="179"/>
      <c r="F79" s="179"/>
      <c r="G79" s="61" t="str">
        <f>IFERROR(INDEX(Table_Prescript_Meas[Unit], MATCH(Table_PrescriptLights_Input[[#This Row],[Measure number]], Table_Prescript_Meas[Measure Number], 0)), "")</f>
        <v/>
      </c>
      <c r="H79" s="180"/>
      <c r="I79" s="179"/>
      <c r="J79" s="179"/>
      <c r="K79" s="180"/>
      <c r="L79" s="179"/>
      <c r="M79" s="180"/>
      <c r="N79" s="180"/>
      <c r="O79" s="180"/>
      <c r="P79" s="180"/>
      <c r="Q79" s="180"/>
      <c r="R79" s="181"/>
      <c r="S79" s="181"/>
      <c r="T79"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79"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79" s="69" t="str">
        <f>IF(Table_PrescriptLights_Input[[#This Row],[Prescriptive lighting measure]]="","",Table_PrescriptLights_Input[[#This Row],[Calculated Energy Savings]])</f>
        <v/>
      </c>
      <c r="W79" s="73" t="str">
        <f>IF(Table_PrescriptLights_Input[[#This Row],[Prescriptive lighting measure]]="","",Table_PrescriptLights_Input[[#This Row],[Calculated Demand Savings]])</f>
        <v/>
      </c>
      <c r="X79" s="67" t="str">
        <f>IFERROR(Table_PrescriptLights_Input[[#This Row],[Energy savings (kWh)]]*Input_AvgkWhRate, "")</f>
        <v/>
      </c>
      <c r="Y79" s="67" t="str">
        <f>IF(Table_PrescriptLights_Input[[#This Row],[Prescriptive lighting measure]]="", "",Table_PrescriptLights_Input[[#This Row],[Material cost per fixture]]*Table_PrescriptLights_Input[[#This Row],[Number of proposed fixtures]]+Table_PrescriptLights_Input[[#This Row],[Total labor cost]])</f>
        <v/>
      </c>
      <c r="Z79" s="67" t="str">
        <f>IFERROR(Table_PrescriptLights_Input[[#This Row],[Gross measure cost]]-Table_PrescriptLights_Input[[#This Row],[Estimated incentive]], "")</f>
        <v/>
      </c>
      <c r="AA79" s="69" t="str">
        <f t="shared" si="2"/>
        <v/>
      </c>
      <c r="AB79" s="69" t="str">
        <f>IF(ISNUMBER(Table_PrescriptLights_Input[[#This Row],[Detailed Fixture Calculation Wattage]]), "Detailed", "General")</f>
        <v>General</v>
      </c>
      <c r="AC79" s="53" t="e">
        <f>INDEX(Table_IntExt_Match[Measure Selection List], MATCH(Table_PrescriptLights_Input[[#This Row],[Interior or exterior?]], Table_IntExt_Match[Inetrior or Exterior], 0))</f>
        <v>#N/A</v>
      </c>
      <c r="AD79" s="53" t="e">
        <f>INDEX(Table_Prescript_Meas[Unit], MATCH(C79, Table_Prescript_Meas[Measure Number], 0))</f>
        <v>#N/A</v>
      </c>
      <c r="AE79" s="53" t="e">
        <f>INDEX(Table_Prescript_Meas[Lighting Type Selection List], MATCH(C79, Table_Prescript_Meas[Measure Number], 0))</f>
        <v>#N/A</v>
      </c>
      <c r="AF79" s="53" t="e">
        <f>INDEX(Table_Prescript_Meas[AOH Type], MATCH(Table_PrescriptLights_Input[[#This Row],[Measure number]], Table_Prescript_Meas[Measure Number],0))</f>
        <v>#N/A</v>
      </c>
      <c r="AG79"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79" s="53" t="str">
        <f>_xlfn.CONCAT(Table_PrescriptLights_Input[[#This Row],[Existing lighting type]],":",Table_PrescriptLights_Input[[#This Row],[Existing lamps per fixture]], ":",Table_PrescriptLights_Input[[#This Row],[Existing lamp wattage]])</f>
        <v>::</v>
      </c>
      <c r="AI79" s="53" t="e">
        <f>INDEX(Table_TRM_Fixtures[Fixture Code], MATCH(Table_PrescriptLights_Input[[#This Row],[Detailed Baseline Fixture Lookup]], Table_TRM_Fixtures[Detailed Prescriptive Baseline Fixture Lookup], 0))</f>
        <v>#N/A</v>
      </c>
      <c r="AJ79" s="53" t="e">
        <f>INDEX(Table_TRM_Fixtures[Fixture Wattage for Baseline Calculations],MATCH(Table_PrescriptLights_Input[[#This Row],[Detailed Baseline Fixture Lookup]], Table_TRM_Fixtures[Detailed Prescriptive Baseline Fixture Lookup],0))</f>
        <v>#N/A</v>
      </c>
      <c r="AK79" s="127" t="e">
        <f>INDEX(Table_Bldg_IEFD_IEFC[IEFE], MATCH( Input_HVACType,Table_Bldg_IEFD_IEFC[List_HVAC], 0))</f>
        <v>#N/A</v>
      </c>
      <c r="AL79" s="127" t="e">
        <f>INDEX( Table_Bldg_IEFD_IEFC[IEFE],MATCH( Input_HVACType, Table_Bldg_IEFD_IEFC[List_HVAC],0 ))</f>
        <v>#N/A</v>
      </c>
      <c r="AM79" s="127" t="e">
        <f>INDEX(Table_Control_PAF[PAF], MATCH(Table_PrescriptLights_Input[[#This Row],[Existing controls]], Table_Control_PAF[List_Control_Types], 0 ) )</f>
        <v>#N/A</v>
      </c>
      <c r="AN79"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79"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79"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79" s="53">
        <f>IFERROR(LEFT(Table_PrescriptLights_Input[[#This Row],[Existing lighting type]], FIND(",",Table_PrescriptLights_Input[[#This Row],[Existing lighting type]])-1), Table_PrescriptLights_Input[[#This Row],[Existing lighting type]])</f>
        <v>0</v>
      </c>
      <c r="AR79" s="53" t="str">
        <f>_xlfn.CONCAT(Table_PrescriptLights_Input[[#This Row],[Generalized Fixture Type]], ":",Table_PrescriptLights_Input[[#This Row],[Existing lamps per fixture]],":",Table_PrescriptLights_Input[[#This Row],[Existing lamp wattage]])</f>
        <v>0::</v>
      </c>
      <c r="AS79" s="53" t="e">
        <f>INDEX(Table_TRM_Fixtures[Fixture Code], MATCH(Table_PrescriptLights_Input[[#This Row],[Generalized Fixture Baseline Lookup]], Table_TRM_Fixtures[Generalized Baseline Fixture Lookup], 0))</f>
        <v>#N/A</v>
      </c>
      <c r="AT79"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79"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79"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79"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79"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79" s="53" t="e">
        <f>IFERROR(Table_PrescriptLights_Input[[#This Row],[Detailed Baseline Fixture Code]],Table_PrescriptLights_Input[[#This Row],[Generalized Baseline Fixture Code]])</f>
        <v>#N/A</v>
      </c>
      <c r="AZ79" s="4"/>
      <c r="BA79" s="4"/>
      <c r="BB79" s="4"/>
      <c r="BC79" s="4"/>
      <c r="BD79" s="4"/>
      <c r="BE79" s="4"/>
      <c r="BF79" s="4"/>
      <c r="BG79" s="4"/>
      <c r="BH79" s="4"/>
      <c r="BI79" s="4"/>
      <c r="BJ79" s="4"/>
      <c r="BK79" s="4"/>
      <c r="BL79" s="4"/>
      <c r="BM79" s="4"/>
      <c r="BN79" s="4"/>
      <c r="BO79" s="4"/>
      <c r="BP79" s="4"/>
      <c r="BQ79" s="4"/>
    </row>
    <row r="80" spans="1:69" x14ac:dyDescent="0.2">
      <c r="A80" s="4"/>
      <c r="B80" s="189">
        <v>76</v>
      </c>
      <c r="C80" s="61" t="str">
        <f>IFERROR(INDEX(Table_Prescript_Meas[Measure Number], MATCH(Table_PrescriptLights_Input[[#This Row],[Prescriptive lighting measure]], Table_Prescript_Meas[Measure Description], 0)), "")</f>
        <v/>
      </c>
      <c r="D80" s="192"/>
      <c r="E80" s="179"/>
      <c r="F80" s="179"/>
      <c r="G80" s="61" t="str">
        <f>IFERROR(INDEX(Table_Prescript_Meas[Unit], MATCH(Table_PrescriptLights_Input[[#This Row],[Measure number]], Table_Prescript_Meas[Measure Number], 0)), "")</f>
        <v/>
      </c>
      <c r="H80" s="180"/>
      <c r="I80" s="179"/>
      <c r="J80" s="179"/>
      <c r="K80" s="180"/>
      <c r="L80" s="179"/>
      <c r="M80" s="180"/>
      <c r="N80" s="180"/>
      <c r="O80" s="180"/>
      <c r="P80" s="180"/>
      <c r="Q80" s="180"/>
      <c r="R80" s="181"/>
      <c r="S80" s="181"/>
      <c r="T80"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80"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80" s="69" t="str">
        <f>IF(Table_PrescriptLights_Input[[#This Row],[Prescriptive lighting measure]]="","",Table_PrescriptLights_Input[[#This Row],[Calculated Energy Savings]])</f>
        <v/>
      </c>
      <c r="W80" s="73" t="str">
        <f>IF(Table_PrescriptLights_Input[[#This Row],[Prescriptive lighting measure]]="","",Table_PrescriptLights_Input[[#This Row],[Calculated Demand Savings]])</f>
        <v/>
      </c>
      <c r="X80" s="67" t="str">
        <f>IFERROR(Table_PrescriptLights_Input[[#This Row],[Energy savings (kWh)]]*Input_AvgkWhRate, "")</f>
        <v/>
      </c>
      <c r="Y80" s="67" t="str">
        <f>IF(Table_PrescriptLights_Input[[#This Row],[Prescriptive lighting measure]]="", "",Table_PrescriptLights_Input[[#This Row],[Material cost per fixture]]*Table_PrescriptLights_Input[[#This Row],[Number of proposed fixtures]]+Table_PrescriptLights_Input[[#This Row],[Total labor cost]])</f>
        <v/>
      </c>
      <c r="Z80" s="67" t="str">
        <f>IFERROR(Table_PrescriptLights_Input[[#This Row],[Gross measure cost]]-Table_PrescriptLights_Input[[#This Row],[Estimated incentive]], "")</f>
        <v/>
      </c>
      <c r="AA80" s="69" t="str">
        <f t="shared" si="2"/>
        <v/>
      </c>
      <c r="AB80" s="69" t="str">
        <f>IF(ISNUMBER(Table_PrescriptLights_Input[[#This Row],[Detailed Fixture Calculation Wattage]]), "Detailed", "General")</f>
        <v>General</v>
      </c>
      <c r="AC80" s="53" t="e">
        <f>INDEX(Table_IntExt_Match[Measure Selection List], MATCH(Table_PrescriptLights_Input[[#This Row],[Interior or exterior?]], Table_IntExt_Match[Inetrior or Exterior], 0))</f>
        <v>#N/A</v>
      </c>
      <c r="AD80" s="53" t="e">
        <f>INDEX(Table_Prescript_Meas[Unit], MATCH(C80, Table_Prescript_Meas[Measure Number], 0))</f>
        <v>#N/A</v>
      </c>
      <c r="AE80" s="53" t="e">
        <f>INDEX(Table_Prescript_Meas[Lighting Type Selection List], MATCH(C80, Table_Prescript_Meas[Measure Number], 0))</f>
        <v>#N/A</v>
      </c>
      <c r="AF80" s="53" t="e">
        <f>INDEX(Table_Prescript_Meas[AOH Type], MATCH(Table_PrescriptLights_Input[[#This Row],[Measure number]], Table_Prescript_Meas[Measure Number],0))</f>
        <v>#N/A</v>
      </c>
      <c r="AG80"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80" s="53" t="str">
        <f>_xlfn.CONCAT(Table_PrescriptLights_Input[[#This Row],[Existing lighting type]],":",Table_PrescriptLights_Input[[#This Row],[Existing lamps per fixture]], ":",Table_PrescriptLights_Input[[#This Row],[Existing lamp wattage]])</f>
        <v>::</v>
      </c>
      <c r="AI80" s="53" t="e">
        <f>INDEX(Table_TRM_Fixtures[Fixture Code], MATCH(Table_PrescriptLights_Input[[#This Row],[Detailed Baseline Fixture Lookup]], Table_TRM_Fixtures[Detailed Prescriptive Baseline Fixture Lookup], 0))</f>
        <v>#N/A</v>
      </c>
      <c r="AJ80" s="53" t="e">
        <f>INDEX(Table_TRM_Fixtures[Fixture Wattage for Baseline Calculations],MATCH(Table_PrescriptLights_Input[[#This Row],[Detailed Baseline Fixture Lookup]], Table_TRM_Fixtures[Detailed Prescriptive Baseline Fixture Lookup],0))</f>
        <v>#N/A</v>
      </c>
      <c r="AK80" s="127" t="e">
        <f>INDEX(Table_Bldg_IEFD_IEFC[IEFE], MATCH( Input_HVACType,Table_Bldg_IEFD_IEFC[List_HVAC], 0))</f>
        <v>#N/A</v>
      </c>
      <c r="AL80" s="127" t="e">
        <f>INDEX( Table_Bldg_IEFD_IEFC[IEFE],MATCH( Input_HVACType, Table_Bldg_IEFD_IEFC[List_HVAC],0 ))</f>
        <v>#N/A</v>
      </c>
      <c r="AM80" s="127" t="e">
        <f>INDEX(Table_Control_PAF[PAF], MATCH(Table_PrescriptLights_Input[[#This Row],[Existing controls]], Table_Control_PAF[List_Control_Types], 0 ) )</f>
        <v>#N/A</v>
      </c>
      <c r="AN80"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80"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80"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80" s="53">
        <f>IFERROR(LEFT(Table_PrescriptLights_Input[[#This Row],[Existing lighting type]], FIND(",",Table_PrescriptLights_Input[[#This Row],[Existing lighting type]])-1), Table_PrescriptLights_Input[[#This Row],[Existing lighting type]])</f>
        <v>0</v>
      </c>
      <c r="AR80" s="53" t="str">
        <f>_xlfn.CONCAT(Table_PrescriptLights_Input[[#This Row],[Generalized Fixture Type]], ":",Table_PrescriptLights_Input[[#This Row],[Existing lamps per fixture]],":",Table_PrescriptLights_Input[[#This Row],[Existing lamp wattage]])</f>
        <v>0::</v>
      </c>
      <c r="AS80" s="53" t="e">
        <f>INDEX(Table_TRM_Fixtures[Fixture Code], MATCH(Table_PrescriptLights_Input[[#This Row],[Generalized Fixture Baseline Lookup]], Table_TRM_Fixtures[Generalized Baseline Fixture Lookup], 0))</f>
        <v>#N/A</v>
      </c>
      <c r="AT80"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80"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80"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80"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80"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80" s="53" t="e">
        <f>IFERROR(Table_PrescriptLights_Input[[#This Row],[Detailed Baseline Fixture Code]],Table_PrescriptLights_Input[[#This Row],[Generalized Baseline Fixture Code]])</f>
        <v>#N/A</v>
      </c>
      <c r="AZ80" s="4"/>
      <c r="BA80" s="4"/>
      <c r="BB80" s="4"/>
      <c r="BC80" s="4"/>
      <c r="BD80" s="4"/>
      <c r="BE80" s="4"/>
      <c r="BF80" s="4"/>
      <c r="BG80" s="4"/>
      <c r="BH80" s="4"/>
      <c r="BI80" s="4"/>
      <c r="BJ80" s="4"/>
      <c r="BK80" s="4"/>
      <c r="BL80" s="4"/>
      <c r="BM80" s="4"/>
      <c r="BN80" s="4"/>
      <c r="BO80" s="4"/>
      <c r="BP80" s="4"/>
      <c r="BQ80" s="4"/>
    </row>
    <row r="81" spans="1:69" x14ac:dyDescent="0.2">
      <c r="A81" s="4"/>
      <c r="B81" s="189">
        <v>77</v>
      </c>
      <c r="C81" s="61" t="str">
        <f>IFERROR(INDEX(Table_Prescript_Meas[Measure Number], MATCH(Table_PrescriptLights_Input[[#This Row],[Prescriptive lighting measure]], Table_Prescript_Meas[Measure Description], 0)), "")</f>
        <v/>
      </c>
      <c r="D81" s="192"/>
      <c r="E81" s="179"/>
      <c r="F81" s="179"/>
      <c r="G81" s="61" t="str">
        <f>IFERROR(INDEX(Table_Prescript_Meas[Unit], MATCH(Table_PrescriptLights_Input[[#This Row],[Measure number]], Table_Prescript_Meas[Measure Number], 0)), "")</f>
        <v/>
      </c>
      <c r="H81" s="180"/>
      <c r="I81" s="179"/>
      <c r="J81" s="179"/>
      <c r="K81" s="180"/>
      <c r="L81" s="179"/>
      <c r="M81" s="180"/>
      <c r="N81" s="180"/>
      <c r="O81" s="180"/>
      <c r="P81" s="180"/>
      <c r="Q81" s="180"/>
      <c r="R81" s="181"/>
      <c r="S81" s="181"/>
      <c r="T81"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81"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81" s="69" t="str">
        <f>IF(Table_PrescriptLights_Input[[#This Row],[Prescriptive lighting measure]]="","",Table_PrescriptLights_Input[[#This Row],[Calculated Energy Savings]])</f>
        <v/>
      </c>
      <c r="W81" s="73" t="str">
        <f>IF(Table_PrescriptLights_Input[[#This Row],[Prescriptive lighting measure]]="","",Table_PrescriptLights_Input[[#This Row],[Calculated Demand Savings]])</f>
        <v/>
      </c>
      <c r="X81" s="67" t="str">
        <f>IFERROR(Table_PrescriptLights_Input[[#This Row],[Energy savings (kWh)]]*Input_AvgkWhRate, "")</f>
        <v/>
      </c>
      <c r="Y81" s="67" t="str">
        <f>IF(Table_PrescriptLights_Input[[#This Row],[Prescriptive lighting measure]]="", "",Table_PrescriptLights_Input[[#This Row],[Material cost per fixture]]*Table_PrescriptLights_Input[[#This Row],[Number of proposed fixtures]]+Table_PrescriptLights_Input[[#This Row],[Total labor cost]])</f>
        <v/>
      </c>
      <c r="Z81" s="67" t="str">
        <f>IFERROR(Table_PrescriptLights_Input[[#This Row],[Gross measure cost]]-Table_PrescriptLights_Input[[#This Row],[Estimated incentive]], "")</f>
        <v/>
      </c>
      <c r="AA81" s="69" t="str">
        <f t="shared" si="2"/>
        <v/>
      </c>
      <c r="AB81" s="69" t="str">
        <f>IF(ISNUMBER(Table_PrescriptLights_Input[[#This Row],[Detailed Fixture Calculation Wattage]]), "Detailed", "General")</f>
        <v>General</v>
      </c>
      <c r="AC81" s="53" t="e">
        <f>INDEX(Table_IntExt_Match[Measure Selection List], MATCH(Table_PrescriptLights_Input[[#This Row],[Interior or exterior?]], Table_IntExt_Match[Inetrior or Exterior], 0))</f>
        <v>#N/A</v>
      </c>
      <c r="AD81" s="53" t="e">
        <f>INDEX(Table_Prescript_Meas[Unit], MATCH(C81, Table_Prescript_Meas[Measure Number], 0))</f>
        <v>#N/A</v>
      </c>
      <c r="AE81" s="53" t="e">
        <f>INDEX(Table_Prescript_Meas[Lighting Type Selection List], MATCH(C81, Table_Prescript_Meas[Measure Number], 0))</f>
        <v>#N/A</v>
      </c>
      <c r="AF81" s="53" t="e">
        <f>INDEX(Table_Prescript_Meas[AOH Type], MATCH(Table_PrescriptLights_Input[[#This Row],[Measure number]], Table_Prescript_Meas[Measure Number],0))</f>
        <v>#N/A</v>
      </c>
      <c r="AG81"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81" s="53" t="str">
        <f>_xlfn.CONCAT(Table_PrescriptLights_Input[[#This Row],[Existing lighting type]],":",Table_PrescriptLights_Input[[#This Row],[Existing lamps per fixture]], ":",Table_PrescriptLights_Input[[#This Row],[Existing lamp wattage]])</f>
        <v>::</v>
      </c>
      <c r="AI81" s="53" t="e">
        <f>INDEX(Table_TRM_Fixtures[Fixture Code], MATCH(Table_PrescriptLights_Input[[#This Row],[Detailed Baseline Fixture Lookup]], Table_TRM_Fixtures[Detailed Prescriptive Baseline Fixture Lookup], 0))</f>
        <v>#N/A</v>
      </c>
      <c r="AJ81" s="53" t="e">
        <f>INDEX(Table_TRM_Fixtures[Fixture Wattage for Baseline Calculations],MATCH(Table_PrescriptLights_Input[[#This Row],[Detailed Baseline Fixture Lookup]], Table_TRM_Fixtures[Detailed Prescriptive Baseline Fixture Lookup],0))</f>
        <v>#N/A</v>
      </c>
      <c r="AK81" s="127" t="e">
        <f>INDEX(Table_Bldg_IEFD_IEFC[IEFE], MATCH( Input_HVACType,Table_Bldg_IEFD_IEFC[List_HVAC], 0))</f>
        <v>#N/A</v>
      </c>
      <c r="AL81" s="127" t="e">
        <f>INDEX( Table_Bldg_IEFD_IEFC[IEFE],MATCH( Input_HVACType, Table_Bldg_IEFD_IEFC[List_HVAC],0 ))</f>
        <v>#N/A</v>
      </c>
      <c r="AM81" s="127" t="e">
        <f>INDEX(Table_Control_PAF[PAF], MATCH(Table_PrescriptLights_Input[[#This Row],[Existing controls]], Table_Control_PAF[List_Control_Types], 0 ) )</f>
        <v>#N/A</v>
      </c>
      <c r="AN81"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81"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81"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81" s="53">
        <f>IFERROR(LEFT(Table_PrescriptLights_Input[[#This Row],[Existing lighting type]], FIND(",",Table_PrescriptLights_Input[[#This Row],[Existing lighting type]])-1), Table_PrescriptLights_Input[[#This Row],[Existing lighting type]])</f>
        <v>0</v>
      </c>
      <c r="AR81" s="53" t="str">
        <f>_xlfn.CONCAT(Table_PrescriptLights_Input[[#This Row],[Generalized Fixture Type]], ":",Table_PrescriptLights_Input[[#This Row],[Existing lamps per fixture]],":",Table_PrescriptLights_Input[[#This Row],[Existing lamp wattage]])</f>
        <v>0::</v>
      </c>
      <c r="AS81" s="53" t="e">
        <f>INDEX(Table_TRM_Fixtures[Fixture Code], MATCH(Table_PrescriptLights_Input[[#This Row],[Generalized Fixture Baseline Lookup]], Table_TRM_Fixtures[Generalized Baseline Fixture Lookup], 0))</f>
        <v>#N/A</v>
      </c>
      <c r="AT81"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81"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81"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81"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81"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81" s="53" t="e">
        <f>IFERROR(Table_PrescriptLights_Input[[#This Row],[Detailed Baseline Fixture Code]],Table_PrescriptLights_Input[[#This Row],[Generalized Baseline Fixture Code]])</f>
        <v>#N/A</v>
      </c>
      <c r="AZ81" s="4"/>
      <c r="BA81" s="4"/>
      <c r="BB81" s="4"/>
      <c r="BC81" s="4"/>
      <c r="BD81" s="4"/>
      <c r="BE81" s="4"/>
      <c r="BF81" s="4"/>
      <c r="BG81" s="4"/>
      <c r="BH81" s="4"/>
      <c r="BI81" s="4"/>
      <c r="BJ81" s="4"/>
      <c r="BK81" s="4"/>
      <c r="BL81" s="4"/>
      <c r="BM81" s="4"/>
      <c r="BN81" s="4"/>
      <c r="BO81" s="4"/>
      <c r="BP81" s="4"/>
      <c r="BQ81" s="4"/>
    </row>
    <row r="82" spans="1:69" x14ac:dyDescent="0.2">
      <c r="A82" s="4"/>
      <c r="B82" s="189">
        <v>78</v>
      </c>
      <c r="C82" s="61" t="str">
        <f>IFERROR(INDEX(Table_Prescript_Meas[Measure Number], MATCH(Table_PrescriptLights_Input[[#This Row],[Prescriptive lighting measure]], Table_Prescript_Meas[Measure Description], 0)), "")</f>
        <v/>
      </c>
      <c r="D82" s="192"/>
      <c r="E82" s="179"/>
      <c r="F82" s="179"/>
      <c r="G82" s="61" t="str">
        <f>IFERROR(INDEX(Table_Prescript_Meas[Unit], MATCH(Table_PrescriptLights_Input[[#This Row],[Measure number]], Table_Prescript_Meas[Measure Number], 0)), "")</f>
        <v/>
      </c>
      <c r="H82" s="180"/>
      <c r="I82" s="179"/>
      <c r="J82" s="179"/>
      <c r="K82" s="180"/>
      <c r="L82" s="179"/>
      <c r="M82" s="180"/>
      <c r="N82" s="180"/>
      <c r="O82" s="180"/>
      <c r="P82" s="180"/>
      <c r="Q82" s="180"/>
      <c r="R82" s="181"/>
      <c r="S82" s="181"/>
      <c r="T82"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82"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82" s="69" t="str">
        <f>IF(Table_PrescriptLights_Input[[#This Row],[Prescriptive lighting measure]]="","",Table_PrescriptLights_Input[[#This Row],[Calculated Energy Savings]])</f>
        <v/>
      </c>
      <c r="W82" s="73" t="str">
        <f>IF(Table_PrescriptLights_Input[[#This Row],[Prescriptive lighting measure]]="","",Table_PrescriptLights_Input[[#This Row],[Calculated Demand Savings]])</f>
        <v/>
      </c>
      <c r="X82" s="67" t="str">
        <f>IFERROR(Table_PrescriptLights_Input[[#This Row],[Energy savings (kWh)]]*Input_AvgkWhRate, "")</f>
        <v/>
      </c>
      <c r="Y82" s="67" t="str">
        <f>IF(Table_PrescriptLights_Input[[#This Row],[Prescriptive lighting measure]]="", "",Table_PrescriptLights_Input[[#This Row],[Material cost per fixture]]*Table_PrescriptLights_Input[[#This Row],[Number of proposed fixtures]]+Table_PrescriptLights_Input[[#This Row],[Total labor cost]])</f>
        <v/>
      </c>
      <c r="Z82" s="67" t="str">
        <f>IFERROR(Table_PrescriptLights_Input[[#This Row],[Gross measure cost]]-Table_PrescriptLights_Input[[#This Row],[Estimated incentive]], "")</f>
        <v/>
      </c>
      <c r="AA82" s="69" t="str">
        <f t="shared" si="2"/>
        <v/>
      </c>
      <c r="AB82" s="69" t="str">
        <f>IF(ISNUMBER(Table_PrescriptLights_Input[[#This Row],[Detailed Fixture Calculation Wattage]]), "Detailed", "General")</f>
        <v>General</v>
      </c>
      <c r="AC82" s="53" t="e">
        <f>INDEX(Table_IntExt_Match[Measure Selection List], MATCH(Table_PrescriptLights_Input[[#This Row],[Interior or exterior?]], Table_IntExt_Match[Inetrior or Exterior], 0))</f>
        <v>#N/A</v>
      </c>
      <c r="AD82" s="53" t="e">
        <f>INDEX(Table_Prescript_Meas[Unit], MATCH(C82, Table_Prescript_Meas[Measure Number], 0))</f>
        <v>#N/A</v>
      </c>
      <c r="AE82" s="53" t="e">
        <f>INDEX(Table_Prescript_Meas[Lighting Type Selection List], MATCH(C82, Table_Prescript_Meas[Measure Number], 0))</f>
        <v>#N/A</v>
      </c>
      <c r="AF82" s="53" t="e">
        <f>INDEX(Table_Prescript_Meas[AOH Type], MATCH(Table_PrescriptLights_Input[[#This Row],[Measure number]], Table_Prescript_Meas[Measure Number],0))</f>
        <v>#N/A</v>
      </c>
      <c r="AG82"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82" s="53" t="str">
        <f>_xlfn.CONCAT(Table_PrescriptLights_Input[[#This Row],[Existing lighting type]],":",Table_PrescriptLights_Input[[#This Row],[Existing lamps per fixture]], ":",Table_PrescriptLights_Input[[#This Row],[Existing lamp wattage]])</f>
        <v>::</v>
      </c>
      <c r="AI82" s="53" t="e">
        <f>INDEX(Table_TRM_Fixtures[Fixture Code], MATCH(Table_PrescriptLights_Input[[#This Row],[Detailed Baseline Fixture Lookup]], Table_TRM_Fixtures[Detailed Prescriptive Baseline Fixture Lookup], 0))</f>
        <v>#N/A</v>
      </c>
      <c r="AJ82" s="53" t="e">
        <f>INDEX(Table_TRM_Fixtures[Fixture Wattage for Baseline Calculations],MATCH(Table_PrescriptLights_Input[[#This Row],[Detailed Baseline Fixture Lookup]], Table_TRM_Fixtures[Detailed Prescriptive Baseline Fixture Lookup],0))</f>
        <v>#N/A</v>
      </c>
      <c r="AK82" s="127" t="e">
        <f>INDEX(Table_Bldg_IEFD_IEFC[IEFE], MATCH( Input_HVACType,Table_Bldg_IEFD_IEFC[List_HVAC], 0))</f>
        <v>#N/A</v>
      </c>
      <c r="AL82" s="127" t="e">
        <f>INDEX( Table_Bldg_IEFD_IEFC[IEFE],MATCH( Input_HVACType, Table_Bldg_IEFD_IEFC[List_HVAC],0 ))</f>
        <v>#N/A</v>
      </c>
      <c r="AM82" s="127" t="e">
        <f>INDEX(Table_Control_PAF[PAF], MATCH(Table_PrescriptLights_Input[[#This Row],[Existing controls]], Table_Control_PAF[List_Control_Types], 0 ) )</f>
        <v>#N/A</v>
      </c>
      <c r="AN82"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82"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82"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82" s="53">
        <f>IFERROR(LEFT(Table_PrescriptLights_Input[[#This Row],[Existing lighting type]], FIND(",",Table_PrescriptLights_Input[[#This Row],[Existing lighting type]])-1), Table_PrescriptLights_Input[[#This Row],[Existing lighting type]])</f>
        <v>0</v>
      </c>
      <c r="AR82" s="53" t="str">
        <f>_xlfn.CONCAT(Table_PrescriptLights_Input[[#This Row],[Generalized Fixture Type]], ":",Table_PrescriptLights_Input[[#This Row],[Existing lamps per fixture]],":",Table_PrescriptLights_Input[[#This Row],[Existing lamp wattage]])</f>
        <v>0::</v>
      </c>
      <c r="AS82" s="53" t="e">
        <f>INDEX(Table_TRM_Fixtures[Fixture Code], MATCH(Table_PrescriptLights_Input[[#This Row],[Generalized Fixture Baseline Lookup]], Table_TRM_Fixtures[Generalized Baseline Fixture Lookup], 0))</f>
        <v>#N/A</v>
      </c>
      <c r="AT82"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82"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82"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82"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82"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82" s="53" t="e">
        <f>IFERROR(Table_PrescriptLights_Input[[#This Row],[Detailed Baseline Fixture Code]],Table_PrescriptLights_Input[[#This Row],[Generalized Baseline Fixture Code]])</f>
        <v>#N/A</v>
      </c>
      <c r="AZ82" s="4"/>
      <c r="BA82" s="4"/>
      <c r="BB82" s="4"/>
      <c r="BC82" s="4"/>
      <c r="BD82" s="4"/>
      <c r="BE82" s="4"/>
      <c r="BF82" s="4"/>
      <c r="BG82" s="4"/>
      <c r="BH82" s="4"/>
      <c r="BI82" s="4"/>
      <c r="BJ82" s="4"/>
      <c r="BK82" s="4"/>
      <c r="BL82" s="4"/>
      <c r="BM82" s="4"/>
      <c r="BN82" s="4"/>
      <c r="BO82" s="4"/>
      <c r="BP82" s="4"/>
      <c r="BQ82" s="4"/>
    </row>
    <row r="83" spans="1:69" x14ac:dyDescent="0.2">
      <c r="A83" s="4"/>
      <c r="B83" s="189">
        <v>79</v>
      </c>
      <c r="C83" s="61" t="str">
        <f>IFERROR(INDEX(Table_Prescript_Meas[Measure Number], MATCH(Table_PrescriptLights_Input[[#This Row],[Prescriptive lighting measure]], Table_Prescript_Meas[Measure Description], 0)), "")</f>
        <v/>
      </c>
      <c r="D83" s="192"/>
      <c r="E83" s="179"/>
      <c r="F83" s="179"/>
      <c r="G83" s="61" t="str">
        <f>IFERROR(INDEX(Table_Prescript_Meas[Unit], MATCH(Table_PrescriptLights_Input[[#This Row],[Measure number]], Table_Prescript_Meas[Measure Number], 0)), "")</f>
        <v/>
      </c>
      <c r="H83" s="180"/>
      <c r="I83" s="179"/>
      <c r="J83" s="179"/>
      <c r="K83" s="180"/>
      <c r="L83" s="179"/>
      <c r="M83" s="180"/>
      <c r="N83" s="180"/>
      <c r="O83" s="180"/>
      <c r="P83" s="180"/>
      <c r="Q83" s="180"/>
      <c r="R83" s="181"/>
      <c r="S83" s="181"/>
      <c r="T83"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83"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83" s="69" t="str">
        <f>IF(Table_PrescriptLights_Input[[#This Row],[Prescriptive lighting measure]]="","",Table_PrescriptLights_Input[[#This Row],[Calculated Energy Savings]])</f>
        <v/>
      </c>
      <c r="W83" s="73" t="str">
        <f>IF(Table_PrescriptLights_Input[[#This Row],[Prescriptive lighting measure]]="","",Table_PrescriptLights_Input[[#This Row],[Calculated Demand Savings]])</f>
        <v/>
      </c>
      <c r="X83" s="67" t="str">
        <f>IFERROR(Table_PrescriptLights_Input[[#This Row],[Energy savings (kWh)]]*Input_AvgkWhRate, "")</f>
        <v/>
      </c>
      <c r="Y83" s="67" t="str">
        <f>IF(Table_PrescriptLights_Input[[#This Row],[Prescriptive lighting measure]]="", "",Table_PrescriptLights_Input[[#This Row],[Material cost per fixture]]*Table_PrescriptLights_Input[[#This Row],[Number of proposed fixtures]]+Table_PrescriptLights_Input[[#This Row],[Total labor cost]])</f>
        <v/>
      </c>
      <c r="Z83" s="67" t="str">
        <f>IFERROR(Table_PrescriptLights_Input[[#This Row],[Gross measure cost]]-Table_PrescriptLights_Input[[#This Row],[Estimated incentive]], "")</f>
        <v/>
      </c>
      <c r="AA83" s="69" t="str">
        <f t="shared" si="2"/>
        <v/>
      </c>
      <c r="AB83" s="69" t="str">
        <f>IF(ISNUMBER(Table_PrescriptLights_Input[[#This Row],[Detailed Fixture Calculation Wattage]]), "Detailed", "General")</f>
        <v>General</v>
      </c>
      <c r="AC83" s="53" t="e">
        <f>INDEX(Table_IntExt_Match[Measure Selection List], MATCH(Table_PrescriptLights_Input[[#This Row],[Interior or exterior?]], Table_IntExt_Match[Inetrior or Exterior], 0))</f>
        <v>#N/A</v>
      </c>
      <c r="AD83" s="53" t="e">
        <f>INDEX(Table_Prescript_Meas[Unit], MATCH(C83, Table_Prescript_Meas[Measure Number], 0))</f>
        <v>#N/A</v>
      </c>
      <c r="AE83" s="53" t="e">
        <f>INDEX(Table_Prescript_Meas[Lighting Type Selection List], MATCH(C83, Table_Prescript_Meas[Measure Number], 0))</f>
        <v>#N/A</v>
      </c>
      <c r="AF83" s="53" t="e">
        <f>INDEX(Table_Prescript_Meas[AOH Type], MATCH(Table_PrescriptLights_Input[[#This Row],[Measure number]], Table_Prescript_Meas[Measure Number],0))</f>
        <v>#N/A</v>
      </c>
      <c r="AG83"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83" s="53" t="str">
        <f>_xlfn.CONCAT(Table_PrescriptLights_Input[[#This Row],[Existing lighting type]],":",Table_PrescriptLights_Input[[#This Row],[Existing lamps per fixture]], ":",Table_PrescriptLights_Input[[#This Row],[Existing lamp wattage]])</f>
        <v>::</v>
      </c>
      <c r="AI83" s="53" t="e">
        <f>INDEX(Table_TRM_Fixtures[Fixture Code], MATCH(Table_PrescriptLights_Input[[#This Row],[Detailed Baseline Fixture Lookup]], Table_TRM_Fixtures[Detailed Prescriptive Baseline Fixture Lookup], 0))</f>
        <v>#N/A</v>
      </c>
      <c r="AJ83" s="53" t="e">
        <f>INDEX(Table_TRM_Fixtures[Fixture Wattage for Baseline Calculations],MATCH(Table_PrescriptLights_Input[[#This Row],[Detailed Baseline Fixture Lookup]], Table_TRM_Fixtures[Detailed Prescriptive Baseline Fixture Lookup],0))</f>
        <v>#N/A</v>
      </c>
      <c r="AK83" s="127" t="e">
        <f>INDEX(Table_Bldg_IEFD_IEFC[IEFE], MATCH( Input_HVACType,Table_Bldg_IEFD_IEFC[List_HVAC], 0))</f>
        <v>#N/A</v>
      </c>
      <c r="AL83" s="127" t="e">
        <f>INDEX( Table_Bldg_IEFD_IEFC[IEFE],MATCH( Input_HVACType, Table_Bldg_IEFD_IEFC[List_HVAC],0 ))</f>
        <v>#N/A</v>
      </c>
      <c r="AM83" s="127" t="e">
        <f>INDEX(Table_Control_PAF[PAF], MATCH(Table_PrescriptLights_Input[[#This Row],[Existing controls]], Table_Control_PAF[List_Control_Types], 0 ) )</f>
        <v>#N/A</v>
      </c>
      <c r="AN83"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83"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83"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83" s="53">
        <f>IFERROR(LEFT(Table_PrescriptLights_Input[[#This Row],[Existing lighting type]], FIND(",",Table_PrescriptLights_Input[[#This Row],[Existing lighting type]])-1), Table_PrescriptLights_Input[[#This Row],[Existing lighting type]])</f>
        <v>0</v>
      </c>
      <c r="AR83" s="53" t="str">
        <f>_xlfn.CONCAT(Table_PrescriptLights_Input[[#This Row],[Generalized Fixture Type]], ":",Table_PrescriptLights_Input[[#This Row],[Existing lamps per fixture]],":",Table_PrescriptLights_Input[[#This Row],[Existing lamp wattage]])</f>
        <v>0::</v>
      </c>
      <c r="AS83" s="53" t="e">
        <f>INDEX(Table_TRM_Fixtures[Fixture Code], MATCH(Table_PrescriptLights_Input[[#This Row],[Generalized Fixture Baseline Lookup]], Table_TRM_Fixtures[Generalized Baseline Fixture Lookup], 0))</f>
        <v>#N/A</v>
      </c>
      <c r="AT83"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83"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83"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83"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83"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83" s="53" t="e">
        <f>IFERROR(Table_PrescriptLights_Input[[#This Row],[Detailed Baseline Fixture Code]],Table_PrescriptLights_Input[[#This Row],[Generalized Baseline Fixture Code]])</f>
        <v>#N/A</v>
      </c>
      <c r="AZ83" s="4"/>
      <c r="BA83" s="4"/>
      <c r="BB83" s="4"/>
      <c r="BC83" s="4"/>
      <c r="BD83" s="4"/>
      <c r="BE83" s="4"/>
      <c r="BF83" s="4"/>
      <c r="BG83" s="4"/>
      <c r="BH83" s="4"/>
      <c r="BI83" s="4"/>
      <c r="BJ83" s="4"/>
      <c r="BK83" s="4"/>
      <c r="BL83" s="4"/>
      <c r="BM83" s="4"/>
      <c r="BN83" s="4"/>
      <c r="BO83" s="4"/>
      <c r="BP83" s="4"/>
      <c r="BQ83" s="4"/>
    </row>
    <row r="84" spans="1:69" x14ac:dyDescent="0.2">
      <c r="A84" s="4"/>
      <c r="B84" s="189">
        <v>80</v>
      </c>
      <c r="C84" s="61" t="str">
        <f>IFERROR(INDEX(Table_Prescript_Meas[Measure Number], MATCH(Table_PrescriptLights_Input[[#This Row],[Prescriptive lighting measure]], Table_Prescript_Meas[Measure Description], 0)), "")</f>
        <v/>
      </c>
      <c r="D84" s="192"/>
      <c r="E84" s="179"/>
      <c r="F84" s="179"/>
      <c r="G84" s="61" t="str">
        <f>IFERROR(INDEX(Table_Prescript_Meas[Unit], MATCH(Table_PrescriptLights_Input[[#This Row],[Measure number]], Table_Prescript_Meas[Measure Number], 0)), "")</f>
        <v/>
      </c>
      <c r="H84" s="180"/>
      <c r="I84" s="179"/>
      <c r="J84" s="179"/>
      <c r="K84" s="180"/>
      <c r="L84" s="179"/>
      <c r="M84" s="180"/>
      <c r="N84" s="180"/>
      <c r="O84" s="180"/>
      <c r="P84" s="180"/>
      <c r="Q84" s="180"/>
      <c r="R84" s="181"/>
      <c r="S84" s="181"/>
      <c r="T84"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84"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84" s="69" t="str">
        <f>IF(Table_PrescriptLights_Input[[#This Row],[Prescriptive lighting measure]]="","",Table_PrescriptLights_Input[[#This Row],[Calculated Energy Savings]])</f>
        <v/>
      </c>
      <c r="W84" s="73" t="str">
        <f>IF(Table_PrescriptLights_Input[[#This Row],[Prescriptive lighting measure]]="","",Table_PrescriptLights_Input[[#This Row],[Calculated Demand Savings]])</f>
        <v/>
      </c>
      <c r="X84" s="67" t="str">
        <f>IFERROR(Table_PrescriptLights_Input[[#This Row],[Energy savings (kWh)]]*Input_AvgkWhRate, "")</f>
        <v/>
      </c>
      <c r="Y84" s="67" t="str">
        <f>IF(Table_PrescriptLights_Input[[#This Row],[Prescriptive lighting measure]]="", "",Table_PrescriptLights_Input[[#This Row],[Material cost per fixture]]*Table_PrescriptLights_Input[[#This Row],[Number of proposed fixtures]]+Table_PrescriptLights_Input[[#This Row],[Total labor cost]])</f>
        <v/>
      </c>
      <c r="Z84" s="67" t="str">
        <f>IFERROR(Table_PrescriptLights_Input[[#This Row],[Gross measure cost]]-Table_PrescriptLights_Input[[#This Row],[Estimated incentive]], "")</f>
        <v/>
      </c>
      <c r="AA84" s="69" t="str">
        <f t="shared" si="2"/>
        <v/>
      </c>
      <c r="AB84" s="69" t="str">
        <f>IF(ISNUMBER(Table_PrescriptLights_Input[[#This Row],[Detailed Fixture Calculation Wattage]]), "Detailed", "General")</f>
        <v>General</v>
      </c>
      <c r="AC84" s="53" t="e">
        <f>INDEX(Table_IntExt_Match[Measure Selection List], MATCH(Table_PrescriptLights_Input[[#This Row],[Interior or exterior?]], Table_IntExt_Match[Inetrior or Exterior], 0))</f>
        <v>#N/A</v>
      </c>
      <c r="AD84" s="53" t="e">
        <f>INDEX(Table_Prescript_Meas[Unit], MATCH(C84, Table_Prescript_Meas[Measure Number], 0))</f>
        <v>#N/A</v>
      </c>
      <c r="AE84" s="53" t="e">
        <f>INDEX(Table_Prescript_Meas[Lighting Type Selection List], MATCH(C84, Table_Prescript_Meas[Measure Number], 0))</f>
        <v>#N/A</v>
      </c>
      <c r="AF84" s="53" t="e">
        <f>INDEX(Table_Prescript_Meas[AOH Type], MATCH(Table_PrescriptLights_Input[[#This Row],[Measure number]], Table_Prescript_Meas[Measure Number],0))</f>
        <v>#N/A</v>
      </c>
      <c r="AG84"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84" s="53" t="str">
        <f>_xlfn.CONCAT(Table_PrescriptLights_Input[[#This Row],[Existing lighting type]],":",Table_PrescriptLights_Input[[#This Row],[Existing lamps per fixture]], ":",Table_PrescriptLights_Input[[#This Row],[Existing lamp wattage]])</f>
        <v>::</v>
      </c>
      <c r="AI84" s="53" t="e">
        <f>INDEX(Table_TRM_Fixtures[Fixture Code], MATCH(Table_PrescriptLights_Input[[#This Row],[Detailed Baseline Fixture Lookup]], Table_TRM_Fixtures[Detailed Prescriptive Baseline Fixture Lookup], 0))</f>
        <v>#N/A</v>
      </c>
      <c r="AJ84" s="53" t="e">
        <f>INDEX(Table_TRM_Fixtures[Fixture Wattage for Baseline Calculations],MATCH(Table_PrescriptLights_Input[[#This Row],[Detailed Baseline Fixture Lookup]], Table_TRM_Fixtures[Detailed Prescriptive Baseline Fixture Lookup],0))</f>
        <v>#N/A</v>
      </c>
      <c r="AK84" s="127" t="e">
        <f>INDEX(Table_Bldg_IEFD_IEFC[IEFE], MATCH( Input_HVACType,Table_Bldg_IEFD_IEFC[List_HVAC], 0))</f>
        <v>#N/A</v>
      </c>
      <c r="AL84" s="127" t="e">
        <f>INDEX( Table_Bldg_IEFD_IEFC[IEFE],MATCH( Input_HVACType, Table_Bldg_IEFD_IEFC[List_HVAC],0 ))</f>
        <v>#N/A</v>
      </c>
      <c r="AM84" s="127" t="e">
        <f>INDEX(Table_Control_PAF[PAF], MATCH(Table_PrescriptLights_Input[[#This Row],[Existing controls]], Table_Control_PAF[List_Control_Types], 0 ) )</f>
        <v>#N/A</v>
      </c>
      <c r="AN84"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84"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84"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84" s="53">
        <f>IFERROR(LEFT(Table_PrescriptLights_Input[[#This Row],[Existing lighting type]], FIND(",",Table_PrescriptLights_Input[[#This Row],[Existing lighting type]])-1), Table_PrescriptLights_Input[[#This Row],[Existing lighting type]])</f>
        <v>0</v>
      </c>
      <c r="AR84" s="53" t="str">
        <f>_xlfn.CONCAT(Table_PrescriptLights_Input[[#This Row],[Generalized Fixture Type]], ":",Table_PrescriptLights_Input[[#This Row],[Existing lamps per fixture]],":",Table_PrescriptLights_Input[[#This Row],[Existing lamp wattage]])</f>
        <v>0::</v>
      </c>
      <c r="AS84" s="53" t="e">
        <f>INDEX(Table_TRM_Fixtures[Fixture Code], MATCH(Table_PrescriptLights_Input[[#This Row],[Generalized Fixture Baseline Lookup]], Table_TRM_Fixtures[Generalized Baseline Fixture Lookup], 0))</f>
        <v>#N/A</v>
      </c>
      <c r="AT84"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84"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84"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84"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84"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84" s="53" t="e">
        <f>IFERROR(Table_PrescriptLights_Input[[#This Row],[Detailed Baseline Fixture Code]],Table_PrescriptLights_Input[[#This Row],[Generalized Baseline Fixture Code]])</f>
        <v>#N/A</v>
      </c>
      <c r="AZ84" s="4"/>
      <c r="BA84" s="4"/>
      <c r="BB84" s="4"/>
      <c r="BC84" s="4"/>
      <c r="BD84" s="4"/>
      <c r="BE84" s="4"/>
      <c r="BF84" s="4"/>
      <c r="BG84" s="4"/>
      <c r="BH84" s="4"/>
      <c r="BI84" s="4"/>
      <c r="BJ84" s="4"/>
      <c r="BK84" s="4"/>
      <c r="BL84" s="4"/>
      <c r="BM84" s="4"/>
      <c r="BN84" s="4"/>
      <c r="BO84" s="4"/>
      <c r="BP84" s="4"/>
      <c r="BQ84" s="4"/>
    </row>
    <row r="85" spans="1:69" x14ac:dyDescent="0.2">
      <c r="A85" s="4"/>
      <c r="B85" s="189">
        <v>81</v>
      </c>
      <c r="C85" s="61" t="str">
        <f>IFERROR(INDEX(Table_Prescript_Meas[Measure Number], MATCH(Table_PrescriptLights_Input[[#This Row],[Prescriptive lighting measure]], Table_Prescript_Meas[Measure Description], 0)), "")</f>
        <v/>
      </c>
      <c r="D85" s="192"/>
      <c r="E85" s="179"/>
      <c r="F85" s="179"/>
      <c r="G85" s="61" t="str">
        <f>IFERROR(INDEX(Table_Prescript_Meas[Unit], MATCH(Table_PrescriptLights_Input[[#This Row],[Measure number]], Table_Prescript_Meas[Measure Number], 0)), "")</f>
        <v/>
      </c>
      <c r="H85" s="180"/>
      <c r="I85" s="179"/>
      <c r="J85" s="179"/>
      <c r="K85" s="180"/>
      <c r="L85" s="179"/>
      <c r="M85" s="180"/>
      <c r="N85" s="180"/>
      <c r="O85" s="180"/>
      <c r="P85" s="180"/>
      <c r="Q85" s="180"/>
      <c r="R85" s="181"/>
      <c r="S85" s="181"/>
      <c r="T85"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85"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85" s="69" t="str">
        <f>IF(Table_PrescriptLights_Input[[#This Row],[Prescriptive lighting measure]]="","",Table_PrescriptLights_Input[[#This Row],[Calculated Energy Savings]])</f>
        <v/>
      </c>
      <c r="W85" s="73" t="str">
        <f>IF(Table_PrescriptLights_Input[[#This Row],[Prescriptive lighting measure]]="","",Table_PrescriptLights_Input[[#This Row],[Calculated Demand Savings]])</f>
        <v/>
      </c>
      <c r="X85" s="67" t="str">
        <f>IFERROR(Table_PrescriptLights_Input[[#This Row],[Energy savings (kWh)]]*Input_AvgkWhRate, "")</f>
        <v/>
      </c>
      <c r="Y85" s="67" t="str">
        <f>IF(Table_PrescriptLights_Input[[#This Row],[Prescriptive lighting measure]]="", "",Table_PrescriptLights_Input[[#This Row],[Material cost per fixture]]*Table_PrescriptLights_Input[[#This Row],[Number of proposed fixtures]]+Table_PrescriptLights_Input[[#This Row],[Total labor cost]])</f>
        <v/>
      </c>
      <c r="Z85" s="67" t="str">
        <f>IFERROR(Table_PrescriptLights_Input[[#This Row],[Gross measure cost]]-Table_PrescriptLights_Input[[#This Row],[Estimated incentive]], "")</f>
        <v/>
      </c>
      <c r="AA85" s="69" t="str">
        <f t="shared" si="2"/>
        <v/>
      </c>
      <c r="AB85" s="69" t="str">
        <f>IF(ISNUMBER(Table_PrescriptLights_Input[[#This Row],[Detailed Fixture Calculation Wattage]]), "Detailed", "General")</f>
        <v>General</v>
      </c>
      <c r="AC85" s="53" t="e">
        <f>INDEX(Table_IntExt_Match[Measure Selection List], MATCH(Table_PrescriptLights_Input[[#This Row],[Interior or exterior?]], Table_IntExt_Match[Inetrior or Exterior], 0))</f>
        <v>#N/A</v>
      </c>
      <c r="AD85" s="53" t="e">
        <f>INDEX(Table_Prescript_Meas[Unit], MATCH(C85, Table_Prescript_Meas[Measure Number], 0))</f>
        <v>#N/A</v>
      </c>
      <c r="AE85" s="53" t="e">
        <f>INDEX(Table_Prescript_Meas[Lighting Type Selection List], MATCH(C85, Table_Prescript_Meas[Measure Number], 0))</f>
        <v>#N/A</v>
      </c>
      <c r="AF85" s="53" t="e">
        <f>INDEX(Table_Prescript_Meas[AOH Type], MATCH(Table_PrescriptLights_Input[[#This Row],[Measure number]], Table_Prescript_Meas[Measure Number],0))</f>
        <v>#N/A</v>
      </c>
      <c r="AG85"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85" s="53" t="str">
        <f>_xlfn.CONCAT(Table_PrescriptLights_Input[[#This Row],[Existing lighting type]],":",Table_PrescriptLights_Input[[#This Row],[Existing lamps per fixture]], ":",Table_PrescriptLights_Input[[#This Row],[Existing lamp wattage]])</f>
        <v>::</v>
      </c>
      <c r="AI85" s="53" t="e">
        <f>INDEX(Table_TRM_Fixtures[Fixture Code], MATCH(Table_PrescriptLights_Input[[#This Row],[Detailed Baseline Fixture Lookup]], Table_TRM_Fixtures[Detailed Prescriptive Baseline Fixture Lookup], 0))</f>
        <v>#N/A</v>
      </c>
      <c r="AJ85" s="53" t="e">
        <f>INDEX(Table_TRM_Fixtures[Fixture Wattage for Baseline Calculations],MATCH(Table_PrescriptLights_Input[[#This Row],[Detailed Baseline Fixture Lookup]], Table_TRM_Fixtures[Detailed Prescriptive Baseline Fixture Lookup],0))</f>
        <v>#N/A</v>
      </c>
      <c r="AK85" s="127" t="e">
        <f>INDEX(Table_Bldg_IEFD_IEFC[IEFE], MATCH( Input_HVACType,Table_Bldg_IEFD_IEFC[List_HVAC], 0))</f>
        <v>#N/A</v>
      </c>
      <c r="AL85" s="127" t="e">
        <f>INDEX( Table_Bldg_IEFD_IEFC[IEFE],MATCH( Input_HVACType, Table_Bldg_IEFD_IEFC[List_HVAC],0 ))</f>
        <v>#N/A</v>
      </c>
      <c r="AM85" s="127" t="e">
        <f>INDEX(Table_Control_PAF[PAF], MATCH(Table_PrescriptLights_Input[[#This Row],[Existing controls]], Table_Control_PAF[List_Control_Types], 0 ) )</f>
        <v>#N/A</v>
      </c>
      <c r="AN85"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85"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85"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85" s="53">
        <f>IFERROR(LEFT(Table_PrescriptLights_Input[[#This Row],[Existing lighting type]], FIND(",",Table_PrescriptLights_Input[[#This Row],[Existing lighting type]])-1), Table_PrescriptLights_Input[[#This Row],[Existing lighting type]])</f>
        <v>0</v>
      </c>
      <c r="AR85" s="53" t="str">
        <f>_xlfn.CONCAT(Table_PrescriptLights_Input[[#This Row],[Generalized Fixture Type]], ":",Table_PrescriptLights_Input[[#This Row],[Existing lamps per fixture]],":",Table_PrescriptLights_Input[[#This Row],[Existing lamp wattage]])</f>
        <v>0::</v>
      </c>
      <c r="AS85" s="53" t="e">
        <f>INDEX(Table_TRM_Fixtures[Fixture Code], MATCH(Table_PrescriptLights_Input[[#This Row],[Generalized Fixture Baseline Lookup]], Table_TRM_Fixtures[Generalized Baseline Fixture Lookup], 0))</f>
        <v>#N/A</v>
      </c>
      <c r="AT85"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85"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85"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85"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85"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85" s="53" t="e">
        <f>IFERROR(Table_PrescriptLights_Input[[#This Row],[Detailed Baseline Fixture Code]],Table_PrescriptLights_Input[[#This Row],[Generalized Baseline Fixture Code]])</f>
        <v>#N/A</v>
      </c>
      <c r="AZ85" s="4"/>
      <c r="BA85" s="4"/>
      <c r="BB85" s="4"/>
      <c r="BC85" s="4"/>
      <c r="BD85" s="4"/>
      <c r="BE85" s="4"/>
      <c r="BF85" s="4"/>
      <c r="BG85" s="4"/>
      <c r="BH85" s="4"/>
      <c r="BI85" s="4"/>
      <c r="BJ85" s="4"/>
      <c r="BK85" s="4"/>
      <c r="BL85" s="4"/>
      <c r="BM85" s="4"/>
      <c r="BN85" s="4"/>
      <c r="BO85" s="4"/>
      <c r="BP85" s="4"/>
      <c r="BQ85" s="4"/>
    </row>
    <row r="86" spans="1:69" x14ac:dyDescent="0.2">
      <c r="A86" s="4"/>
      <c r="B86" s="189">
        <v>82</v>
      </c>
      <c r="C86" s="61" t="str">
        <f>IFERROR(INDEX(Table_Prescript_Meas[Measure Number], MATCH(Table_PrescriptLights_Input[[#This Row],[Prescriptive lighting measure]], Table_Prescript_Meas[Measure Description], 0)), "")</f>
        <v/>
      </c>
      <c r="D86" s="192"/>
      <c r="E86" s="179"/>
      <c r="F86" s="179"/>
      <c r="G86" s="61" t="str">
        <f>IFERROR(INDEX(Table_Prescript_Meas[Unit], MATCH(Table_PrescriptLights_Input[[#This Row],[Measure number]], Table_Prescript_Meas[Measure Number], 0)), "")</f>
        <v/>
      </c>
      <c r="H86" s="180"/>
      <c r="I86" s="179"/>
      <c r="J86" s="179"/>
      <c r="K86" s="180"/>
      <c r="L86" s="179"/>
      <c r="M86" s="180"/>
      <c r="N86" s="180"/>
      <c r="O86" s="180"/>
      <c r="P86" s="180"/>
      <c r="Q86" s="180"/>
      <c r="R86" s="181"/>
      <c r="S86" s="181"/>
      <c r="T86"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86"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86" s="69" t="str">
        <f>IF(Table_PrescriptLights_Input[[#This Row],[Prescriptive lighting measure]]="","",Table_PrescriptLights_Input[[#This Row],[Calculated Energy Savings]])</f>
        <v/>
      </c>
      <c r="W86" s="73" t="str">
        <f>IF(Table_PrescriptLights_Input[[#This Row],[Prescriptive lighting measure]]="","",Table_PrescriptLights_Input[[#This Row],[Calculated Demand Savings]])</f>
        <v/>
      </c>
      <c r="X86" s="67" t="str">
        <f>IFERROR(Table_PrescriptLights_Input[[#This Row],[Energy savings (kWh)]]*Input_AvgkWhRate, "")</f>
        <v/>
      </c>
      <c r="Y86" s="67" t="str">
        <f>IF(Table_PrescriptLights_Input[[#This Row],[Prescriptive lighting measure]]="", "",Table_PrescriptLights_Input[[#This Row],[Material cost per fixture]]*Table_PrescriptLights_Input[[#This Row],[Number of proposed fixtures]]+Table_PrescriptLights_Input[[#This Row],[Total labor cost]])</f>
        <v/>
      </c>
      <c r="Z86" s="67" t="str">
        <f>IFERROR(Table_PrescriptLights_Input[[#This Row],[Gross measure cost]]-Table_PrescriptLights_Input[[#This Row],[Estimated incentive]], "")</f>
        <v/>
      </c>
      <c r="AA86" s="69" t="str">
        <f t="shared" si="2"/>
        <v/>
      </c>
      <c r="AB86" s="69" t="str">
        <f>IF(ISNUMBER(Table_PrescriptLights_Input[[#This Row],[Detailed Fixture Calculation Wattage]]), "Detailed", "General")</f>
        <v>General</v>
      </c>
      <c r="AC86" s="53" t="e">
        <f>INDEX(Table_IntExt_Match[Measure Selection List], MATCH(Table_PrescriptLights_Input[[#This Row],[Interior or exterior?]], Table_IntExt_Match[Inetrior or Exterior], 0))</f>
        <v>#N/A</v>
      </c>
      <c r="AD86" s="53" t="e">
        <f>INDEX(Table_Prescript_Meas[Unit], MATCH(C86, Table_Prescript_Meas[Measure Number], 0))</f>
        <v>#N/A</v>
      </c>
      <c r="AE86" s="53" t="e">
        <f>INDEX(Table_Prescript_Meas[Lighting Type Selection List], MATCH(C86, Table_Prescript_Meas[Measure Number], 0))</f>
        <v>#N/A</v>
      </c>
      <c r="AF86" s="53" t="e">
        <f>INDEX(Table_Prescript_Meas[AOH Type], MATCH(Table_PrescriptLights_Input[[#This Row],[Measure number]], Table_Prescript_Meas[Measure Number],0))</f>
        <v>#N/A</v>
      </c>
      <c r="AG86"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86" s="53" t="str">
        <f>_xlfn.CONCAT(Table_PrescriptLights_Input[[#This Row],[Existing lighting type]],":",Table_PrescriptLights_Input[[#This Row],[Existing lamps per fixture]], ":",Table_PrescriptLights_Input[[#This Row],[Existing lamp wattage]])</f>
        <v>::</v>
      </c>
      <c r="AI86" s="53" t="e">
        <f>INDEX(Table_TRM_Fixtures[Fixture Code], MATCH(Table_PrescriptLights_Input[[#This Row],[Detailed Baseline Fixture Lookup]], Table_TRM_Fixtures[Detailed Prescriptive Baseline Fixture Lookup], 0))</f>
        <v>#N/A</v>
      </c>
      <c r="AJ86" s="53" t="e">
        <f>INDEX(Table_TRM_Fixtures[Fixture Wattage for Baseline Calculations],MATCH(Table_PrescriptLights_Input[[#This Row],[Detailed Baseline Fixture Lookup]], Table_TRM_Fixtures[Detailed Prescriptive Baseline Fixture Lookup],0))</f>
        <v>#N/A</v>
      </c>
      <c r="AK86" s="127" t="e">
        <f>INDEX(Table_Bldg_IEFD_IEFC[IEFE], MATCH( Input_HVACType,Table_Bldg_IEFD_IEFC[List_HVAC], 0))</f>
        <v>#N/A</v>
      </c>
      <c r="AL86" s="127" t="e">
        <f>INDEX( Table_Bldg_IEFD_IEFC[IEFE],MATCH( Input_HVACType, Table_Bldg_IEFD_IEFC[List_HVAC],0 ))</f>
        <v>#N/A</v>
      </c>
      <c r="AM86" s="127" t="e">
        <f>INDEX(Table_Control_PAF[PAF], MATCH(Table_PrescriptLights_Input[[#This Row],[Existing controls]], Table_Control_PAF[List_Control_Types], 0 ) )</f>
        <v>#N/A</v>
      </c>
      <c r="AN86"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86"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86"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86" s="53">
        <f>IFERROR(LEFT(Table_PrescriptLights_Input[[#This Row],[Existing lighting type]], FIND(",",Table_PrescriptLights_Input[[#This Row],[Existing lighting type]])-1), Table_PrescriptLights_Input[[#This Row],[Existing lighting type]])</f>
        <v>0</v>
      </c>
      <c r="AR86" s="53" t="str">
        <f>_xlfn.CONCAT(Table_PrescriptLights_Input[[#This Row],[Generalized Fixture Type]], ":",Table_PrescriptLights_Input[[#This Row],[Existing lamps per fixture]],":",Table_PrescriptLights_Input[[#This Row],[Existing lamp wattage]])</f>
        <v>0::</v>
      </c>
      <c r="AS86" s="53" t="e">
        <f>INDEX(Table_TRM_Fixtures[Fixture Code], MATCH(Table_PrescriptLights_Input[[#This Row],[Generalized Fixture Baseline Lookup]], Table_TRM_Fixtures[Generalized Baseline Fixture Lookup], 0))</f>
        <v>#N/A</v>
      </c>
      <c r="AT86"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86"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86"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86"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86"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86" s="53" t="e">
        <f>IFERROR(Table_PrescriptLights_Input[[#This Row],[Detailed Baseline Fixture Code]],Table_PrescriptLights_Input[[#This Row],[Generalized Baseline Fixture Code]])</f>
        <v>#N/A</v>
      </c>
      <c r="AZ86" s="4"/>
      <c r="BA86" s="4"/>
      <c r="BB86" s="4"/>
      <c r="BC86" s="4"/>
      <c r="BD86" s="4"/>
      <c r="BE86" s="4"/>
      <c r="BF86" s="4"/>
      <c r="BG86" s="4"/>
      <c r="BH86" s="4"/>
      <c r="BI86" s="4"/>
      <c r="BJ86" s="4"/>
      <c r="BK86" s="4"/>
      <c r="BL86" s="4"/>
      <c r="BM86" s="4"/>
      <c r="BN86" s="4"/>
      <c r="BO86" s="4"/>
      <c r="BP86" s="4"/>
      <c r="BQ86" s="4"/>
    </row>
    <row r="87" spans="1:69" x14ac:dyDescent="0.2">
      <c r="A87" s="4"/>
      <c r="B87" s="189">
        <v>83</v>
      </c>
      <c r="C87" s="61" t="str">
        <f>IFERROR(INDEX(Table_Prescript_Meas[Measure Number], MATCH(Table_PrescriptLights_Input[[#This Row],[Prescriptive lighting measure]], Table_Prescript_Meas[Measure Description], 0)), "")</f>
        <v/>
      </c>
      <c r="D87" s="192"/>
      <c r="E87" s="179"/>
      <c r="F87" s="179"/>
      <c r="G87" s="61" t="str">
        <f>IFERROR(INDEX(Table_Prescript_Meas[Unit], MATCH(Table_PrescriptLights_Input[[#This Row],[Measure number]], Table_Prescript_Meas[Measure Number], 0)), "")</f>
        <v/>
      </c>
      <c r="H87" s="180"/>
      <c r="I87" s="179"/>
      <c r="J87" s="179"/>
      <c r="K87" s="180"/>
      <c r="L87" s="179"/>
      <c r="M87" s="180"/>
      <c r="N87" s="180"/>
      <c r="O87" s="180"/>
      <c r="P87" s="180"/>
      <c r="Q87" s="180"/>
      <c r="R87" s="181"/>
      <c r="S87" s="181"/>
      <c r="T87"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87"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87" s="69" t="str">
        <f>IF(Table_PrescriptLights_Input[[#This Row],[Prescriptive lighting measure]]="","",Table_PrescriptLights_Input[[#This Row],[Calculated Energy Savings]])</f>
        <v/>
      </c>
      <c r="W87" s="73" t="str">
        <f>IF(Table_PrescriptLights_Input[[#This Row],[Prescriptive lighting measure]]="","",Table_PrescriptLights_Input[[#This Row],[Calculated Demand Savings]])</f>
        <v/>
      </c>
      <c r="X87" s="67" t="str">
        <f>IFERROR(Table_PrescriptLights_Input[[#This Row],[Energy savings (kWh)]]*Input_AvgkWhRate, "")</f>
        <v/>
      </c>
      <c r="Y87" s="67" t="str">
        <f>IF(Table_PrescriptLights_Input[[#This Row],[Prescriptive lighting measure]]="", "",Table_PrescriptLights_Input[[#This Row],[Material cost per fixture]]*Table_PrescriptLights_Input[[#This Row],[Number of proposed fixtures]]+Table_PrescriptLights_Input[[#This Row],[Total labor cost]])</f>
        <v/>
      </c>
      <c r="Z87" s="67" t="str">
        <f>IFERROR(Table_PrescriptLights_Input[[#This Row],[Gross measure cost]]-Table_PrescriptLights_Input[[#This Row],[Estimated incentive]], "")</f>
        <v/>
      </c>
      <c r="AA87" s="69" t="str">
        <f t="shared" si="2"/>
        <v/>
      </c>
      <c r="AB87" s="69" t="str">
        <f>IF(ISNUMBER(Table_PrescriptLights_Input[[#This Row],[Detailed Fixture Calculation Wattage]]), "Detailed", "General")</f>
        <v>General</v>
      </c>
      <c r="AC87" s="53" t="e">
        <f>INDEX(Table_IntExt_Match[Measure Selection List], MATCH(Table_PrescriptLights_Input[[#This Row],[Interior or exterior?]], Table_IntExt_Match[Inetrior or Exterior], 0))</f>
        <v>#N/A</v>
      </c>
      <c r="AD87" s="53" t="e">
        <f>INDEX(Table_Prescript_Meas[Unit], MATCH(C87, Table_Prescript_Meas[Measure Number], 0))</f>
        <v>#N/A</v>
      </c>
      <c r="AE87" s="53" t="e">
        <f>INDEX(Table_Prescript_Meas[Lighting Type Selection List], MATCH(C87, Table_Prescript_Meas[Measure Number], 0))</f>
        <v>#N/A</v>
      </c>
      <c r="AF87" s="53" t="e">
        <f>INDEX(Table_Prescript_Meas[AOH Type], MATCH(Table_PrescriptLights_Input[[#This Row],[Measure number]], Table_Prescript_Meas[Measure Number],0))</f>
        <v>#N/A</v>
      </c>
      <c r="AG87"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87" s="53" t="str">
        <f>_xlfn.CONCAT(Table_PrescriptLights_Input[[#This Row],[Existing lighting type]],":",Table_PrescriptLights_Input[[#This Row],[Existing lamps per fixture]], ":",Table_PrescriptLights_Input[[#This Row],[Existing lamp wattage]])</f>
        <v>::</v>
      </c>
      <c r="AI87" s="53" t="e">
        <f>INDEX(Table_TRM_Fixtures[Fixture Code], MATCH(Table_PrescriptLights_Input[[#This Row],[Detailed Baseline Fixture Lookup]], Table_TRM_Fixtures[Detailed Prescriptive Baseline Fixture Lookup], 0))</f>
        <v>#N/A</v>
      </c>
      <c r="AJ87" s="53" t="e">
        <f>INDEX(Table_TRM_Fixtures[Fixture Wattage for Baseline Calculations],MATCH(Table_PrescriptLights_Input[[#This Row],[Detailed Baseline Fixture Lookup]], Table_TRM_Fixtures[Detailed Prescriptive Baseline Fixture Lookup],0))</f>
        <v>#N/A</v>
      </c>
      <c r="AK87" s="127" t="e">
        <f>INDEX(Table_Bldg_IEFD_IEFC[IEFE], MATCH( Input_HVACType,Table_Bldg_IEFD_IEFC[List_HVAC], 0))</f>
        <v>#N/A</v>
      </c>
      <c r="AL87" s="127" t="e">
        <f>INDEX( Table_Bldg_IEFD_IEFC[IEFE],MATCH( Input_HVACType, Table_Bldg_IEFD_IEFC[List_HVAC],0 ))</f>
        <v>#N/A</v>
      </c>
      <c r="AM87" s="127" t="e">
        <f>INDEX(Table_Control_PAF[PAF], MATCH(Table_PrescriptLights_Input[[#This Row],[Existing controls]], Table_Control_PAF[List_Control_Types], 0 ) )</f>
        <v>#N/A</v>
      </c>
      <c r="AN87"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87"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87"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87" s="53">
        <f>IFERROR(LEFT(Table_PrescriptLights_Input[[#This Row],[Existing lighting type]], FIND(",",Table_PrescriptLights_Input[[#This Row],[Existing lighting type]])-1), Table_PrescriptLights_Input[[#This Row],[Existing lighting type]])</f>
        <v>0</v>
      </c>
      <c r="AR87" s="53" t="str">
        <f>_xlfn.CONCAT(Table_PrescriptLights_Input[[#This Row],[Generalized Fixture Type]], ":",Table_PrescriptLights_Input[[#This Row],[Existing lamps per fixture]],":",Table_PrescriptLights_Input[[#This Row],[Existing lamp wattage]])</f>
        <v>0::</v>
      </c>
      <c r="AS87" s="53" t="e">
        <f>INDEX(Table_TRM_Fixtures[Fixture Code], MATCH(Table_PrescriptLights_Input[[#This Row],[Generalized Fixture Baseline Lookup]], Table_TRM_Fixtures[Generalized Baseline Fixture Lookup], 0))</f>
        <v>#N/A</v>
      </c>
      <c r="AT87"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87"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87"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87"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87"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87" s="53" t="e">
        <f>IFERROR(Table_PrescriptLights_Input[[#This Row],[Detailed Baseline Fixture Code]],Table_PrescriptLights_Input[[#This Row],[Generalized Baseline Fixture Code]])</f>
        <v>#N/A</v>
      </c>
      <c r="AZ87" s="4"/>
      <c r="BA87" s="4"/>
      <c r="BB87" s="4"/>
      <c r="BC87" s="4"/>
      <c r="BD87" s="4"/>
      <c r="BE87" s="4"/>
      <c r="BF87" s="4"/>
      <c r="BG87" s="4"/>
      <c r="BH87" s="4"/>
      <c r="BI87" s="4"/>
      <c r="BJ87" s="4"/>
      <c r="BK87" s="4"/>
      <c r="BL87" s="4"/>
      <c r="BM87" s="4"/>
      <c r="BN87" s="4"/>
      <c r="BO87" s="4"/>
      <c r="BP87" s="4"/>
      <c r="BQ87" s="4"/>
    </row>
    <row r="88" spans="1:69" x14ac:dyDescent="0.2">
      <c r="A88" s="4"/>
      <c r="B88" s="189">
        <v>84</v>
      </c>
      <c r="C88" s="61" t="str">
        <f>IFERROR(INDEX(Table_Prescript_Meas[Measure Number], MATCH(Table_PrescriptLights_Input[[#This Row],[Prescriptive lighting measure]], Table_Prescript_Meas[Measure Description], 0)), "")</f>
        <v/>
      </c>
      <c r="D88" s="192"/>
      <c r="E88" s="179"/>
      <c r="F88" s="179"/>
      <c r="G88" s="61" t="str">
        <f>IFERROR(INDEX(Table_Prescript_Meas[Unit], MATCH(Table_PrescriptLights_Input[[#This Row],[Measure number]], Table_Prescript_Meas[Measure Number], 0)), "")</f>
        <v/>
      </c>
      <c r="H88" s="180"/>
      <c r="I88" s="179"/>
      <c r="J88" s="179"/>
      <c r="K88" s="180"/>
      <c r="L88" s="179"/>
      <c r="M88" s="180"/>
      <c r="N88" s="180"/>
      <c r="O88" s="180"/>
      <c r="P88" s="180"/>
      <c r="Q88" s="180"/>
      <c r="R88" s="181"/>
      <c r="S88" s="181"/>
      <c r="T88"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88"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88" s="69" t="str">
        <f>IF(Table_PrescriptLights_Input[[#This Row],[Prescriptive lighting measure]]="","",Table_PrescriptLights_Input[[#This Row],[Calculated Energy Savings]])</f>
        <v/>
      </c>
      <c r="W88" s="73" t="str">
        <f>IF(Table_PrescriptLights_Input[[#This Row],[Prescriptive lighting measure]]="","",Table_PrescriptLights_Input[[#This Row],[Calculated Demand Savings]])</f>
        <v/>
      </c>
      <c r="X88" s="67" t="str">
        <f>IFERROR(Table_PrescriptLights_Input[[#This Row],[Energy savings (kWh)]]*Input_AvgkWhRate, "")</f>
        <v/>
      </c>
      <c r="Y88" s="67" t="str">
        <f>IF(Table_PrescriptLights_Input[[#This Row],[Prescriptive lighting measure]]="", "",Table_PrescriptLights_Input[[#This Row],[Material cost per fixture]]*Table_PrescriptLights_Input[[#This Row],[Number of proposed fixtures]]+Table_PrescriptLights_Input[[#This Row],[Total labor cost]])</f>
        <v/>
      </c>
      <c r="Z88" s="67" t="str">
        <f>IFERROR(Table_PrescriptLights_Input[[#This Row],[Gross measure cost]]-Table_PrescriptLights_Input[[#This Row],[Estimated incentive]], "")</f>
        <v/>
      </c>
      <c r="AA88" s="69" t="str">
        <f t="shared" si="2"/>
        <v/>
      </c>
      <c r="AB88" s="69" t="str">
        <f>IF(ISNUMBER(Table_PrescriptLights_Input[[#This Row],[Detailed Fixture Calculation Wattage]]), "Detailed", "General")</f>
        <v>General</v>
      </c>
      <c r="AC88" s="53" t="e">
        <f>INDEX(Table_IntExt_Match[Measure Selection List], MATCH(Table_PrescriptLights_Input[[#This Row],[Interior or exterior?]], Table_IntExt_Match[Inetrior or Exterior], 0))</f>
        <v>#N/A</v>
      </c>
      <c r="AD88" s="53" t="e">
        <f>INDEX(Table_Prescript_Meas[Unit], MATCH(C88, Table_Prescript_Meas[Measure Number], 0))</f>
        <v>#N/A</v>
      </c>
      <c r="AE88" s="53" t="e">
        <f>INDEX(Table_Prescript_Meas[Lighting Type Selection List], MATCH(C88, Table_Prescript_Meas[Measure Number], 0))</f>
        <v>#N/A</v>
      </c>
      <c r="AF88" s="53" t="e">
        <f>INDEX(Table_Prescript_Meas[AOH Type], MATCH(Table_PrescriptLights_Input[[#This Row],[Measure number]], Table_Prescript_Meas[Measure Number],0))</f>
        <v>#N/A</v>
      </c>
      <c r="AG88"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88" s="53" t="str">
        <f>_xlfn.CONCAT(Table_PrescriptLights_Input[[#This Row],[Existing lighting type]],":",Table_PrescriptLights_Input[[#This Row],[Existing lamps per fixture]], ":",Table_PrescriptLights_Input[[#This Row],[Existing lamp wattage]])</f>
        <v>::</v>
      </c>
      <c r="AI88" s="53" t="e">
        <f>INDEX(Table_TRM_Fixtures[Fixture Code], MATCH(Table_PrescriptLights_Input[[#This Row],[Detailed Baseline Fixture Lookup]], Table_TRM_Fixtures[Detailed Prescriptive Baseline Fixture Lookup], 0))</f>
        <v>#N/A</v>
      </c>
      <c r="AJ88" s="53" t="e">
        <f>INDEX(Table_TRM_Fixtures[Fixture Wattage for Baseline Calculations],MATCH(Table_PrescriptLights_Input[[#This Row],[Detailed Baseline Fixture Lookup]], Table_TRM_Fixtures[Detailed Prescriptive Baseline Fixture Lookup],0))</f>
        <v>#N/A</v>
      </c>
      <c r="AK88" s="127" t="e">
        <f>INDEX(Table_Bldg_IEFD_IEFC[IEFE], MATCH( Input_HVACType,Table_Bldg_IEFD_IEFC[List_HVAC], 0))</f>
        <v>#N/A</v>
      </c>
      <c r="AL88" s="127" t="e">
        <f>INDEX( Table_Bldg_IEFD_IEFC[IEFE],MATCH( Input_HVACType, Table_Bldg_IEFD_IEFC[List_HVAC],0 ))</f>
        <v>#N/A</v>
      </c>
      <c r="AM88" s="127" t="e">
        <f>INDEX(Table_Control_PAF[PAF], MATCH(Table_PrescriptLights_Input[[#This Row],[Existing controls]], Table_Control_PAF[List_Control_Types], 0 ) )</f>
        <v>#N/A</v>
      </c>
      <c r="AN88"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88"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88"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88" s="53">
        <f>IFERROR(LEFT(Table_PrescriptLights_Input[[#This Row],[Existing lighting type]], FIND(",",Table_PrescriptLights_Input[[#This Row],[Existing lighting type]])-1), Table_PrescriptLights_Input[[#This Row],[Existing lighting type]])</f>
        <v>0</v>
      </c>
      <c r="AR88" s="53" t="str">
        <f>_xlfn.CONCAT(Table_PrescriptLights_Input[[#This Row],[Generalized Fixture Type]], ":",Table_PrescriptLights_Input[[#This Row],[Existing lamps per fixture]],":",Table_PrescriptLights_Input[[#This Row],[Existing lamp wattage]])</f>
        <v>0::</v>
      </c>
      <c r="AS88" s="53" t="e">
        <f>INDEX(Table_TRM_Fixtures[Fixture Code], MATCH(Table_PrescriptLights_Input[[#This Row],[Generalized Fixture Baseline Lookup]], Table_TRM_Fixtures[Generalized Baseline Fixture Lookup], 0))</f>
        <v>#N/A</v>
      </c>
      <c r="AT88"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88"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88"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88"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88"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88" s="53" t="e">
        <f>IFERROR(Table_PrescriptLights_Input[[#This Row],[Detailed Baseline Fixture Code]],Table_PrescriptLights_Input[[#This Row],[Generalized Baseline Fixture Code]])</f>
        <v>#N/A</v>
      </c>
      <c r="AZ88" s="4"/>
      <c r="BA88" s="4"/>
      <c r="BB88" s="4"/>
      <c r="BC88" s="4"/>
      <c r="BD88" s="4"/>
      <c r="BE88" s="4"/>
      <c r="BF88" s="4"/>
      <c r="BG88" s="4"/>
      <c r="BH88" s="4"/>
      <c r="BI88" s="4"/>
      <c r="BJ88" s="4"/>
      <c r="BK88" s="4"/>
      <c r="BL88" s="4"/>
      <c r="BM88" s="4"/>
      <c r="BN88" s="4"/>
      <c r="BO88" s="4"/>
      <c r="BP88" s="4"/>
      <c r="BQ88" s="4"/>
    </row>
    <row r="89" spans="1:69" x14ac:dyDescent="0.2">
      <c r="A89" s="4"/>
      <c r="B89" s="189">
        <v>85</v>
      </c>
      <c r="C89" s="61" t="str">
        <f>IFERROR(INDEX(Table_Prescript_Meas[Measure Number], MATCH(Table_PrescriptLights_Input[[#This Row],[Prescriptive lighting measure]], Table_Prescript_Meas[Measure Description], 0)), "")</f>
        <v/>
      </c>
      <c r="D89" s="192"/>
      <c r="E89" s="179"/>
      <c r="F89" s="179"/>
      <c r="G89" s="61" t="str">
        <f>IFERROR(INDEX(Table_Prescript_Meas[Unit], MATCH(Table_PrescriptLights_Input[[#This Row],[Measure number]], Table_Prescript_Meas[Measure Number], 0)), "")</f>
        <v/>
      </c>
      <c r="H89" s="180"/>
      <c r="I89" s="179"/>
      <c r="J89" s="179"/>
      <c r="K89" s="180"/>
      <c r="L89" s="179"/>
      <c r="M89" s="180"/>
      <c r="N89" s="180"/>
      <c r="O89" s="180"/>
      <c r="P89" s="180"/>
      <c r="Q89" s="180"/>
      <c r="R89" s="181"/>
      <c r="S89" s="181"/>
      <c r="T89"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89"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89" s="69" t="str">
        <f>IF(Table_PrescriptLights_Input[[#This Row],[Prescriptive lighting measure]]="","",Table_PrescriptLights_Input[[#This Row],[Calculated Energy Savings]])</f>
        <v/>
      </c>
      <c r="W89" s="73" t="str">
        <f>IF(Table_PrescriptLights_Input[[#This Row],[Prescriptive lighting measure]]="","",Table_PrescriptLights_Input[[#This Row],[Calculated Demand Savings]])</f>
        <v/>
      </c>
      <c r="X89" s="67" t="str">
        <f>IFERROR(Table_PrescriptLights_Input[[#This Row],[Energy savings (kWh)]]*Input_AvgkWhRate, "")</f>
        <v/>
      </c>
      <c r="Y89" s="67" t="str">
        <f>IF(Table_PrescriptLights_Input[[#This Row],[Prescriptive lighting measure]]="", "",Table_PrescriptLights_Input[[#This Row],[Material cost per fixture]]*Table_PrescriptLights_Input[[#This Row],[Number of proposed fixtures]]+Table_PrescriptLights_Input[[#This Row],[Total labor cost]])</f>
        <v/>
      </c>
      <c r="Z89" s="67" t="str">
        <f>IFERROR(Table_PrescriptLights_Input[[#This Row],[Gross measure cost]]-Table_PrescriptLights_Input[[#This Row],[Estimated incentive]], "")</f>
        <v/>
      </c>
      <c r="AA89" s="69" t="str">
        <f t="shared" si="2"/>
        <v/>
      </c>
      <c r="AB89" s="69" t="str">
        <f>IF(ISNUMBER(Table_PrescriptLights_Input[[#This Row],[Detailed Fixture Calculation Wattage]]), "Detailed", "General")</f>
        <v>General</v>
      </c>
      <c r="AC89" s="53" t="e">
        <f>INDEX(Table_IntExt_Match[Measure Selection List], MATCH(Table_PrescriptLights_Input[[#This Row],[Interior or exterior?]], Table_IntExt_Match[Inetrior or Exterior], 0))</f>
        <v>#N/A</v>
      </c>
      <c r="AD89" s="53" t="e">
        <f>INDEX(Table_Prescript_Meas[Unit], MATCH(C89, Table_Prescript_Meas[Measure Number], 0))</f>
        <v>#N/A</v>
      </c>
      <c r="AE89" s="53" t="e">
        <f>INDEX(Table_Prescript_Meas[Lighting Type Selection List], MATCH(C89, Table_Prescript_Meas[Measure Number], 0))</f>
        <v>#N/A</v>
      </c>
      <c r="AF89" s="53" t="e">
        <f>INDEX(Table_Prescript_Meas[AOH Type], MATCH(Table_PrescriptLights_Input[[#This Row],[Measure number]], Table_Prescript_Meas[Measure Number],0))</f>
        <v>#N/A</v>
      </c>
      <c r="AG89"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89" s="53" t="str">
        <f>_xlfn.CONCAT(Table_PrescriptLights_Input[[#This Row],[Existing lighting type]],":",Table_PrescriptLights_Input[[#This Row],[Existing lamps per fixture]], ":",Table_PrescriptLights_Input[[#This Row],[Existing lamp wattage]])</f>
        <v>::</v>
      </c>
      <c r="AI89" s="53" t="e">
        <f>INDEX(Table_TRM_Fixtures[Fixture Code], MATCH(Table_PrescriptLights_Input[[#This Row],[Detailed Baseline Fixture Lookup]], Table_TRM_Fixtures[Detailed Prescriptive Baseline Fixture Lookup], 0))</f>
        <v>#N/A</v>
      </c>
      <c r="AJ89" s="53" t="e">
        <f>INDEX(Table_TRM_Fixtures[Fixture Wattage for Baseline Calculations],MATCH(Table_PrescriptLights_Input[[#This Row],[Detailed Baseline Fixture Lookup]], Table_TRM_Fixtures[Detailed Prescriptive Baseline Fixture Lookup],0))</f>
        <v>#N/A</v>
      </c>
      <c r="AK89" s="127" t="e">
        <f>INDEX(Table_Bldg_IEFD_IEFC[IEFE], MATCH( Input_HVACType,Table_Bldg_IEFD_IEFC[List_HVAC], 0))</f>
        <v>#N/A</v>
      </c>
      <c r="AL89" s="127" t="e">
        <f>INDEX( Table_Bldg_IEFD_IEFC[IEFE],MATCH( Input_HVACType, Table_Bldg_IEFD_IEFC[List_HVAC],0 ))</f>
        <v>#N/A</v>
      </c>
      <c r="AM89" s="127" t="e">
        <f>INDEX(Table_Control_PAF[PAF], MATCH(Table_PrescriptLights_Input[[#This Row],[Existing controls]], Table_Control_PAF[List_Control_Types], 0 ) )</f>
        <v>#N/A</v>
      </c>
      <c r="AN89"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89"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89"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89" s="53">
        <f>IFERROR(LEFT(Table_PrescriptLights_Input[[#This Row],[Existing lighting type]], FIND(",",Table_PrescriptLights_Input[[#This Row],[Existing lighting type]])-1), Table_PrescriptLights_Input[[#This Row],[Existing lighting type]])</f>
        <v>0</v>
      </c>
      <c r="AR89" s="53" t="str">
        <f>_xlfn.CONCAT(Table_PrescriptLights_Input[[#This Row],[Generalized Fixture Type]], ":",Table_PrescriptLights_Input[[#This Row],[Existing lamps per fixture]],":",Table_PrescriptLights_Input[[#This Row],[Existing lamp wattage]])</f>
        <v>0::</v>
      </c>
      <c r="AS89" s="53" t="e">
        <f>INDEX(Table_TRM_Fixtures[Fixture Code], MATCH(Table_PrescriptLights_Input[[#This Row],[Generalized Fixture Baseline Lookup]], Table_TRM_Fixtures[Generalized Baseline Fixture Lookup], 0))</f>
        <v>#N/A</v>
      </c>
      <c r="AT89"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89"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89"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89"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89"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89" s="53" t="e">
        <f>IFERROR(Table_PrescriptLights_Input[[#This Row],[Detailed Baseline Fixture Code]],Table_PrescriptLights_Input[[#This Row],[Generalized Baseline Fixture Code]])</f>
        <v>#N/A</v>
      </c>
      <c r="AZ89" s="4"/>
      <c r="BA89" s="4"/>
      <c r="BB89" s="4"/>
      <c r="BC89" s="4"/>
      <c r="BD89" s="4"/>
      <c r="BE89" s="4"/>
      <c r="BF89" s="4"/>
      <c r="BG89" s="4"/>
      <c r="BH89" s="4"/>
      <c r="BI89" s="4"/>
      <c r="BJ89" s="4"/>
      <c r="BK89" s="4"/>
      <c r="BL89" s="4"/>
      <c r="BM89" s="4"/>
      <c r="BN89" s="4"/>
      <c r="BO89" s="4"/>
      <c r="BP89" s="4"/>
      <c r="BQ89" s="4"/>
    </row>
    <row r="90" spans="1:69" x14ac:dyDescent="0.2">
      <c r="A90" s="4"/>
      <c r="B90" s="189">
        <v>86</v>
      </c>
      <c r="C90" s="61" t="str">
        <f>IFERROR(INDEX(Table_Prescript_Meas[Measure Number], MATCH(Table_PrescriptLights_Input[[#This Row],[Prescriptive lighting measure]], Table_Prescript_Meas[Measure Description], 0)), "")</f>
        <v/>
      </c>
      <c r="D90" s="192"/>
      <c r="E90" s="179"/>
      <c r="F90" s="179"/>
      <c r="G90" s="61" t="str">
        <f>IFERROR(INDEX(Table_Prescript_Meas[Unit], MATCH(Table_PrescriptLights_Input[[#This Row],[Measure number]], Table_Prescript_Meas[Measure Number], 0)), "")</f>
        <v/>
      </c>
      <c r="H90" s="180"/>
      <c r="I90" s="179"/>
      <c r="J90" s="179"/>
      <c r="K90" s="180"/>
      <c r="L90" s="179"/>
      <c r="M90" s="180"/>
      <c r="N90" s="180"/>
      <c r="O90" s="180"/>
      <c r="P90" s="180"/>
      <c r="Q90" s="180"/>
      <c r="R90" s="181"/>
      <c r="S90" s="181"/>
      <c r="T90"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90"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90" s="69" t="str">
        <f>IF(Table_PrescriptLights_Input[[#This Row],[Prescriptive lighting measure]]="","",Table_PrescriptLights_Input[[#This Row],[Calculated Energy Savings]])</f>
        <v/>
      </c>
      <c r="W90" s="73" t="str">
        <f>IF(Table_PrescriptLights_Input[[#This Row],[Prescriptive lighting measure]]="","",Table_PrescriptLights_Input[[#This Row],[Calculated Demand Savings]])</f>
        <v/>
      </c>
      <c r="X90" s="67" t="str">
        <f>IFERROR(Table_PrescriptLights_Input[[#This Row],[Energy savings (kWh)]]*Input_AvgkWhRate, "")</f>
        <v/>
      </c>
      <c r="Y90" s="67" t="str">
        <f>IF(Table_PrescriptLights_Input[[#This Row],[Prescriptive lighting measure]]="", "",Table_PrescriptLights_Input[[#This Row],[Material cost per fixture]]*Table_PrescriptLights_Input[[#This Row],[Number of proposed fixtures]]+Table_PrescriptLights_Input[[#This Row],[Total labor cost]])</f>
        <v/>
      </c>
      <c r="Z90" s="67" t="str">
        <f>IFERROR(Table_PrescriptLights_Input[[#This Row],[Gross measure cost]]-Table_PrescriptLights_Input[[#This Row],[Estimated incentive]], "")</f>
        <v/>
      </c>
      <c r="AA90" s="69" t="str">
        <f t="shared" si="2"/>
        <v/>
      </c>
      <c r="AB90" s="69" t="str">
        <f>IF(ISNUMBER(Table_PrescriptLights_Input[[#This Row],[Detailed Fixture Calculation Wattage]]), "Detailed", "General")</f>
        <v>General</v>
      </c>
      <c r="AC90" s="53" t="e">
        <f>INDEX(Table_IntExt_Match[Measure Selection List], MATCH(Table_PrescriptLights_Input[[#This Row],[Interior or exterior?]], Table_IntExt_Match[Inetrior or Exterior], 0))</f>
        <v>#N/A</v>
      </c>
      <c r="AD90" s="53" t="e">
        <f>INDEX(Table_Prescript_Meas[Unit], MATCH(C90, Table_Prescript_Meas[Measure Number], 0))</f>
        <v>#N/A</v>
      </c>
      <c r="AE90" s="53" t="e">
        <f>INDEX(Table_Prescript_Meas[Lighting Type Selection List], MATCH(C90, Table_Prescript_Meas[Measure Number], 0))</f>
        <v>#N/A</v>
      </c>
      <c r="AF90" s="53" t="e">
        <f>INDEX(Table_Prescript_Meas[AOH Type], MATCH(Table_PrescriptLights_Input[[#This Row],[Measure number]], Table_Prescript_Meas[Measure Number],0))</f>
        <v>#N/A</v>
      </c>
      <c r="AG90"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90" s="53" t="str">
        <f>_xlfn.CONCAT(Table_PrescriptLights_Input[[#This Row],[Existing lighting type]],":",Table_PrescriptLights_Input[[#This Row],[Existing lamps per fixture]], ":",Table_PrescriptLights_Input[[#This Row],[Existing lamp wattage]])</f>
        <v>::</v>
      </c>
      <c r="AI90" s="53" t="e">
        <f>INDEX(Table_TRM_Fixtures[Fixture Code], MATCH(Table_PrescriptLights_Input[[#This Row],[Detailed Baseline Fixture Lookup]], Table_TRM_Fixtures[Detailed Prescriptive Baseline Fixture Lookup], 0))</f>
        <v>#N/A</v>
      </c>
      <c r="AJ90" s="53" t="e">
        <f>INDEX(Table_TRM_Fixtures[Fixture Wattage for Baseline Calculations],MATCH(Table_PrescriptLights_Input[[#This Row],[Detailed Baseline Fixture Lookup]], Table_TRM_Fixtures[Detailed Prescriptive Baseline Fixture Lookup],0))</f>
        <v>#N/A</v>
      </c>
      <c r="AK90" s="127" t="e">
        <f>INDEX(Table_Bldg_IEFD_IEFC[IEFE], MATCH( Input_HVACType,Table_Bldg_IEFD_IEFC[List_HVAC], 0))</f>
        <v>#N/A</v>
      </c>
      <c r="AL90" s="127" t="e">
        <f>INDEX( Table_Bldg_IEFD_IEFC[IEFE],MATCH( Input_HVACType, Table_Bldg_IEFD_IEFC[List_HVAC],0 ))</f>
        <v>#N/A</v>
      </c>
      <c r="AM90" s="127" t="e">
        <f>INDEX(Table_Control_PAF[PAF], MATCH(Table_PrescriptLights_Input[[#This Row],[Existing controls]], Table_Control_PAF[List_Control_Types], 0 ) )</f>
        <v>#N/A</v>
      </c>
      <c r="AN90"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90"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90"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90" s="53">
        <f>IFERROR(LEFT(Table_PrescriptLights_Input[[#This Row],[Existing lighting type]], FIND(",",Table_PrescriptLights_Input[[#This Row],[Existing lighting type]])-1), Table_PrescriptLights_Input[[#This Row],[Existing lighting type]])</f>
        <v>0</v>
      </c>
      <c r="AR90" s="53" t="str">
        <f>_xlfn.CONCAT(Table_PrescriptLights_Input[[#This Row],[Generalized Fixture Type]], ":",Table_PrescriptLights_Input[[#This Row],[Existing lamps per fixture]],":",Table_PrescriptLights_Input[[#This Row],[Existing lamp wattage]])</f>
        <v>0::</v>
      </c>
      <c r="AS90" s="53" t="e">
        <f>INDEX(Table_TRM_Fixtures[Fixture Code], MATCH(Table_PrescriptLights_Input[[#This Row],[Generalized Fixture Baseline Lookup]], Table_TRM_Fixtures[Generalized Baseline Fixture Lookup], 0))</f>
        <v>#N/A</v>
      </c>
      <c r="AT90"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90"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90"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90"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90"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90" s="53" t="e">
        <f>IFERROR(Table_PrescriptLights_Input[[#This Row],[Detailed Baseline Fixture Code]],Table_PrescriptLights_Input[[#This Row],[Generalized Baseline Fixture Code]])</f>
        <v>#N/A</v>
      </c>
      <c r="AZ90" s="4"/>
      <c r="BA90" s="4"/>
      <c r="BB90" s="4"/>
      <c r="BC90" s="4"/>
      <c r="BD90" s="4"/>
      <c r="BE90" s="4"/>
      <c r="BF90" s="4"/>
      <c r="BG90" s="4"/>
      <c r="BH90" s="4"/>
      <c r="BI90" s="4"/>
      <c r="BJ90" s="4"/>
      <c r="BK90" s="4"/>
      <c r="BL90" s="4"/>
      <c r="BM90" s="4"/>
      <c r="BN90" s="4"/>
      <c r="BO90" s="4"/>
      <c r="BP90" s="4"/>
      <c r="BQ90" s="4"/>
    </row>
    <row r="91" spans="1:69" x14ac:dyDescent="0.2">
      <c r="A91" s="4"/>
      <c r="B91" s="189">
        <v>87</v>
      </c>
      <c r="C91" s="61" t="str">
        <f>IFERROR(INDEX(Table_Prescript_Meas[Measure Number], MATCH(Table_PrescriptLights_Input[[#This Row],[Prescriptive lighting measure]], Table_Prescript_Meas[Measure Description], 0)), "")</f>
        <v/>
      </c>
      <c r="D91" s="192"/>
      <c r="E91" s="179"/>
      <c r="F91" s="179"/>
      <c r="G91" s="61" t="str">
        <f>IFERROR(INDEX(Table_Prescript_Meas[Unit], MATCH(Table_PrescriptLights_Input[[#This Row],[Measure number]], Table_Prescript_Meas[Measure Number], 0)), "")</f>
        <v/>
      </c>
      <c r="H91" s="180"/>
      <c r="I91" s="179"/>
      <c r="J91" s="179"/>
      <c r="K91" s="180"/>
      <c r="L91" s="179"/>
      <c r="M91" s="180"/>
      <c r="N91" s="180"/>
      <c r="O91" s="180"/>
      <c r="P91" s="180"/>
      <c r="Q91" s="180"/>
      <c r="R91" s="181"/>
      <c r="S91" s="181"/>
      <c r="T91"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91"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91" s="69" t="str">
        <f>IF(Table_PrescriptLights_Input[[#This Row],[Prescriptive lighting measure]]="","",Table_PrescriptLights_Input[[#This Row],[Calculated Energy Savings]])</f>
        <v/>
      </c>
      <c r="W91" s="73" t="str">
        <f>IF(Table_PrescriptLights_Input[[#This Row],[Prescriptive lighting measure]]="","",Table_PrescriptLights_Input[[#This Row],[Calculated Demand Savings]])</f>
        <v/>
      </c>
      <c r="X91" s="67" t="str">
        <f>IFERROR(Table_PrescriptLights_Input[[#This Row],[Energy savings (kWh)]]*Input_AvgkWhRate, "")</f>
        <v/>
      </c>
      <c r="Y91" s="67" t="str">
        <f>IF(Table_PrescriptLights_Input[[#This Row],[Prescriptive lighting measure]]="", "",Table_PrescriptLights_Input[[#This Row],[Material cost per fixture]]*Table_PrescriptLights_Input[[#This Row],[Number of proposed fixtures]]+Table_PrescriptLights_Input[[#This Row],[Total labor cost]])</f>
        <v/>
      </c>
      <c r="Z91" s="67" t="str">
        <f>IFERROR(Table_PrescriptLights_Input[[#This Row],[Gross measure cost]]-Table_PrescriptLights_Input[[#This Row],[Estimated incentive]], "")</f>
        <v/>
      </c>
      <c r="AA91" s="69" t="str">
        <f t="shared" si="2"/>
        <v/>
      </c>
      <c r="AB91" s="69" t="str">
        <f>IF(ISNUMBER(Table_PrescriptLights_Input[[#This Row],[Detailed Fixture Calculation Wattage]]), "Detailed", "General")</f>
        <v>General</v>
      </c>
      <c r="AC91" s="53" t="e">
        <f>INDEX(Table_IntExt_Match[Measure Selection List], MATCH(Table_PrescriptLights_Input[[#This Row],[Interior or exterior?]], Table_IntExt_Match[Inetrior or Exterior], 0))</f>
        <v>#N/A</v>
      </c>
      <c r="AD91" s="53" t="e">
        <f>INDEX(Table_Prescript_Meas[Unit], MATCH(C91, Table_Prescript_Meas[Measure Number], 0))</f>
        <v>#N/A</v>
      </c>
      <c r="AE91" s="53" t="e">
        <f>INDEX(Table_Prescript_Meas[Lighting Type Selection List], MATCH(C91, Table_Prescript_Meas[Measure Number], 0))</f>
        <v>#N/A</v>
      </c>
      <c r="AF91" s="53" t="e">
        <f>INDEX(Table_Prescript_Meas[AOH Type], MATCH(Table_PrescriptLights_Input[[#This Row],[Measure number]], Table_Prescript_Meas[Measure Number],0))</f>
        <v>#N/A</v>
      </c>
      <c r="AG91"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91" s="53" t="str">
        <f>_xlfn.CONCAT(Table_PrescriptLights_Input[[#This Row],[Existing lighting type]],":",Table_PrescriptLights_Input[[#This Row],[Existing lamps per fixture]], ":",Table_PrescriptLights_Input[[#This Row],[Existing lamp wattage]])</f>
        <v>::</v>
      </c>
      <c r="AI91" s="53" t="e">
        <f>INDEX(Table_TRM_Fixtures[Fixture Code], MATCH(Table_PrescriptLights_Input[[#This Row],[Detailed Baseline Fixture Lookup]], Table_TRM_Fixtures[Detailed Prescriptive Baseline Fixture Lookup], 0))</f>
        <v>#N/A</v>
      </c>
      <c r="AJ91" s="53" t="e">
        <f>INDEX(Table_TRM_Fixtures[Fixture Wattage for Baseline Calculations],MATCH(Table_PrescriptLights_Input[[#This Row],[Detailed Baseline Fixture Lookup]], Table_TRM_Fixtures[Detailed Prescriptive Baseline Fixture Lookup],0))</f>
        <v>#N/A</v>
      </c>
      <c r="AK91" s="127" t="e">
        <f>INDEX(Table_Bldg_IEFD_IEFC[IEFE], MATCH( Input_HVACType,Table_Bldg_IEFD_IEFC[List_HVAC], 0))</f>
        <v>#N/A</v>
      </c>
      <c r="AL91" s="127" t="e">
        <f>INDEX( Table_Bldg_IEFD_IEFC[IEFE],MATCH( Input_HVACType, Table_Bldg_IEFD_IEFC[List_HVAC],0 ))</f>
        <v>#N/A</v>
      </c>
      <c r="AM91" s="127" t="e">
        <f>INDEX(Table_Control_PAF[PAF], MATCH(Table_PrescriptLights_Input[[#This Row],[Existing controls]], Table_Control_PAF[List_Control_Types], 0 ) )</f>
        <v>#N/A</v>
      </c>
      <c r="AN91"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91"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91"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91" s="53">
        <f>IFERROR(LEFT(Table_PrescriptLights_Input[[#This Row],[Existing lighting type]], FIND(",",Table_PrescriptLights_Input[[#This Row],[Existing lighting type]])-1), Table_PrescriptLights_Input[[#This Row],[Existing lighting type]])</f>
        <v>0</v>
      </c>
      <c r="AR91" s="53" t="str">
        <f>_xlfn.CONCAT(Table_PrescriptLights_Input[[#This Row],[Generalized Fixture Type]], ":",Table_PrescriptLights_Input[[#This Row],[Existing lamps per fixture]],":",Table_PrescriptLights_Input[[#This Row],[Existing lamp wattage]])</f>
        <v>0::</v>
      </c>
      <c r="AS91" s="53" t="e">
        <f>INDEX(Table_TRM_Fixtures[Fixture Code], MATCH(Table_PrescriptLights_Input[[#This Row],[Generalized Fixture Baseline Lookup]], Table_TRM_Fixtures[Generalized Baseline Fixture Lookup], 0))</f>
        <v>#N/A</v>
      </c>
      <c r="AT91"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91"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91"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91"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91"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91" s="53" t="e">
        <f>IFERROR(Table_PrescriptLights_Input[[#This Row],[Detailed Baseline Fixture Code]],Table_PrescriptLights_Input[[#This Row],[Generalized Baseline Fixture Code]])</f>
        <v>#N/A</v>
      </c>
      <c r="AZ91" s="4"/>
      <c r="BA91" s="4"/>
      <c r="BB91" s="4"/>
      <c r="BC91" s="4"/>
      <c r="BD91" s="4"/>
      <c r="BE91" s="4"/>
      <c r="BF91" s="4"/>
      <c r="BG91" s="4"/>
      <c r="BH91" s="4"/>
      <c r="BI91" s="4"/>
      <c r="BJ91" s="4"/>
      <c r="BK91" s="4"/>
      <c r="BL91" s="4"/>
      <c r="BM91" s="4"/>
      <c r="BN91" s="4"/>
      <c r="BO91" s="4"/>
      <c r="BP91" s="4"/>
      <c r="BQ91" s="4"/>
    </row>
    <row r="92" spans="1:69" x14ac:dyDescent="0.2">
      <c r="A92" s="4"/>
      <c r="B92" s="189">
        <v>88</v>
      </c>
      <c r="C92" s="61" t="str">
        <f>IFERROR(INDEX(Table_Prescript_Meas[Measure Number], MATCH(Table_PrescriptLights_Input[[#This Row],[Prescriptive lighting measure]], Table_Prescript_Meas[Measure Description], 0)), "")</f>
        <v/>
      </c>
      <c r="D92" s="192"/>
      <c r="E92" s="179"/>
      <c r="F92" s="179"/>
      <c r="G92" s="61" t="str">
        <f>IFERROR(INDEX(Table_Prescript_Meas[Unit], MATCH(Table_PrescriptLights_Input[[#This Row],[Measure number]], Table_Prescript_Meas[Measure Number], 0)), "")</f>
        <v/>
      </c>
      <c r="H92" s="180"/>
      <c r="I92" s="179"/>
      <c r="J92" s="179"/>
      <c r="K92" s="180"/>
      <c r="L92" s="179"/>
      <c r="M92" s="180"/>
      <c r="N92" s="180"/>
      <c r="O92" s="180"/>
      <c r="P92" s="180"/>
      <c r="Q92" s="180"/>
      <c r="R92" s="181"/>
      <c r="S92" s="181"/>
      <c r="T92"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92"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92" s="69" t="str">
        <f>IF(Table_PrescriptLights_Input[[#This Row],[Prescriptive lighting measure]]="","",Table_PrescriptLights_Input[[#This Row],[Calculated Energy Savings]])</f>
        <v/>
      </c>
      <c r="W92" s="73" t="str">
        <f>IF(Table_PrescriptLights_Input[[#This Row],[Prescriptive lighting measure]]="","",Table_PrescriptLights_Input[[#This Row],[Calculated Demand Savings]])</f>
        <v/>
      </c>
      <c r="X92" s="67" t="str">
        <f>IFERROR(Table_PrescriptLights_Input[[#This Row],[Energy savings (kWh)]]*Input_AvgkWhRate, "")</f>
        <v/>
      </c>
      <c r="Y92" s="67" t="str">
        <f>IF(Table_PrescriptLights_Input[[#This Row],[Prescriptive lighting measure]]="", "",Table_PrescriptLights_Input[[#This Row],[Material cost per fixture]]*Table_PrescriptLights_Input[[#This Row],[Number of proposed fixtures]]+Table_PrescriptLights_Input[[#This Row],[Total labor cost]])</f>
        <v/>
      </c>
      <c r="Z92" s="67" t="str">
        <f>IFERROR(Table_PrescriptLights_Input[[#This Row],[Gross measure cost]]-Table_PrescriptLights_Input[[#This Row],[Estimated incentive]], "")</f>
        <v/>
      </c>
      <c r="AA92" s="69" t="str">
        <f t="shared" si="2"/>
        <v/>
      </c>
      <c r="AB92" s="69" t="str">
        <f>IF(ISNUMBER(Table_PrescriptLights_Input[[#This Row],[Detailed Fixture Calculation Wattage]]), "Detailed", "General")</f>
        <v>General</v>
      </c>
      <c r="AC92" s="53" t="e">
        <f>INDEX(Table_IntExt_Match[Measure Selection List], MATCH(Table_PrescriptLights_Input[[#This Row],[Interior or exterior?]], Table_IntExt_Match[Inetrior or Exterior], 0))</f>
        <v>#N/A</v>
      </c>
      <c r="AD92" s="53" t="e">
        <f>INDEX(Table_Prescript_Meas[Unit], MATCH(C92, Table_Prescript_Meas[Measure Number], 0))</f>
        <v>#N/A</v>
      </c>
      <c r="AE92" s="53" t="e">
        <f>INDEX(Table_Prescript_Meas[Lighting Type Selection List], MATCH(C92, Table_Prescript_Meas[Measure Number], 0))</f>
        <v>#N/A</v>
      </c>
      <c r="AF92" s="53" t="e">
        <f>INDEX(Table_Prescript_Meas[AOH Type], MATCH(Table_PrescriptLights_Input[[#This Row],[Measure number]], Table_Prescript_Meas[Measure Number],0))</f>
        <v>#N/A</v>
      </c>
      <c r="AG92"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92" s="53" t="str">
        <f>_xlfn.CONCAT(Table_PrescriptLights_Input[[#This Row],[Existing lighting type]],":",Table_PrescriptLights_Input[[#This Row],[Existing lamps per fixture]], ":",Table_PrescriptLights_Input[[#This Row],[Existing lamp wattage]])</f>
        <v>::</v>
      </c>
      <c r="AI92" s="53" t="e">
        <f>INDEX(Table_TRM_Fixtures[Fixture Code], MATCH(Table_PrescriptLights_Input[[#This Row],[Detailed Baseline Fixture Lookup]], Table_TRM_Fixtures[Detailed Prescriptive Baseline Fixture Lookup], 0))</f>
        <v>#N/A</v>
      </c>
      <c r="AJ92" s="53" t="e">
        <f>INDEX(Table_TRM_Fixtures[Fixture Wattage for Baseline Calculations],MATCH(Table_PrescriptLights_Input[[#This Row],[Detailed Baseline Fixture Lookup]], Table_TRM_Fixtures[Detailed Prescriptive Baseline Fixture Lookup],0))</f>
        <v>#N/A</v>
      </c>
      <c r="AK92" s="127" t="e">
        <f>INDEX(Table_Bldg_IEFD_IEFC[IEFE], MATCH( Input_HVACType,Table_Bldg_IEFD_IEFC[List_HVAC], 0))</f>
        <v>#N/A</v>
      </c>
      <c r="AL92" s="127" t="e">
        <f>INDEX( Table_Bldg_IEFD_IEFC[IEFE],MATCH( Input_HVACType, Table_Bldg_IEFD_IEFC[List_HVAC],0 ))</f>
        <v>#N/A</v>
      </c>
      <c r="AM92" s="127" t="e">
        <f>INDEX(Table_Control_PAF[PAF], MATCH(Table_PrescriptLights_Input[[#This Row],[Existing controls]], Table_Control_PAF[List_Control_Types], 0 ) )</f>
        <v>#N/A</v>
      </c>
      <c r="AN92"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92"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92"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92" s="53">
        <f>IFERROR(LEFT(Table_PrescriptLights_Input[[#This Row],[Existing lighting type]], FIND(",",Table_PrescriptLights_Input[[#This Row],[Existing lighting type]])-1), Table_PrescriptLights_Input[[#This Row],[Existing lighting type]])</f>
        <v>0</v>
      </c>
      <c r="AR92" s="53" t="str">
        <f>_xlfn.CONCAT(Table_PrescriptLights_Input[[#This Row],[Generalized Fixture Type]], ":",Table_PrescriptLights_Input[[#This Row],[Existing lamps per fixture]],":",Table_PrescriptLights_Input[[#This Row],[Existing lamp wattage]])</f>
        <v>0::</v>
      </c>
      <c r="AS92" s="53" t="e">
        <f>INDEX(Table_TRM_Fixtures[Fixture Code], MATCH(Table_PrescriptLights_Input[[#This Row],[Generalized Fixture Baseline Lookup]], Table_TRM_Fixtures[Generalized Baseline Fixture Lookup], 0))</f>
        <v>#N/A</v>
      </c>
      <c r="AT92"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92"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92"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92"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92"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92" s="53" t="e">
        <f>IFERROR(Table_PrescriptLights_Input[[#This Row],[Detailed Baseline Fixture Code]],Table_PrescriptLights_Input[[#This Row],[Generalized Baseline Fixture Code]])</f>
        <v>#N/A</v>
      </c>
      <c r="AZ92" s="4"/>
      <c r="BA92" s="4"/>
      <c r="BB92" s="4"/>
      <c r="BC92" s="4"/>
      <c r="BD92" s="4"/>
      <c r="BE92" s="4"/>
      <c r="BF92" s="4"/>
      <c r="BG92" s="4"/>
      <c r="BH92" s="4"/>
      <c r="BI92" s="4"/>
      <c r="BJ92" s="4"/>
      <c r="BK92" s="4"/>
      <c r="BL92" s="4"/>
      <c r="BM92" s="4"/>
      <c r="BN92" s="4"/>
      <c r="BO92" s="4"/>
      <c r="BP92" s="4"/>
      <c r="BQ92" s="4"/>
    </row>
    <row r="93" spans="1:69" x14ac:dyDescent="0.2">
      <c r="A93" s="4"/>
      <c r="B93" s="189">
        <v>89</v>
      </c>
      <c r="C93" s="61" t="str">
        <f>IFERROR(INDEX(Table_Prescript_Meas[Measure Number], MATCH(Table_PrescriptLights_Input[[#This Row],[Prescriptive lighting measure]], Table_Prescript_Meas[Measure Description], 0)), "")</f>
        <v/>
      </c>
      <c r="D93" s="192"/>
      <c r="E93" s="179"/>
      <c r="F93" s="179"/>
      <c r="G93" s="61" t="str">
        <f>IFERROR(INDEX(Table_Prescript_Meas[Unit], MATCH(Table_PrescriptLights_Input[[#This Row],[Measure number]], Table_Prescript_Meas[Measure Number], 0)), "")</f>
        <v/>
      </c>
      <c r="H93" s="180"/>
      <c r="I93" s="179"/>
      <c r="J93" s="179"/>
      <c r="K93" s="180"/>
      <c r="L93" s="179"/>
      <c r="M93" s="180"/>
      <c r="N93" s="180"/>
      <c r="O93" s="180"/>
      <c r="P93" s="180"/>
      <c r="Q93" s="180"/>
      <c r="R93" s="181"/>
      <c r="S93" s="181"/>
      <c r="T93"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93"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93" s="69" t="str">
        <f>IF(Table_PrescriptLights_Input[[#This Row],[Prescriptive lighting measure]]="","",Table_PrescriptLights_Input[[#This Row],[Calculated Energy Savings]])</f>
        <v/>
      </c>
      <c r="W93" s="73" t="str">
        <f>IF(Table_PrescriptLights_Input[[#This Row],[Prescriptive lighting measure]]="","",Table_PrescriptLights_Input[[#This Row],[Calculated Demand Savings]])</f>
        <v/>
      </c>
      <c r="X93" s="67" t="str">
        <f>IFERROR(Table_PrescriptLights_Input[[#This Row],[Energy savings (kWh)]]*Input_AvgkWhRate, "")</f>
        <v/>
      </c>
      <c r="Y93" s="67" t="str">
        <f>IF(Table_PrescriptLights_Input[[#This Row],[Prescriptive lighting measure]]="", "",Table_PrescriptLights_Input[[#This Row],[Material cost per fixture]]*Table_PrescriptLights_Input[[#This Row],[Number of proposed fixtures]]+Table_PrescriptLights_Input[[#This Row],[Total labor cost]])</f>
        <v/>
      </c>
      <c r="Z93" s="67" t="str">
        <f>IFERROR(Table_PrescriptLights_Input[[#This Row],[Gross measure cost]]-Table_PrescriptLights_Input[[#This Row],[Estimated incentive]], "")</f>
        <v/>
      </c>
      <c r="AA93" s="69" t="str">
        <f t="shared" si="2"/>
        <v/>
      </c>
      <c r="AB93" s="69" t="str">
        <f>IF(ISNUMBER(Table_PrescriptLights_Input[[#This Row],[Detailed Fixture Calculation Wattage]]), "Detailed", "General")</f>
        <v>General</v>
      </c>
      <c r="AC93" s="53" t="e">
        <f>INDEX(Table_IntExt_Match[Measure Selection List], MATCH(Table_PrescriptLights_Input[[#This Row],[Interior or exterior?]], Table_IntExt_Match[Inetrior or Exterior], 0))</f>
        <v>#N/A</v>
      </c>
      <c r="AD93" s="53" t="e">
        <f>INDEX(Table_Prescript_Meas[Unit], MATCH(C93, Table_Prescript_Meas[Measure Number], 0))</f>
        <v>#N/A</v>
      </c>
      <c r="AE93" s="53" t="e">
        <f>INDEX(Table_Prescript_Meas[Lighting Type Selection List], MATCH(C93, Table_Prescript_Meas[Measure Number], 0))</f>
        <v>#N/A</v>
      </c>
      <c r="AF93" s="53" t="e">
        <f>INDEX(Table_Prescript_Meas[AOH Type], MATCH(Table_PrescriptLights_Input[[#This Row],[Measure number]], Table_Prescript_Meas[Measure Number],0))</f>
        <v>#N/A</v>
      </c>
      <c r="AG93"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93" s="53" t="str">
        <f>_xlfn.CONCAT(Table_PrescriptLights_Input[[#This Row],[Existing lighting type]],":",Table_PrescriptLights_Input[[#This Row],[Existing lamps per fixture]], ":",Table_PrescriptLights_Input[[#This Row],[Existing lamp wattage]])</f>
        <v>::</v>
      </c>
      <c r="AI93" s="53" t="e">
        <f>INDEX(Table_TRM_Fixtures[Fixture Code], MATCH(Table_PrescriptLights_Input[[#This Row],[Detailed Baseline Fixture Lookup]], Table_TRM_Fixtures[Detailed Prescriptive Baseline Fixture Lookup], 0))</f>
        <v>#N/A</v>
      </c>
      <c r="AJ93" s="53" t="e">
        <f>INDEX(Table_TRM_Fixtures[Fixture Wattage for Baseline Calculations],MATCH(Table_PrescriptLights_Input[[#This Row],[Detailed Baseline Fixture Lookup]], Table_TRM_Fixtures[Detailed Prescriptive Baseline Fixture Lookup],0))</f>
        <v>#N/A</v>
      </c>
      <c r="AK93" s="127" t="e">
        <f>INDEX(Table_Bldg_IEFD_IEFC[IEFE], MATCH( Input_HVACType,Table_Bldg_IEFD_IEFC[List_HVAC], 0))</f>
        <v>#N/A</v>
      </c>
      <c r="AL93" s="127" t="e">
        <f>INDEX( Table_Bldg_IEFD_IEFC[IEFE],MATCH( Input_HVACType, Table_Bldg_IEFD_IEFC[List_HVAC],0 ))</f>
        <v>#N/A</v>
      </c>
      <c r="AM93" s="127" t="e">
        <f>INDEX(Table_Control_PAF[PAF], MATCH(Table_PrescriptLights_Input[[#This Row],[Existing controls]], Table_Control_PAF[List_Control_Types], 0 ) )</f>
        <v>#N/A</v>
      </c>
      <c r="AN93"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93"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93"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93" s="53">
        <f>IFERROR(LEFT(Table_PrescriptLights_Input[[#This Row],[Existing lighting type]], FIND(",",Table_PrescriptLights_Input[[#This Row],[Existing lighting type]])-1), Table_PrescriptLights_Input[[#This Row],[Existing lighting type]])</f>
        <v>0</v>
      </c>
      <c r="AR93" s="53" t="str">
        <f>_xlfn.CONCAT(Table_PrescriptLights_Input[[#This Row],[Generalized Fixture Type]], ":",Table_PrescriptLights_Input[[#This Row],[Existing lamps per fixture]],":",Table_PrescriptLights_Input[[#This Row],[Existing lamp wattage]])</f>
        <v>0::</v>
      </c>
      <c r="AS93" s="53" t="e">
        <f>INDEX(Table_TRM_Fixtures[Fixture Code], MATCH(Table_PrescriptLights_Input[[#This Row],[Generalized Fixture Baseline Lookup]], Table_TRM_Fixtures[Generalized Baseline Fixture Lookup], 0))</f>
        <v>#N/A</v>
      </c>
      <c r="AT93"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93"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93"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93"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93"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93" s="53" t="e">
        <f>IFERROR(Table_PrescriptLights_Input[[#This Row],[Detailed Baseline Fixture Code]],Table_PrescriptLights_Input[[#This Row],[Generalized Baseline Fixture Code]])</f>
        <v>#N/A</v>
      </c>
      <c r="AZ93" s="4"/>
      <c r="BA93" s="4"/>
      <c r="BB93" s="4"/>
      <c r="BC93" s="4"/>
      <c r="BD93" s="4"/>
      <c r="BE93" s="4"/>
      <c r="BF93" s="4"/>
      <c r="BG93" s="4"/>
      <c r="BH93" s="4"/>
      <c r="BI93" s="4"/>
      <c r="BJ93" s="4"/>
      <c r="BK93" s="4"/>
      <c r="BL93" s="4"/>
      <c r="BM93" s="4"/>
      <c r="BN93" s="4"/>
      <c r="BO93" s="4"/>
      <c r="BP93" s="4"/>
      <c r="BQ93" s="4"/>
    </row>
    <row r="94" spans="1:69" x14ac:dyDescent="0.2">
      <c r="A94" s="4"/>
      <c r="B94" s="189">
        <v>90</v>
      </c>
      <c r="C94" s="61" t="str">
        <f>IFERROR(INDEX(Table_Prescript_Meas[Measure Number], MATCH(Table_PrescriptLights_Input[[#This Row],[Prescriptive lighting measure]], Table_Prescript_Meas[Measure Description], 0)), "")</f>
        <v/>
      </c>
      <c r="D94" s="192"/>
      <c r="E94" s="179"/>
      <c r="F94" s="179"/>
      <c r="G94" s="61" t="str">
        <f>IFERROR(INDEX(Table_Prescript_Meas[Unit], MATCH(Table_PrescriptLights_Input[[#This Row],[Measure number]], Table_Prescript_Meas[Measure Number], 0)), "")</f>
        <v/>
      </c>
      <c r="H94" s="180"/>
      <c r="I94" s="179"/>
      <c r="J94" s="179"/>
      <c r="K94" s="180"/>
      <c r="L94" s="179"/>
      <c r="M94" s="180"/>
      <c r="N94" s="180"/>
      <c r="O94" s="180"/>
      <c r="P94" s="180"/>
      <c r="Q94" s="180"/>
      <c r="R94" s="181"/>
      <c r="S94" s="181"/>
      <c r="T94"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94"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94" s="69" t="str">
        <f>IF(Table_PrescriptLights_Input[[#This Row],[Prescriptive lighting measure]]="","",Table_PrescriptLights_Input[[#This Row],[Calculated Energy Savings]])</f>
        <v/>
      </c>
      <c r="W94" s="73" t="str">
        <f>IF(Table_PrescriptLights_Input[[#This Row],[Prescriptive lighting measure]]="","",Table_PrescriptLights_Input[[#This Row],[Calculated Demand Savings]])</f>
        <v/>
      </c>
      <c r="X94" s="67" t="str">
        <f>IFERROR(Table_PrescriptLights_Input[[#This Row],[Energy savings (kWh)]]*Input_AvgkWhRate, "")</f>
        <v/>
      </c>
      <c r="Y94" s="67" t="str">
        <f>IF(Table_PrescriptLights_Input[[#This Row],[Prescriptive lighting measure]]="", "",Table_PrescriptLights_Input[[#This Row],[Material cost per fixture]]*Table_PrescriptLights_Input[[#This Row],[Number of proposed fixtures]]+Table_PrescriptLights_Input[[#This Row],[Total labor cost]])</f>
        <v/>
      </c>
      <c r="Z94" s="67" t="str">
        <f>IFERROR(Table_PrescriptLights_Input[[#This Row],[Gross measure cost]]-Table_PrescriptLights_Input[[#This Row],[Estimated incentive]], "")</f>
        <v/>
      </c>
      <c r="AA94" s="69" t="str">
        <f t="shared" si="2"/>
        <v/>
      </c>
      <c r="AB94" s="69" t="str">
        <f>IF(ISNUMBER(Table_PrescriptLights_Input[[#This Row],[Detailed Fixture Calculation Wattage]]), "Detailed", "General")</f>
        <v>General</v>
      </c>
      <c r="AC94" s="53" t="e">
        <f>INDEX(Table_IntExt_Match[Measure Selection List], MATCH(Table_PrescriptLights_Input[[#This Row],[Interior or exterior?]], Table_IntExt_Match[Inetrior or Exterior], 0))</f>
        <v>#N/A</v>
      </c>
      <c r="AD94" s="53" t="e">
        <f>INDEX(Table_Prescript_Meas[Unit], MATCH(C94, Table_Prescript_Meas[Measure Number], 0))</f>
        <v>#N/A</v>
      </c>
      <c r="AE94" s="53" t="e">
        <f>INDEX(Table_Prescript_Meas[Lighting Type Selection List], MATCH(C94, Table_Prescript_Meas[Measure Number], 0))</f>
        <v>#N/A</v>
      </c>
      <c r="AF94" s="53" t="e">
        <f>INDEX(Table_Prescript_Meas[AOH Type], MATCH(Table_PrescriptLights_Input[[#This Row],[Measure number]], Table_Prescript_Meas[Measure Number],0))</f>
        <v>#N/A</v>
      </c>
      <c r="AG94"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94" s="53" t="str">
        <f>_xlfn.CONCAT(Table_PrescriptLights_Input[[#This Row],[Existing lighting type]],":",Table_PrescriptLights_Input[[#This Row],[Existing lamps per fixture]], ":",Table_PrescriptLights_Input[[#This Row],[Existing lamp wattage]])</f>
        <v>::</v>
      </c>
      <c r="AI94" s="53" t="e">
        <f>INDEX(Table_TRM_Fixtures[Fixture Code], MATCH(Table_PrescriptLights_Input[[#This Row],[Detailed Baseline Fixture Lookup]], Table_TRM_Fixtures[Detailed Prescriptive Baseline Fixture Lookup], 0))</f>
        <v>#N/A</v>
      </c>
      <c r="AJ94" s="53" t="e">
        <f>INDEX(Table_TRM_Fixtures[Fixture Wattage for Baseline Calculations],MATCH(Table_PrescriptLights_Input[[#This Row],[Detailed Baseline Fixture Lookup]], Table_TRM_Fixtures[Detailed Prescriptive Baseline Fixture Lookup],0))</f>
        <v>#N/A</v>
      </c>
      <c r="AK94" s="127" t="e">
        <f>INDEX(Table_Bldg_IEFD_IEFC[IEFE], MATCH( Input_HVACType,Table_Bldg_IEFD_IEFC[List_HVAC], 0))</f>
        <v>#N/A</v>
      </c>
      <c r="AL94" s="127" t="e">
        <f>INDEX( Table_Bldg_IEFD_IEFC[IEFE],MATCH( Input_HVACType, Table_Bldg_IEFD_IEFC[List_HVAC],0 ))</f>
        <v>#N/A</v>
      </c>
      <c r="AM94" s="127" t="e">
        <f>INDEX(Table_Control_PAF[PAF], MATCH(Table_PrescriptLights_Input[[#This Row],[Existing controls]], Table_Control_PAF[List_Control_Types], 0 ) )</f>
        <v>#N/A</v>
      </c>
      <c r="AN94"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94"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94"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94" s="53">
        <f>IFERROR(LEFT(Table_PrescriptLights_Input[[#This Row],[Existing lighting type]], FIND(",",Table_PrescriptLights_Input[[#This Row],[Existing lighting type]])-1), Table_PrescriptLights_Input[[#This Row],[Existing lighting type]])</f>
        <v>0</v>
      </c>
      <c r="AR94" s="53" t="str">
        <f>_xlfn.CONCAT(Table_PrescriptLights_Input[[#This Row],[Generalized Fixture Type]], ":",Table_PrescriptLights_Input[[#This Row],[Existing lamps per fixture]],":",Table_PrescriptLights_Input[[#This Row],[Existing lamp wattage]])</f>
        <v>0::</v>
      </c>
      <c r="AS94" s="53" t="e">
        <f>INDEX(Table_TRM_Fixtures[Fixture Code], MATCH(Table_PrescriptLights_Input[[#This Row],[Generalized Fixture Baseline Lookup]], Table_TRM_Fixtures[Generalized Baseline Fixture Lookup], 0))</f>
        <v>#N/A</v>
      </c>
      <c r="AT94"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94"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94"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94"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94"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94" s="53" t="e">
        <f>IFERROR(Table_PrescriptLights_Input[[#This Row],[Detailed Baseline Fixture Code]],Table_PrescriptLights_Input[[#This Row],[Generalized Baseline Fixture Code]])</f>
        <v>#N/A</v>
      </c>
      <c r="AZ94" s="4"/>
      <c r="BA94" s="4"/>
      <c r="BB94" s="4"/>
      <c r="BC94" s="4"/>
      <c r="BD94" s="4"/>
      <c r="BE94" s="4"/>
      <c r="BF94" s="4"/>
      <c r="BG94" s="4"/>
      <c r="BH94" s="4"/>
      <c r="BI94" s="4"/>
      <c r="BJ94" s="4"/>
      <c r="BK94" s="4"/>
      <c r="BL94" s="4"/>
      <c r="BM94" s="4"/>
      <c r="BN94" s="4"/>
      <c r="BO94" s="4"/>
      <c r="BP94" s="4"/>
      <c r="BQ94" s="4"/>
    </row>
    <row r="95" spans="1:69" x14ac:dyDescent="0.2">
      <c r="A95" s="4"/>
      <c r="B95" s="189">
        <v>91</v>
      </c>
      <c r="C95" s="61" t="str">
        <f>IFERROR(INDEX(Table_Prescript_Meas[Measure Number], MATCH(Table_PrescriptLights_Input[[#This Row],[Prescriptive lighting measure]], Table_Prescript_Meas[Measure Description], 0)), "")</f>
        <v/>
      </c>
      <c r="D95" s="192"/>
      <c r="E95" s="179"/>
      <c r="F95" s="179"/>
      <c r="G95" s="61" t="str">
        <f>IFERROR(INDEX(Table_Prescript_Meas[Unit], MATCH(Table_PrescriptLights_Input[[#This Row],[Measure number]], Table_Prescript_Meas[Measure Number], 0)), "")</f>
        <v/>
      </c>
      <c r="H95" s="180"/>
      <c r="I95" s="179"/>
      <c r="J95" s="179"/>
      <c r="K95" s="180"/>
      <c r="L95" s="179"/>
      <c r="M95" s="180"/>
      <c r="N95" s="180"/>
      <c r="O95" s="180"/>
      <c r="P95" s="180"/>
      <c r="Q95" s="180"/>
      <c r="R95" s="181"/>
      <c r="S95" s="181"/>
      <c r="T95"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95"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95" s="69" t="str">
        <f>IF(Table_PrescriptLights_Input[[#This Row],[Prescriptive lighting measure]]="","",Table_PrescriptLights_Input[[#This Row],[Calculated Energy Savings]])</f>
        <v/>
      </c>
      <c r="W95" s="73" t="str">
        <f>IF(Table_PrescriptLights_Input[[#This Row],[Prescriptive lighting measure]]="","",Table_PrescriptLights_Input[[#This Row],[Calculated Demand Savings]])</f>
        <v/>
      </c>
      <c r="X95" s="67" t="str">
        <f>IFERROR(Table_PrescriptLights_Input[[#This Row],[Energy savings (kWh)]]*Input_AvgkWhRate, "")</f>
        <v/>
      </c>
      <c r="Y95" s="67" t="str">
        <f>IF(Table_PrescriptLights_Input[[#This Row],[Prescriptive lighting measure]]="", "",Table_PrescriptLights_Input[[#This Row],[Material cost per fixture]]*Table_PrescriptLights_Input[[#This Row],[Number of proposed fixtures]]+Table_PrescriptLights_Input[[#This Row],[Total labor cost]])</f>
        <v/>
      </c>
      <c r="Z95" s="67" t="str">
        <f>IFERROR(Table_PrescriptLights_Input[[#This Row],[Gross measure cost]]-Table_PrescriptLights_Input[[#This Row],[Estimated incentive]], "")</f>
        <v/>
      </c>
      <c r="AA95" s="69" t="str">
        <f t="shared" si="2"/>
        <v/>
      </c>
      <c r="AB95" s="69" t="str">
        <f>IF(ISNUMBER(Table_PrescriptLights_Input[[#This Row],[Detailed Fixture Calculation Wattage]]), "Detailed", "General")</f>
        <v>General</v>
      </c>
      <c r="AC95" s="53" t="e">
        <f>INDEX(Table_IntExt_Match[Measure Selection List], MATCH(Table_PrescriptLights_Input[[#This Row],[Interior or exterior?]], Table_IntExt_Match[Inetrior or Exterior], 0))</f>
        <v>#N/A</v>
      </c>
      <c r="AD95" s="53" t="e">
        <f>INDEX(Table_Prescript_Meas[Unit], MATCH(C95, Table_Prescript_Meas[Measure Number], 0))</f>
        <v>#N/A</v>
      </c>
      <c r="AE95" s="53" t="e">
        <f>INDEX(Table_Prescript_Meas[Lighting Type Selection List], MATCH(C95, Table_Prescript_Meas[Measure Number], 0))</f>
        <v>#N/A</v>
      </c>
      <c r="AF95" s="53" t="e">
        <f>INDEX(Table_Prescript_Meas[AOH Type], MATCH(Table_PrescriptLights_Input[[#This Row],[Measure number]], Table_Prescript_Meas[Measure Number],0))</f>
        <v>#N/A</v>
      </c>
      <c r="AG95"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95" s="53" t="str">
        <f>_xlfn.CONCAT(Table_PrescriptLights_Input[[#This Row],[Existing lighting type]],":",Table_PrescriptLights_Input[[#This Row],[Existing lamps per fixture]], ":",Table_PrescriptLights_Input[[#This Row],[Existing lamp wattage]])</f>
        <v>::</v>
      </c>
      <c r="AI95" s="53" t="e">
        <f>INDEX(Table_TRM_Fixtures[Fixture Code], MATCH(Table_PrescriptLights_Input[[#This Row],[Detailed Baseline Fixture Lookup]], Table_TRM_Fixtures[Detailed Prescriptive Baseline Fixture Lookup], 0))</f>
        <v>#N/A</v>
      </c>
      <c r="AJ95" s="53" t="e">
        <f>INDEX(Table_TRM_Fixtures[Fixture Wattage for Baseline Calculations],MATCH(Table_PrescriptLights_Input[[#This Row],[Detailed Baseline Fixture Lookup]], Table_TRM_Fixtures[Detailed Prescriptive Baseline Fixture Lookup],0))</f>
        <v>#N/A</v>
      </c>
      <c r="AK95" s="127" t="e">
        <f>INDEX(Table_Bldg_IEFD_IEFC[IEFE], MATCH( Input_HVACType,Table_Bldg_IEFD_IEFC[List_HVAC], 0))</f>
        <v>#N/A</v>
      </c>
      <c r="AL95" s="127" t="e">
        <f>INDEX( Table_Bldg_IEFD_IEFC[IEFE],MATCH( Input_HVACType, Table_Bldg_IEFD_IEFC[List_HVAC],0 ))</f>
        <v>#N/A</v>
      </c>
      <c r="AM95" s="127" t="e">
        <f>INDEX(Table_Control_PAF[PAF], MATCH(Table_PrescriptLights_Input[[#This Row],[Existing controls]], Table_Control_PAF[List_Control_Types], 0 ) )</f>
        <v>#N/A</v>
      </c>
      <c r="AN95"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95"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95"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95" s="53">
        <f>IFERROR(LEFT(Table_PrescriptLights_Input[[#This Row],[Existing lighting type]], FIND(",",Table_PrescriptLights_Input[[#This Row],[Existing lighting type]])-1), Table_PrescriptLights_Input[[#This Row],[Existing lighting type]])</f>
        <v>0</v>
      </c>
      <c r="AR95" s="53" t="str">
        <f>_xlfn.CONCAT(Table_PrescriptLights_Input[[#This Row],[Generalized Fixture Type]], ":",Table_PrescriptLights_Input[[#This Row],[Existing lamps per fixture]],":",Table_PrescriptLights_Input[[#This Row],[Existing lamp wattage]])</f>
        <v>0::</v>
      </c>
      <c r="AS95" s="53" t="e">
        <f>INDEX(Table_TRM_Fixtures[Fixture Code], MATCH(Table_PrescriptLights_Input[[#This Row],[Generalized Fixture Baseline Lookup]], Table_TRM_Fixtures[Generalized Baseline Fixture Lookup], 0))</f>
        <v>#N/A</v>
      </c>
      <c r="AT95"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95"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95"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95"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95"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95" s="53" t="e">
        <f>IFERROR(Table_PrescriptLights_Input[[#This Row],[Detailed Baseline Fixture Code]],Table_PrescriptLights_Input[[#This Row],[Generalized Baseline Fixture Code]])</f>
        <v>#N/A</v>
      </c>
      <c r="AZ95" s="4"/>
      <c r="BA95" s="4"/>
      <c r="BB95" s="4"/>
      <c r="BC95" s="4"/>
      <c r="BD95" s="4"/>
      <c r="BE95" s="4"/>
      <c r="BF95" s="4"/>
      <c r="BG95" s="4"/>
      <c r="BH95" s="4"/>
      <c r="BI95" s="4"/>
      <c r="BJ95" s="4"/>
      <c r="BK95" s="4"/>
      <c r="BL95" s="4"/>
      <c r="BM95" s="4"/>
      <c r="BN95" s="4"/>
      <c r="BO95" s="4"/>
      <c r="BP95" s="4"/>
      <c r="BQ95" s="4"/>
    </row>
    <row r="96" spans="1:69" x14ac:dyDescent="0.2">
      <c r="A96" s="4"/>
      <c r="B96" s="189">
        <v>92</v>
      </c>
      <c r="C96" s="61" t="str">
        <f>IFERROR(INDEX(Table_Prescript_Meas[Measure Number], MATCH(Table_PrescriptLights_Input[[#This Row],[Prescriptive lighting measure]], Table_Prescript_Meas[Measure Description], 0)), "")</f>
        <v/>
      </c>
      <c r="D96" s="192"/>
      <c r="E96" s="179"/>
      <c r="F96" s="179"/>
      <c r="G96" s="61" t="str">
        <f>IFERROR(INDEX(Table_Prescript_Meas[Unit], MATCH(Table_PrescriptLights_Input[[#This Row],[Measure number]], Table_Prescript_Meas[Measure Number], 0)), "")</f>
        <v/>
      </c>
      <c r="H96" s="180"/>
      <c r="I96" s="179"/>
      <c r="J96" s="179"/>
      <c r="K96" s="180"/>
      <c r="L96" s="179"/>
      <c r="M96" s="180"/>
      <c r="N96" s="180"/>
      <c r="O96" s="180"/>
      <c r="P96" s="180"/>
      <c r="Q96" s="180"/>
      <c r="R96" s="181"/>
      <c r="S96" s="181"/>
      <c r="T96"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96"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96" s="69" t="str">
        <f>IF(Table_PrescriptLights_Input[[#This Row],[Prescriptive lighting measure]]="","",Table_PrescriptLights_Input[[#This Row],[Calculated Energy Savings]])</f>
        <v/>
      </c>
      <c r="W96" s="73" t="str">
        <f>IF(Table_PrescriptLights_Input[[#This Row],[Prescriptive lighting measure]]="","",Table_PrescriptLights_Input[[#This Row],[Calculated Demand Savings]])</f>
        <v/>
      </c>
      <c r="X96" s="67" t="str">
        <f>IFERROR(Table_PrescriptLights_Input[[#This Row],[Energy savings (kWh)]]*Input_AvgkWhRate, "")</f>
        <v/>
      </c>
      <c r="Y96" s="67" t="str">
        <f>IF(Table_PrescriptLights_Input[[#This Row],[Prescriptive lighting measure]]="", "",Table_PrescriptLights_Input[[#This Row],[Material cost per fixture]]*Table_PrescriptLights_Input[[#This Row],[Number of proposed fixtures]]+Table_PrescriptLights_Input[[#This Row],[Total labor cost]])</f>
        <v/>
      </c>
      <c r="Z96" s="67" t="str">
        <f>IFERROR(Table_PrescriptLights_Input[[#This Row],[Gross measure cost]]-Table_PrescriptLights_Input[[#This Row],[Estimated incentive]], "")</f>
        <v/>
      </c>
      <c r="AA96" s="69" t="str">
        <f t="shared" si="2"/>
        <v/>
      </c>
      <c r="AB96" s="69" t="str">
        <f>IF(ISNUMBER(Table_PrescriptLights_Input[[#This Row],[Detailed Fixture Calculation Wattage]]), "Detailed", "General")</f>
        <v>General</v>
      </c>
      <c r="AC96" s="53" t="e">
        <f>INDEX(Table_IntExt_Match[Measure Selection List], MATCH(Table_PrescriptLights_Input[[#This Row],[Interior or exterior?]], Table_IntExt_Match[Inetrior or Exterior], 0))</f>
        <v>#N/A</v>
      </c>
      <c r="AD96" s="53" t="e">
        <f>INDEX(Table_Prescript_Meas[Unit], MATCH(C96, Table_Prescript_Meas[Measure Number], 0))</f>
        <v>#N/A</v>
      </c>
      <c r="AE96" s="53" t="e">
        <f>INDEX(Table_Prescript_Meas[Lighting Type Selection List], MATCH(C96, Table_Prescript_Meas[Measure Number], 0))</f>
        <v>#N/A</v>
      </c>
      <c r="AF96" s="53" t="e">
        <f>INDEX(Table_Prescript_Meas[AOH Type], MATCH(Table_PrescriptLights_Input[[#This Row],[Measure number]], Table_Prescript_Meas[Measure Number],0))</f>
        <v>#N/A</v>
      </c>
      <c r="AG96"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96" s="53" t="str">
        <f>_xlfn.CONCAT(Table_PrescriptLights_Input[[#This Row],[Existing lighting type]],":",Table_PrescriptLights_Input[[#This Row],[Existing lamps per fixture]], ":",Table_PrescriptLights_Input[[#This Row],[Existing lamp wattage]])</f>
        <v>::</v>
      </c>
      <c r="AI96" s="53" t="e">
        <f>INDEX(Table_TRM_Fixtures[Fixture Code], MATCH(Table_PrescriptLights_Input[[#This Row],[Detailed Baseline Fixture Lookup]], Table_TRM_Fixtures[Detailed Prescriptive Baseline Fixture Lookup], 0))</f>
        <v>#N/A</v>
      </c>
      <c r="AJ96" s="53" t="e">
        <f>INDEX(Table_TRM_Fixtures[Fixture Wattage for Baseline Calculations],MATCH(Table_PrescriptLights_Input[[#This Row],[Detailed Baseline Fixture Lookup]], Table_TRM_Fixtures[Detailed Prescriptive Baseline Fixture Lookup],0))</f>
        <v>#N/A</v>
      </c>
      <c r="AK96" s="127" t="e">
        <f>INDEX(Table_Bldg_IEFD_IEFC[IEFE], MATCH( Input_HVACType,Table_Bldg_IEFD_IEFC[List_HVAC], 0))</f>
        <v>#N/A</v>
      </c>
      <c r="AL96" s="127" t="e">
        <f>INDEX( Table_Bldg_IEFD_IEFC[IEFE],MATCH( Input_HVACType, Table_Bldg_IEFD_IEFC[List_HVAC],0 ))</f>
        <v>#N/A</v>
      </c>
      <c r="AM96" s="127" t="e">
        <f>INDEX(Table_Control_PAF[PAF], MATCH(Table_PrescriptLights_Input[[#This Row],[Existing controls]], Table_Control_PAF[List_Control_Types], 0 ) )</f>
        <v>#N/A</v>
      </c>
      <c r="AN96"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96"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96"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96" s="53">
        <f>IFERROR(LEFT(Table_PrescriptLights_Input[[#This Row],[Existing lighting type]], FIND(",",Table_PrescriptLights_Input[[#This Row],[Existing lighting type]])-1), Table_PrescriptLights_Input[[#This Row],[Existing lighting type]])</f>
        <v>0</v>
      </c>
      <c r="AR96" s="53" t="str">
        <f>_xlfn.CONCAT(Table_PrescriptLights_Input[[#This Row],[Generalized Fixture Type]], ":",Table_PrescriptLights_Input[[#This Row],[Existing lamps per fixture]],":",Table_PrescriptLights_Input[[#This Row],[Existing lamp wattage]])</f>
        <v>0::</v>
      </c>
      <c r="AS96" s="53" t="e">
        <f>INDEX(Table_TRM_Fixtures[Fixture Code], MATCH(Table_PrescriptLights_Input[[#This Row],[Generalized Fixture Baseline Lookup]], Table_TRM_Fixtures[Generalized Baseline Fixture Lookup], 0))</f>
        <v>#N/A</v>
      </c>
      <c r="AT96"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96"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96"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96"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96"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96" s="53" t="e">
        <f>IFERROR(Table_PrescriptLights_Input[[#This Row],[Detailed Baseline Fixture Code]],Table_PrescriptLights_Input[[#This Row],[Generalized Baseline Fixture Code]])</f>
        <v>#N/A</v>
      </c>
      <c r="AZ96" s="4"/>
      <c r="BA96" s="4"/>
      <c r="BB96" s="4"/>
      <c r="BC96" s="4"/>
      <c r="BD96" s="4"/>
      <c r="BE96" s="4"/>
      <c r="BF96" s="4"/>
      <c r="BG96" s="4"/>
      <c r="BH96" s="4"/>
      <c r="BI96" s="4"/>
      <c r="BJ96" s="4"/>
      <c r="BK96" s="4"/>
      <c r="BL96" s="4"/>
      <c r="BM96" s="4"/>
      <c r="BN96" s="4"/>
      <c r="BO96" s="4"/>
      <c r="BP96" s="4"/>
      <c r="BQ96" s="4"/>
    </row>
    <row r="97" spans="1:69" x14ac:dyDescent="0.2">
      <c r="A97" s="4"/>
      <c r="B97" s="189">
        <v>93</v>
      </c>
      <c r="C97" s="61" t="str">
        <f>IFERROR(INDEX(Table_Prescript_Meas[Measure Number], MATCH(Table_PrescriptLights_Input[[#This Row],[Prescriptive lighting measure]], Table_Prescript_Meas[Measure Description], 0)), "")</f>
        <v/>
      </c>
      <c r="D97" s="192"/>
      <c r="E97" s="179"/>
      <c r="F97" s="179"/>
      <c r="G97" s="61" t="str">
        <f>IFERROR(INDEX(Table_Prescript_Meas[Unit], MATCH(Table_PrescriptLights_Input[[#This Row],[Measure number]], Table_Prescript_Meas[Measure Number], 0)), "")</f>
        <v/>
      </c>
      <c r="H97" s="180"/>
      <c r="I97" s="179"/>
      <c r="J97" s="179"/>
      <c r="K97" s="180"/>
      <c r="L97" s="179"/>
      <c r="M97" s="180"/>
      <c r="N97" s="180"/>
      <c r="O97" s="180"/>
      <c r="P97" s="180"/>
      <c r="Q97" s="180"/>
      <c r="R97" s="181"/>
      <c r="S97" s="181"/>
      <c r="T97"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97"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97" s="69" t="str">
        <f>IF(Table_PrescriptLights_Input[[#This Row],[Prescriptive lighting measure]]="","",Table_PrescriptLights_Input[[#This Row],[Calculated Energy Savings]])</f>
        <v/>
      </c>
      <c r="W97" s="73" t="str">
        <f>IF(Table_PrescriptLights_Input[[#This Row],[Prescriptive lighting measure]]="","",Table_PrescriptLights_Input[[#This Row],[Calculated Demand Savings]])</f>
        <v/>
      </c>
      <c r="X97" s="67" t="str">
        <f>IFERROR(Table_PrescriptLights_Input[[#This Row],[Energy savings (kWh)]]*Input_AvgkWhRate, "")</f>
        <v/>
      </c>
      <c r="Y97" s="67" t="str">
        <f>IF(Table_PrescriptLights_Input[[#This Row],[Prescriptive lighting measure]]="", "",Table_PrescriptLights_Input[[#This Row],[Material cost per fixture]]*Table_PrescriptLights_Input[[#This Row],[Number of proposed fixtures]]+Table_PrescriptLights_Input[[#This Row],[Total labor cost]])</f>
        <v/>
      </c>
      <c r="Z97" s="67" t="str">
        <f>IFERROR(Table_PrescriptLights_Input[[#This Row],[Gross measure cost]]-Table_PrescriptLights_Input[[#This Row],[Estimated incentive]], "")</f>
        <v/>
      </c>
      <c r="AA97" s="69" t="str">
        <f t="shared" si="2"/>
        <v/>
      </c>
      <c r="AB97" s="69" t="str">
        <f>IF(ISNUMBER(Table_PrescriptLights_Input[[#This Row],[Detailed Fixture Calculation Wattage]]), "Detailed", "General")</f>
        <v>General</v>
      </c>
      <c r="AC97" s="53" t="e">
        <f>INDEX(Table_IntExt_Match[Measure Selection List], MATCH(Table_PrescriptLights_Input[[#This Row],[Interior or exterior?]], Table_IntExt_Match[Inetrior or Exterior], 0))</f>
        <v>#N/A</v>
      </c>
      <c r="AD97" s="53" t="e">
        <f>INDEX(Table_Prescript_Meas[Unit], MATCH(C97, Table_Prescript_Meas[Measure Number], 0))</f>
        <v>#N/A</v>
      </c>
      <c r="AE97" s="53" t="e">
        <f>INDEX(Table_Prescript_Meas[Lighting Type Selection List], MATCH(C97, Table_Prescript_Meas[Measure Number], 0))</f>
        <v>#N/A</v>
      </c>
      <c r="AF97" s="53" t="e">
        <f>INDEX(Table_Prescript_Meas[AOH Type], MATCH(Table_PrescriptLights_Input[[#This Row],[Measure number]], Table_Prescript_Meas[Measure Number],0))</f>
        <v>#N/A</v>
      </c>
      <c r="AG97"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97" s="53" t="str">
        <f>_xlfn.CONCAT(Table_PrescriptLights_Input[[#This Row],[Existing lighting type]],":",Table_PrescriptLights_Input[[#This Row],[Existing lamps per fixture]], ":",Table_PrescriptLights_Input[[#This Row],[Existing lamp wattage]])</f>
        <v>::</v>
      </c>
      <c r="AI97" s="53" t="e">
        <f>INDEX(Table_TRM_Fixtures[Fixture Code], MATCH(Table_PrescriptLights_Input[[#This Row],[Detailed Baseline Fixture Lookup]], Table_TRM_Fixtures[Detailed Prescriptive Baseline Fixture Lookup], 0))</f>
        <v>#N/A</v>
      </c>
      <c r="AJ97" s="53" t="e">
        <f>INDEX(Table_TRM_Fixtures[Fixture Wattage for Baseline Calculations],MATCH(Table_PrescriptLights_Input[[#This Row],[Detailed Baseline Fixture Lookup]], Table_TRM_Fixtures[Detailed Prescriptive Baseline Fixture Lookup],0))</f>
        <v>#N/A</v>
      </c>
      <c r="AK97" s="127" t="e">
        <f>INDEX(Table_Bldg_IEFD_IEFC[IEFE], MATCH( Input_HVACType,Table_Bldg_IEFD_IEFC[List_HVAC], 0))</f>
        <v>#N/A</v>
      </c>
      <c r="AL97" s="127" t="e">
        <f>INDEX( Table_Bldg_IEFD_IEFC[IEFE],MATCH( Input_HVACType, Table_Bldg_IEFD_IEFC[List_HVAC],0 ))</f>
        <v>#N/A</v>
      </c>
      <c r="AM97" s="127" t="e">
        <f>INDEX(Table_Control_PAF[PAF], MATCH(Table_PrescriptLights_Input[[#This Row],[Existing controls]], Table_Control_PAF[List_Control_Types], 0 ) )</f>
        <v>#N/A</v>
      </c>
      <c r="AN97"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97"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97"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97" s="53">
        <f>IFERROR(LEFT(Table_PrescriptLights_Input[[#This Row],[Existing lighting type]], FIND(",",Table_PrescriptLights_Input[[#This Row],[Existing lighting type]])-1), Table_PrescriptLights_Input[[#This Row],[Existing lighting type]])</f>
        <v>0</v>
      </c>
      <c r="AR97" s="53" t="str">
        <f>_xlfn.CONCAT(Table_PrescriptLights_Input[[#This Row],[Generalized Fixture Type]], ":",Table_PrescriptLights_Input[[#This Row],[Existing lamps per fixture]],":",Table_PrescriptLights_Input[[#This Row],[Existing lamp wattage]])</f>
        <v>0::</v>
      </c>
      <c r="AS97" s="53" t="e">
        <f>INDEX(Table_TRM_Fixtures[Fixture Code], MATCH(Table_PrescriptLights_Input[[#This Row],[Generalized Fixture Baseline Lookup]], Table_TRM_Fixtures[Generalized Baseline Fixture Lookup], 0))</f>
        <v>#N/A</v>
      </c>
      <c r="AT97"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97"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97"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97"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97"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97" s="53" t="e">
        <f>IFERROR(Table_PrescriptLights_Input[[#This Row],[Detailed Baseline Fixture Code]],Table_PrescriptLights_Input[[#This Row],[Generalized Baseline Fixture Code]])</f>
        <v>#N/A</v>
      </c>
      <c r="AZ97" s="4"/>
      <c r="BA97" s="4"/>
      <c r="BB97" s="4"/>
      <c r="BC97" s="4"/>
      <c r="BD97" s="4"/>
      <c r="BE97" s="4"/>
      <c r="BF97" s="4"/>
      <c r="BG97" s="4"/>
      <c r="BH97" s="4"/>
      <c r="BI97" s="4"/>
      <c r="BJ97" s="4"/>
      <c r="BK97" s="4"/>
      <c r="BL97" s="4"/>
      <c r="BM97" s="4"/>
      <c r="BN97" s="4"/>
      <c r="BO97" s="4"/>
      <c r="BP97" s="4"/>
      <c r="BQ97" s="4"/>
    </row>
    <row r="98" spans="1:69" x14ac:dyDescent="0.2">
      <c r="A98" s="4"/>
      <c r="B98" s="189">
        <v>94</v>
      </c>
      <c r="C98" s="61" t="str">
        <f>IFERROR(INDEX(Table_Prescript_Meas[Measure Number], MATCH(Table_PrescriptLights_Input[[#This Row],[Prescriptive lighting measure]], Table_Prescript_Meas[Measure Description], 0)), "")</f>
        <v/>
      </c>
      <c r="D98" s="192"/>
      <c r="E98" s="179"/>
      <c r="F98" s="179"/>
      <c r="G98" s="61" t="str">
        <f>IFERROR(INDEX(Table_Prescript_Meas[Unit], MATCH(Table_PrescriptLights_Input[[#This Row],[Measure number]], Table_Prescript_Meas[Measure Number], 0)), "")</f>
        <v/>
      </c>
      <c r="H98" s="180"/>
      <c r="I98" s="179"/>
      <c r="J98" s="179"/>
      <c r="K98" s="180"/>
      <c r="L98" s="179"/>
      <c r="M98" s="180"/>
      <c r="N98" s="180"/>
      <c r="O98" s="180"/>
      <c r="P98" s="180"/>
      <c r="Q98" s="180"/>
      <c r="R98" s="181"/>
      <c r="S98" s="181"/>
      <c r="T98"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98"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98" s="69" t="str">
        <f>IF(Table_PrescriptLights_Input[[#This Row],[Prescriptive lighting measure]]="","",Table_PrescriptLights_Input[[#This Row],[Calculated Energy Savings]])</f>
        <v/>
      </c>
      <c r="W98" s="73" t="str">
        <f>IF(Table_PrescriptLights_Input[[#This Row],[Prescriptive lighting measure]]="","",Table_PrescriptLights_Input[[#This Row],[Calculated Demand Savings]])</f>
        <v/>
      </c>
      <c r="X98" s="67" t="str">
        <f>IFERROR(Table_PrescriptLights_Input[[#This Row],[Energy savings (kWh)]]*Input_AvgkWhRate, "")</f>
        <v/>
      </c>
      <c r="Y98" s="67" t="str">
        <f>IF(Table_PrescriptLights_Input[[#This Row],[Prescriptive lighting measure]]="", "",Table_PrescriptLights_Input[[#This Row],[Material cost per fixture]]*Table_PrescriptLights_Input[[#This Row],[Number of proposed fixtures]]+Table_PrescriptLights_Input[[#This Row],[Total labor cost]])</f>
        <v/>
      </c>
      <c r="Z98" s="67" t="str">
        <f>IFERROR(Table_PrescriptLights_Input[[#This Row],[Gross measure cost]]-Table_PrescriptLights_Input[[#This Row],[Estimated incentive]], "")</f>
        <v/>
      </c>
      <c r="AA98" s="69" t="str">
        <f t="shared" si="2"/>
        <v/>
      </c>
      <c r="AB98" s="69" t="str">
        <f>IF(ISNUMBER(Table_PrescriptLights_Input[[#This Row],[Detailed Fixture Calculation Wattage]]), "Detailed", "General")</f>
        <v>General</v>
      </c>
      <c r="AC98" s="53" t="e">
        <f>INDEX(Table_IntExt_Match[Measure Selection List], MATCH(Table_PrescriptLights_Input[[#This Row],[Interior or exterior?]], Table_IntExt_Match[Inetrior or Exterior], 0))</f>
        <v>#N/A</v>
      </c>
      <c r="AD98" s="53" t="e">
        <f>INDEX(Table_Prescript_Meas[Unit], MATCH(C98, Table_Prescript_Meas[Measure Number], 0))</f>
        <v>#N/A</v>
      </c>
      <c r="AE98" s="53" t="e">
        <f>INDEX(Table_Prescript_Meas[Lighting Type Selection List], MATCH(C98, Table_Prescript_Meas[Measure Number], 0))</f>
        <v>#N/A</v>
      </c>
      <c r="AF98" s="53" t="e">
        <f>INDEX(Table_Prescript_Meas[AOH Type], MATCH(Table_PrescriptLights_Input[[#This Row],[Measure number]], Table_Prescript_Meas[Measure Number],0))</f>
        <v>#N/A</v>
      </c>
      <c r="AG98"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98" s="53" t="str">
        <f>_xlfn.CONCAT(Table_PrescriptLights_Input[[#This Row],[Existing lighting type]],":",Table_PrescriptLights_Input[[#This Row],[Existing lamps per fixture]], ":",Table_PrescriptLights_Input[[#This Row],[Existing lamp wattage]])</f>
        <v>::</v>
      </c>
      <c r="AI98" s="53" t="e">
        <f>INDEX(Table_TRM_Fixtures[Fixture Code], MATCH(Table_PrescriptLights_Input[[#This Row],[Detailed Baseline Fixture Lookup]], Table_TRM_Fixtures[Detailed Prescriptive Baseline Fixture Lookup], 0))</f>
        <v>#N/A</v>
      </c>
      <c r="AJ98" s="53" t="e">
        <f>INDEX(Table_TRM_Fixtures[Fixture Wattage for Baseline Calculations],MATCH(Table_PrescriptLights_Input[[#This Row],[Detailed Baseline Fixture Lookup]], Table_TRM_Fixtures[Detailed Prescriptive Baseline Fixture Lookup],0))</f>
        <v>#N/A</v>
      </c>
      <c r="AK98" s="127" t="e">
        <f>INDEX(Table_Bldg_IEFD_IEFC[IEFE], MATCH( Input_HVACType,Table_Bldg_IEFD_IEFC[List_HVAC], 0))</f>
        <v>#N/A</v>
      </c>
      <c r="AL98" s="127" t="e">
        <f>INDEX( Table_Bldg_IEFD_IEFC[IEFE],MATCH( Input_HVACType, Table_Bldg_IEFD_IEFC[List_HVAC],0 ))</f>
        <v>#N/A</v>
      </c>
      <c r="AM98" s="127" t="e">
        <f>INDEX(Table_Control_PAF[PAF], MATCH(Table_PrescriptLights_Input[[#This Row],[Existing controls]], Table_Control_PAF[List_Control_Types], 0 ) )</f>
        <v>#N/A</v>
      </c>
      <c r="AN98"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98"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98"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98" s="53">
        <f>IFERROR(LEFT(Table_PrescriptLights_Input[[#This Row],[Existing lighting type]], FIND(",",Table_PrescriptLights_Input[[#This Row],[Existing lighting type]])-1), Table_PrescriptLights_Input[[#This Row],[Existing lighting type]])</f>
        <v>0</v>
      </c>
      <c r="AR98" s="53" t="str">
        <f>_xlfn.CONCAT(Table_PrescriptLights_Input[[#This Row],[Generalized Fixture Type]], ":",Table_PrescriptLights_Input[[#This Row],[Existing lamps per fixture]],":",Table_PrescriptLights_Input[[#This Row],[Existing lamp wattage]])</f>
        <v>0::</v>
      </c>
      <c r="AS98" s="53" t="e">
        <f>INDEX(Table_TRM_Fixtures[Fixture Code], MATCH(Table_PrescriptLights_Input[[#This Row],[Generalized Fixture Baseline Lookup]], Table_TRM_Fixtures[Generalized Baseline Fixture Lookup], 0))</f>
        <v>#N/A</v>
      </c>
      <c r="AT98"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98"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98"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98"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98"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98" s="53" t="e">
        <f>IFERROR(Table_PrescriptLights_Input[[#This Row],[Detailed Baseline Fixture Code]],Table_PrescriptLights_Input[[#This Row],[Generalized Baseline Fixture Code]])</f>
        <v>#N/A</v>
      </c>
      <c r="AZ98" s="4"/>
      <c r="BA98" s="4"/>
      <c r="BB98" s="4"/>
      <c r="BC98" s="4"/>
      <c r="BD98" s="4"/>
      <c r="BE98" s="4"/>
      <c r="BF98" s="4"/>
      <c r="BG98" s="4"/>
      <c r="BH98" s="4"/>
      <c r="BI98" s="4"/>
      <c r="BJ98" s="4"/>
      <c r="BK98" s="4"/>
      <c r="BL98" s="4"/>
      <c r="BM98" s="4"/>
      <c r="BN98" s="4"/>
      <c r="BO98" s="4"/>
      <c r="BP98" s="4"/>
      <c r="BQ98" s="4"/>
    </row>
    <row r="99" spans="1:69" x14ac:dyDescent="0.2">
      <c r="A99" s="4"/>
      <c r="B99" s="189">
        <v>95</v>
      </c>
      <c r="C99" s="61" t="str">
        <f>IFERROR(INDEX(Table_Prescript_Meas[Measure Number], MATCH(Table_PrescriptLights_Input[[#This Row],[Prescriptive lighting measure]], Table_Prescript_Meas[Measure Description], 0)), "")</f>
        <v/>
      </c>
      <c r="D99" s="192"/>
      <c r="E99" s="179"/>
      <c r="F99" s="179"/>
      <c r="G99" s="61" t="str">
        <f>IFERROR(INDEX(Table_Prescript_Meas[Unit], MATCH(Table_PrescriptLights_Input[[#This Row],[Measure number]], Table_Prescript_Meas[Measure Number], 0)), "")</f>
        <v/>
      </c>
      <c r="H99" s="180"/>
      <c r="I99" s="179"/>
      <c r="J99" s="179"/>
      <c r="K99" s="180"/>
      <c r="L99" s="179"/>
      <c r="M99" s="180"/>
      <c r="N99" s="180"/>
      <c r="O99" s="180"/>
      <c r="P99" s="180"/>
      <c r="Q99" s="180"/>
      <c r="R99" s="181"/>
      <c r="S99" s="181"/>
      <c r="T99"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99"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99" s="69" t="str">
        <f>IF(Table_PrescriptLights_Input[[#This Row],[Prescriptive lighting measure]]="","",Table_PrescriptLights_Input[[#This Row],[Calculated Energy Savings]])</f>
        <v/>
      </c>
      <c r="W99" s="73" t="str">
        <f>IF(Table_PrescriptLights_Input[[#This Row],[Prescriptive lighting measure]]="","",Table_PrescriptLights_Input[[#This Row],[Calculated Demand Savings]])</f>
        <v/>
      </c>
      <c r="X99" s="67" t="str">
        <f>IFERROR(Table_PrescriptLights_Input[[#This Row],[Energy savings (kWh)]]*Input_AvgkWhRate, "")</f>
        <v/>
      </c>
      <c r="Y99" s="67" t="str">
        <f>IF(Table_PrescriptLights_Input[[#This Row],[Prescriptive lighting measure]]="", "",Table_PrescriptLights_Input[[#This Row],[Material cost per fixture]]*Table_PrescriptLights_Input[[#This Row],[Number of proposed fixtures]]+Table_PrescriptLights_Input[[#This Row],[Total labor cost]])</f>
        <v/>
      </c>
      <c r="Z99" s="67" t="str">
        <f>IFERROR(Table_PrescriptLights_Input[[#This Row],[Gross measure cost]]-Table_PrescriptLights_Input[[#This Row],[Estimated incentive]], "")</f>
        <v/>
      </c>
      <c r="AA99" s="69" t="str">
        <f t="shared" si="2"/>
        <v/>
      </c>
      <c r="AB99" s="69" t="str">
        <f>IF(ISNUMBER(Table_PrescriptLights_Input[[#This Row],[Detailed Fixture Calculation Wattage]]), "Detailed", "General")</f>
        <v>General</v>
      </c>
      <c r="AC99" s="53" t="e">
        <f>INDEX(Table_IntExt_Match[Measure Selection List], MATCH(Table_PrescriptLights_Input[[#This Row],[Interior or exterior?]], Table_IntExt_Match[Inetrior or Exterior], 0))</f>
        <v>#N/A</v>
      </c>
      <c r="AD99" s="53" t="e">
        <f>INDEX(Table_Prescript_Meas[Unit], MATCH(C99, Table_Prescript_Meas[Measure Number], 0))</f>
        <v>#N/A</v>
      </c>
      <c r="AE99" s="53" t="e">
        <f>INDEX(Table_Prescript_Meas[Lighting Type Selection List], MATCH(C99, Table_Prescript_Meas[Measure Number], 0))</f>
        <v>#N/A</v>
      </c>
      <c r="AF99" s="53" t="e">
        <f>INDEX(Table_Prescript_Meas[AOH Type], MATCH(Table_PrescriptLights_Input[[#This Row],[Measure number]], Table_Prescript_Meas[Measure Number],0))</f>
        <v>#N/A</v>
      </c>
      <c r="AG99"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99" s="53" t="str">
        <f>_xlfn.CONCAT(Table_PrescriptLights_Input[[#This Row],[Existing lighting type]],":",Table_PrescriptLights_Input[[#This Row],[Existing lamps per fixture]], ":",Table_PrescriptLights_Input[[#This Row],[Existing lamp wattage]])</f>
        <v>::</v>
      </c>
      <c r="AI99" s="53" t="e">
        <f>INDEX(Table_TRM_Fixtures[Fixture Code], MATCH(Table_PrescriptLights_Input[[#This Row],[Detailed Baseline Fixture Lookup]], Table_TRM_Fixtures[Detailed Prescriptive Baseline Fixture Lookup], 0))</f>
        <v>#N/A</v>
      </c>
      <c r="AJ99" s="53" t="e">
        <f>INDEX(Table_TRM_Fixtures[Fixture Wattage for Baseline Calculations],MATCH(Table_PrescriptLights_Input[[#This Row],[Detailed Baseline Fixture Lookup]], Table_TRM_Fixtures[Detailed Prescriptive Baseline Fixture Lookup],0))</f>
        <v>#N/A</v>
      </c>
      <c r="AK99" s="127" t="e">
        <f>INDEX(Table_Bldg_IEFD_IEFC[IEFE], MATCH( Input_HVACType,Table_Bldg_IEFD_IEFC[List_HVAC], 0))</f>
        <v>#N/A</v>
      </c>
      <c r="AL99" s="127" t="e">
        <f>INDEX( Table_Bldg_IEFD_IEFC[IEFE],MATCH( Input_HVACType, Table_Bldg_IEFD_IEFC[List_HVAC],0 ))</f>
        <v>#N/A</v>
      </c>
      <c r="AM99" s="127" t="e">
        <f>INDEX(Table_Control_PAF[PAF], MATCH(Table_PrescriptLights_Input[[#This Row],[Existing controls]], Table_Control_PAF[List_Control_Types], 0 ) )</f>
        <v>#N/A</v>
      </c>
      <c r="AN99"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99"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99"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99" s="53">
        <f>IFERROR(LEFT(Table_PrescriptLights_Input[[#This Row],[Existing lighting type]], FIND(",",Table_PrescriptLights_Input[[#This Row],[Existing lighting type]])-1), Table_PrescriptLights_Input[[#This Row],[Existing lighting type]])</f>
        <v>0</v>
      </c>
      <c r="AR99" s="53" t="str">
        <f>_xlfn.CONCAT(Table_PrescriptLights_Input[[#This Row],[Generalized Fixture Type]], ":",Table_PrescriptLights_Input[[#This Row],[Existing lamps per fixture]],":",Table_PrescriptLights_Input[[#This Row],[Existing lamp wattage]])</f>
        <v>0::</v>
      </c>
      <c r="AS99" s="53" t="e">
        <f>INDEX(Table_TRM_Fixtures[Fixture Code], MATCH(Table_PrescriptLights_Input[[#This Row],[Generalized Fixture Baseline Lookup]], Table_TRM_Fixtures[Generalized Baseline Fixture Lookup], 0))</f>
        <v>#N/A</v>
      </c>
      <c r="AT99"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99"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99"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99"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99"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99" s="53" t="e">
        <f>IFERROR(Table_PrescriptLights_Input[[#This Row],[Detailed Baseline Fixture Code]],Table_PrescriptLights_Input[[#This Row],[Generalized Baseline Fixture Code]])</f>
        <v>#N/A</v>
      </c>
      <c r="AZ99" s="4"/>
      <c r="BA99" s="4"/>
      <c r="BB99" s="4"/>
      <c r="BC99" s="4"/>
      <c r="BD99" s="4"/>
      <c r="BE99" s="4"/>
      <c r="BF99" s="4"/>
      <c r="BG99" s="4"/>
      <c r="BH99" s="4"/>
      <c r="BI99" s="4"/>
      <c r="BJ99" s="4"/>
      <c r="BK99" s="4"/>
      <c r="BL99" s="4"/>
      <c r="BM99" s="4"/>
      <c r="BN99" s="4"/>
      <c r="BO99" s="4"/>
      <c r="BP99" s="4"/>
      <c r="BQ99" s="4"/>
    </row>
    <row r="100" spans="1:69" x14ac:dyDescent="0.2">
      <c r="A100" s="4"/>
      <c r="B100" s="189">
        <v>96</v>
      </c>
      <c r="C100" s="61" t="str">
        <f>IFERROR(INDEX(Table_Prescript_Meas[Measure Number], MATCH(Table_PrescriptLights_Input[[#This Row],[Prescriptive lighting measure]], Table_Prescript_Meas[Measure Description], 0)), "")</f>
        <v/>
      </c>
      <c r="D100" s="192"/>
      <c r="E100" s="179"/>
      <c r="F100" s="179"/>
      <c r="G100" s="61" t="str">
        <f>IFERROR(INDEX(Table_Prescript_Meas[Unit], MATCH(Table_PrescriptLights_Input[[#This Row],[Measure number]], Table_Prescript_Meas[Measure Number], 0)), "")</f>
        <v/>
      </c>
      <c r="H100" s="180"/>
      <c r="I100" s="179"/>
      <c r="J100" s="179"/>
      <c r="K100" s="180"/>
      <c r="L100" s="179"/>
      <c r="M100" s="180"/>
      <c r="N100" s="180"/>
      <c r="O100" s="180"/>
      <c r="P100" s="180"/>
      <c r="Q100" s="180"/>
      <c r="R100" s="181"/>
      <c r="S100" s="181"/>
      <c r="T100"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00"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00" s="69" t="str">
        <f>IF(Table_PrescriptLights_Input[[#This Row],[Prescriptive lighting measure]]="","",Table_PrescriptLights_Input[[#This Row],[Calculated Energy Savings]])</f>
        <v/>
      </c>
      <c r="W100" s="73" t="str">
        <f>IF(Table_PrescriptLights_Input[[#This Row],[Prescriptive lighting measure]]="","",Table_PrescriptLights_Input[[#This Row],[Calculated Demand Savings]])</f>
        <v/>
      </c>
      <c r="X100" s="67" t="str">
        <f>IFERROR(Table_PrescriptLights_Input[[#This Row],[Energy savings (kWh)]]*Input_AvgkWhRate, "")</f>
        <v/>
      </c>
      <c r="Y100" s="67" t="str">
        <f>IF(Table_PrescriptLights_Input[[#This Row],[Prescriptive lighting measure]]="", "",Table_PrescriptLights_Input[[#This Row],[Material cost per fixture]]*Table_PrescriptLights_Input[[#This Row],[Number of proposed fixtures]]+Table_PrescriptLights_Input[[#This Row],[Total labor cost]])</f>
        <v/>
      </c>
      <c r="Z100" s="67" t="str">
        <f>IFERROR(Table_PrescriptLights_Input[[#This Row],[Gross measure cost]]-Table_PrescriptLights_Input[[#This Row],[Estimated incentive]], "")</f>
        <v/>
      </c>
      <c r="AA100" s="69" t="str">
        <f t="shared" si="2"/>
        <v/>
      </c>
      <c r="AB100" s="69" t="str">
        <f>IF(ISNUMBER(Table_PrescriptLights_Input[[#This Row],[Detailed Fixture Calculation Wattage]]), "Detailed", "General")</f>
        <v>General</v>
      </c>
      <c r="AC100" s="53" t="e">
        <f>INDEX(Table_IntExt_Match[Measure Selection List], MATCH(Table_PrescriptLights_Input[[#This Row],[Interior or exterior?]], Table_IntExt_Match[Inetrior or Exterior], 0))</f>
        <v>#N/A</v>
      </c>
      <c r="AD100" s="53" t="e">
        <f>INDEX(Table_Prescript_Meas[Unit], MATCH(C100, Table_Prescript_Meas[Measure Number], 0))</f>
        <v>#N/A</v>
      </c>
      <c r="AE100" s="53" t="e">
        <f>INDEX(Table_Prescript_Meas[Lighting Type Selection List], MATCH(C100, Table_Prescript_Meas[Measure Number], 0))</f>
        <v>#N/A</v>
      </c>
      <c r="AF100" s="53" t="e">
        <f>INDEX(Table_Prescript_Meas[AOH Type], MATCH(Table_PrescriptLights_Input[[#This Row],[Measure number]], Table_Prescript_Meas[Measure Number],0))</f>
        <v>#N/A</v>
      </c>
      <c r="AG100"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00" s="53" t="str">
        <f>_xlfn.CONCAT(Table_PrescriptLights_Input[[#This Row],[Existing lighting type]],":",Table_PrescriptLights_Input[[#This Row],[Existing lamps per fixture]], ":",Table_PrescriptLights_Input[[#This Row],[Existing lamp wattage]])</f>
        <v>::</v>
      </c>
      <c r="AI100" s="53" t="e">
        <f>INDEX(Table_TRM_Fixtures[Fixture Code], MATCH(Table_PrescriptLights_Input[[#This Row],[Detailed Baseline Fixture Lookup]], Table_TRM_Fixtures[Detailed Prescriptive Baseline Fixture Lookup], 0))</f>
        <v>#N/A</v>
      </c>
      <c r="AJ100" s="53" t="e">
        <f>INDEX(Table_TRM_Fixtures[Fixture Wattage for Baseline Calculations],MATCH(Table_PrescriptLights_Input[[#This Row],[Detailed Baseline Fixture Lookup]], Table_TRM_Fixtures[Detailed Prescriptive Baseline Fixture Lookup],0))</f>
        <v>#N/A</v>
      </c>
      <c r="AK100" s="127" t="e">
        <f>INDEX(Table_Bldg_IEFD_IEFC[IEFE], MATCH( Input_HVACType,Table_Bldg_IEFD_IEFC[List_HVAC], 0))</f>
        <v>#N/A</v>
      </c>
      <c r="AL100" s="127" t="e">
        <f>INDEX( Table_Bldg_IEFD_IEFC[IEFE],MATCH( Input_HVACType, Table_Bldg_IEFD_IEFC[List_HVAC],0 ))</f>
        <v>#N/A</v>
      </c>
      <c r="AM100" s="127" t="e">
        <f>INDEX(Table_Control_PAF[PAF], MATCH(Table_PrescriptLights_Input[[#This Row],[Existing controls]], Table_Control_PAF[List_Control_Types], 0 ) )</f>
        <v>#N/A</v>
      </c>
      <c r="AN100"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00"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00"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00" s="53">
        <f>IFERROR(LEFT(Table_PrescriptLights_Input[[#This Row],[Existing lighting type]], FIND(",",Table_PrescriptLights_Input[[#This Row],[Existing lighting type]])-1), Table_PrescriptLights_Input[[#This Row],[Existing lighting type]])</f>
        <v>0</v>
      </c>
      <c r="AR100" s="53" t="str">
        <f>_xlfn.CONCAT(Table_PrescriptLights_Input[[#This Row],[Generalized Fixture Type]], ":",Table_PrescriptLights_Input[[#This Row],[Existing lamps per fixture]],":",Table_PrescriptLights_Input[[#This Row],[Existing lamp wattage]])</f>
        <v>0::</v>
      </c>
      <c r="AS100" s="53" t="e">
        <f>INDEX(Table_TRM_Fixtures[Fixture Code], MATCH(Table_PrescriptLights_Input[[#This Row],[Generalized Fixture Baseline Lookup]], Table_TRM_Fixtures[Generalized Baseline Fixture Lookup], 0))</f>
        <v>#N/A</v>
      </c>
      <c r="AT100"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00"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00"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00"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00"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00" s="53" t="e">
        <f>IFERROR(Table_PrescriptLights_Input[[#This Row],[Detailed Baseline Fixture Code]],Table_PrescriptLights_Input[[#This Row],[Generalized Baseline Fixture Code]])</f>
        <v>#N/A</v>
      </c>
      <c r="AZ100" s="4"/>
      <c r="BA100" s="4"/>
      <c r="BB100" s="4"/>
      <c r="BC100" s="4"/>
      <c r="BD100" s="4"/>
      <c r="BE100" s="4"/>
      <c r="BF100" s="4"/>
      <c r="BG100" s="4"/>
      <c r="BH100" s="4"/>
      <c r="BI100" s="4"/>
      <c r="BJ100" s="4"/>
      <c r="BK100" s="4"/>
      <c r="BL100" s="4"/>
      <c r="BM100" s="4"/>
      <c r="BN100" s="4"/>
      <c r="BO100" s="4"/>
      <c r="BP100" s="4"/>
      <c r="BQ100" s="4"/>
    </row>
    <row r="101" spans="1:69" x14ac:dyDescent="0.2">
      <c r="A101" s="4"/>
      <c r="B101" s="189">
        <v>97</v>
      </c>
      <c r="C101" s="61" t="str">
        <f>IFERROR(INDEX(Table_Prescript_Meas[Measure Number], MATCH(Table_PrescriptLights_Input[[#This Row],[Prescriptive lighting measure]], Table_Prescript_Meas[Measure Description], 0)), "")</f>
        <v/>
      </c>
      <c r="D101" s="192"/>
      <c r="E101" s="179"/>
      <c r="F101" s="179"/>
      <c r="G101" s="61" t="str">
        <f>IFERROR(INDEX(Table_Prescript_Meas[Unit], MATCH(Table_PrescriptLights_Input[[#This Row],[Measure number]], Table_Prescript_Meas[Measure Number], 0)), "")</f>
        <v/>
      </c>
      <c r="H101" s="180"/>
      <c r="I101" s="179"/>
      <c r="J101" s="179"/>
      <c r="K101" s="180"/>
      <c r="L101" s="179"/>
      <c r="M101" s="180"/>
      <c r="N101" s="180"/>
      <c r="O101" s="180"/>
      <c r="P101" s="180"/>
      <c r="Q101" s="180"/>
      <c r="R101" s="181"/>
      <c r="S101" s="181"/>
      <c r="T101"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01"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01" s="69" t="str">
        <f>IF(Table_PrescriptLights_Input[[#This Row],[Prescriptive lighting measure]]="","",Table_PrescriptLights_Input[[#This Row],[Calculated Energy Savings]])</f>
        <v/>
      </c>
      <c r="W101" s="73" t="str">
        <f>IF(Table_PrescriptLights_Input[[#This Row],[Prescriptive lighting measure]]="","",Table_PrescriptLights_Input[[#This Row],[Calculated Demand Savings]])</f>
        <v/>
      </c>
      <c r="X101" s="67" t="str">
        <f>IFERROR(Table_PrescriptLights_Input[[#This Row],[Energy savings (kWh)]]*Input_AvgkWhRate, "")</f>
        <v/>
      </c>
      <c r="Y101" s="67" t="str">
        <f>IF(Table_PrescriptLights_Input[[#This Row],[Prescriptive lighting measure]]="", "",Table_PrescriptLights_Input[[#This Row],[Material cost per fixture]]*Table_PrescriptLights_Input[[#This Row],[Number of proposed fixtures]]+Table_PrescriptLights_Input[[#This Row],[Total labor cost]])</f>
        <v/>
      </c>
      <c r="Z101" s="67" t="str">
        <f>IFERROR(Table_PrescriptLights_Input[[#This Row],[Gross measure cost]]-Table_PrescriptLights_Input[[#This Row],[Estimated incentive]], "")</f>
        <v/>
      </c>
      <c r="AA101" s="69" t="str">
        <f t="shared" ref="AA101:AA132" si="3">IFERROR($Z101/$X101,"")</f>
        <v/>
      </c>
      <c r="AB101" s="69" t="str">
        <f>IF(ISNUMBER(Table_PrescriptLights_Input[[#This Row],[Detailed Fixture Calculation Wattage]]), "Detailed", "General")</f>
        <v>General</v>
      </c>
      <c r="AC101" s="53" t="e">
        <f>INDEX(Table_IntExt_Match[Measure Selection List], MATCH(Table_PrescriptLights_Input[[#This Row],[Interior or exterior?]], Table_IntExt_Match[Inetrior or Exterior], 0))</f>
        <v>#N/A</v>
      </c>
      <c r="AD101" s="53" t="e">
        <f>INDEX(Table_Prescript_Meas[Unit], MATCH(C101, Table_Prescript_Meas[Measure Number], 0))</f>
        <v>#N/A</v>
      </c>
      <c r="AE101" s="53" t="e">
        <f>INDEX(Table_Prescript_Meas[Lighting Type Selection List], MATCH(C101, Table_Prescript_Meas[Measure Number], 0))</f>
        <v>#N/A</v>
      </c>
      <c r="AF101" s="53" t="e">
        <f>INDEX(Table_Prescript_Meas[AOH Type], MATCH(Table_PrescriptLights_Input[[#This Row],[Measure number]], Table_Prescript_Meas[Measure Number],0))</f>
        <v>#N/A</v>
      </c>
      <c r="AG101"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01" s="53" t="str">
        <f>_xlfn.CONCAT(Table_PrescriptLights_Input[[#This Row],[Existing lighting type]],":",Table_PrescriptLights_Input[[#This Row],[Existing lamps per fixture]], ":",Table_PrescriptLights_Input[[#This Row],[Existing lamp wattage]])</f>
        <v>::</v>
      </c>
      <c r="AI101" s="53" t="e">
        <f>INDEX(Table_TRM_Fixtures[Fixture Code], MATCH(Table_PrescriptLights_Input[[#This Row],[Detailed Baseline Fixture Lookup]], Table_TRM_Fixtures[Detailed Prescriptive Baseline Fixture Lookup], 0))</f>
        <v>#N/A</v>
      </c>
      <c r="AJ101" s="53" t="e">
        <f>INDEX(Table_TRM_Fixtures[Fixture Wattage for Baseline Calculations],MATCH(Table_PrescriptLights_Input[[#This Row],[Detailed Baseline Fixture Lookup]], Table_TRM_Fixtures[Detailed Prescriptive Baseline Fixture Lookup],0))</f>
        <v>#N/A</v>
      </c>
      <c r="AK101" s="127" t="e">
        <f>INDEX(Table_Bldg_IEFD_IEFC[IEFE], MATCH( Input_HVACType,Table_Bldg_IEFD_IEFC[List_HVAC], 0))</f>
        <v>#N/A</v>
      </c>
      <c r="AL101" s="127" t="e">
        <f>INDEX( Table_Bldg_IEFD_IEFC[IEFE],MATCH( Input_HVACType, Table_Bldg_IEFD_IEFC[List_HVAC],0 ))</f>
        <v>#N/A</v>
      </c>
      <c r="AM101" s="127" t="e">
        <f>INDEX(Table_Control_PAF[PAF], MATCH(Table_PrescriptLights_Input[[#This Row],[Existing controls]], Table_Control_PAF[List_Control_Types], 0 ) )</f>
        <v>#N/A</v>
      </c>
      <c r="AN101"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01"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01"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01" s="53">
        <f>IFERROR(LEFT(Table_PrescriptLights_Input[[#This Row],[Existing lighting type]], FIND(",",Table_PrescriptLights_Input[[#This Row],[Existing lighting type]])-1), Table_PrescriptLights_Input[[#This Row],[Existing lighting type]])</f>
        <v>0</v>
      </c>
      <c r="AR101" s="53" t="str">
        <f>_xlfn.CONCAT(Table_PrescriptLights_Input[[#This Row],[Generalized Fixture Type]], ":",Table_PrescriptLights_Input[[#This Row],[Existing lamps per fixture]],":",Table_PrescriptLights_Input[[#This Row],[Existing lamp wattage]])</f>
        <v>0::</v>
      </c>
      <c r="AS101" s="53" t="e">
        <f>INDEX(Table_TRM_Fixtures[Fixture Code], MATCH(Table_PrescriptLights_Input[[#This Row],[Generalized Fixture Baseline Lookup]], Table_TRM_Fixtures[Generalized Baseline Fixture Lookup], 0))</f>
        <v>#N/A</v>
      </c>
      <c r="AT101"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01"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01"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01"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01"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01" s="53" t="e">
        <f>IFERROR(Table_PrescriptLights_Input[[#This Row],[Detailed Baseline Fixture Code]],Table_PrescriptLights_Input[[#This Row],[Generalized Baseline Fixture Code]])</f>
        <v>#N/A</v>
      </c>
      <c r="AZ101" s="4"/>
      <c r="BA101" s="4"/>
      <c r="BB101" s="4"/>
      <c r="BC101" s="4"/>
      <c r="BD101" s="4"/>
      <c r="BE101" s="4"/>
      <c r="BF101" s="4"/>
      <c r="BG101" s="4"/>
      <c r="BH101" s="4"/>
      <c r="BI101" s="4"/>
      <c r="BJ101" s="4"/>
      <c r="BK101" s="4"/>
      <c r="BL101" s="4"/>
      <c r="BM101" s="4"/>
      <c r="BN101" s="4"/>
      <c r="BO101" s="4"/>
      <c r="BP101" s="4"/>
      <c r="BQ101" s="4"/>
    </row>
    <row r="102" spans="1:69" x14ac:dyDescent="0.2">
      <c r="A102" s="4"/>
      <c r="B102" s="189">
        <v>98</v>
      </c>
      <c r="C102" s="61" t="str">
        <f>IFERROR(INDEX(Table_Prescript_Meas[Measure Number], MATCH(Table_PrescriptLights_Input[[#This Row],[Prescriptive lighting measure]], Table_Prescript_Meas[Measure Description], 0)), "")</f>
        <v/>
      </c>
      <c r="D102" s="192"/>
      <c r="E102" s="179"/>
      <c r="F102" s="179"/>
      <c r="G102" s="61" t="str">
        <f>IFERROR(INDEX(Table_Prescript_Meas[Unit], MATCH(Table_PrescriptLights_Input[[#This Row],[Measure number]], Table_Prescript_Meas[Measure Number], 0)), "")</f>
        <v/>
      </c>
      <c r="H102" s="180"/>
      <c r="I102" s="179"/>
      <c r="J102" s="179"/>
      <c r="K102" s="180"/>
      <c r="L102" s="179"/>
      <c r="M102" s="180"/>
      <c r="N102" s="180"/>
      <c r="O102" s="180"/>
      <c r="P102" s="180"/>
      <c r="Q102" s="180"/>
      <c r="R102" s="181"/>
      <c r="S102" s="181"/>
      <c r="T102"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02"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02" s="69" t="str">
        <f>IF(Table_PrescriptLights_Input[[#This Row],[Prescriptive lighting measure]]="","",Table_PrescriptLights_Input[[#This Row],[Calculated Energy Savings]])</f>
        <v/>
      </c>
      <c r="W102" s="73" t="str">
        <f>IF(Table_PrescriptLights_Input[[#This Row],[Prescriptive lighting measure]]="","",Table_PrescriptLights_Input[[#This Row],[Calculated Demand Savings]])</f>
        <v/>
      </c>
      <c r="X102" s="67" t="str">
        <f>IFERROR(Table_PrescriptLights_Input[[#This Row],[Energy savings (kWh)]]*Input_AvgkWhRate, "")</f>
        <v/>
      </c>
      <c r="Y102" s="67" t="str">
        <f>IF(Table_PrescriptLights_Input[[#This Row],[Prescriptive lighting measure]]="", "",Table_PrescriptLights_Input[[#This Row],[Material cost per fixture]]*Table_PrescriptLights_Input[[#This Row],[Number of proposed fixtures]]+Table_PrescriptLights_Input[[#This Row],[Total labor cost]])</f>
        <v/>
      </c>
      <c r="Z102" s="67" t="str">
        <f>IFERROR(Table_PrescriptLights_Input[[#This Row],[Gross measure cost]]-Table_PrescriptLights_Input[[#This Row],[Estimated incentive]], "")</f>
        <v/>
      </c>
      <c r="AA102" s="69" t="str">
        <f t="shared" si="3"/>
        <v/>
      </c>
      <c r="AB102" s="69" t="str">
        <f>IF(ISNUMBER(Table_PrescriptLights_Input[[#This Row],[Detailed Fixture Calculation Wattage]]), "Detailed", "General")</f>
        <v>General</v>
      </c>
      <c r="AC102" s="53" t="e">
        <f>INDEX(Table_IntExt_Match[Measure Selection List], MATCH(Table_PrescriptLights_Input[[#This Row],[Interior or exterior?]], Table_IntExt_Match[Inetrior or Exterior], 0))</f>
        <v>#N/A</v>
      </c>
      <c r="AD102" s="53" t="e">
        <f>INDEX(Table_Prescript_Meas[Unit], MATCH(C102, Table_Prescript_Meas[Measure Number], 0))</f>
        <v>#N/A</v>
      </c>
      <c r="AE102" s="53" t="e">
        <f>INDEX(Table_Prescript_Meas[Lighting Type Selection List], MATCH(C102, Table_Prescript_Meas[Measure Number], 0))</f>
        <v>#N/A</v>
      </c>
      <c r="AF102" s="53" t="e">
        <f>INDEX(Table_Prescript_Meas[AOH Type], MATCH(Table_PrescriptLights_Input[[#This Row],[Measure number]], Table_Prescript_Meas[Measure Number],0))</f>
        <v>#N/A</v>
      </c>
      <c r="AG102"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02" s="53" t="str">
        <f>_xlfn.CONCAT(Table_PrescriptLights_Input[[#This Row],[Existing lighting type]],":",Table_PrescriptLights_Input[[#This Row],[Existing lamps per fixture]], ":",Table_PrescriptLights_Input[[#This Row],[Existing lamp wattage]])</f>
        <v>::</v>
      </c>
      <c r="AI102" s="53" t="e">
        <f>INDEX(Table_TRM_Fixtures[Fixture Code], MATCH(Table_PrescriptLights_Input[[#This Row],[Detailed Baseline Fixture Lookup]], Table_TRM_Fixtures[Detailed Prescriptive Baseline Fixture Lookup], 0))</f>
        <v>#N/A</v>
      </c>
      <c r="AJ102" s="53" t="e">
        <f>INDEX(Table_TRM_Fixtures[Fixture Wattage for Baseline Calculations],MATCH(Table_PrescriptLights_Input[[#This Row],[Detailed Baseline Fixture Lookup]], Table_TRM_Fixtures[Detailed Prescriptive Baseline Fixture Lookup],0))</f>
        <v>#N/A</v>
      </c>
      <c r="AK102" s="127" t="e">
        <f>INDEX(Table_Bldg_IEFD_IEFC[IEFE], MATCH( Input_HVACType,Table_Bldg_IEFD_IEFC[List_HVAC], 0))</f>
        <v>#N/A</v>
      </c>
      <c r="AL102" s="127" t="e">
        <f>INDEX( Table_Bldg_IEFD_IEFC[IEFE],MATCH( Input_HVACType, Table_Bldg_IEFD_IEFC[List_HVAC],0 ))</f>
        <v>#N/A</v>
      </c>
      <c r="AM102" s="127" t="e">
        <f>INDEX(Table_Control_PAF[PAF], MATCH(Table_PrescriptLights_Input[[#This Row],[Existing controls]], Table_Control_PAF[List_Control_Types], 0 ) )</f>
        <v>#N/A</v>
      </c>
      <c r="AN102"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02"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02"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02" s="53">
        <f>IFERROR(LEFT(Table_PrescriptLights_Input[[#This Row],[Existing lighting type]], FIND(",",Table_PrescriptLights_Input[[#This Row],[Existing lighting type]])-1), Table_PrescriptLights_Input[[#This Row],[Existing lighting type]])</f>
        <v>0</v>
      </c>
      <c r="AR102" s="53" t="str">
        <f>_xlfn.CONCAT(Table_PrescriptLights_Input[[#This Row],[Generalized Fixture Type]], ":",Table_PrescriptLights_Input[[#This Row],[Existing lamps per fixture]],":",Table_PrescriptLights_Input[[#This Row],[Existing lamp wattage]])</f>
        <v>0::</v>
      </c>
      <c r="AS102" s="53" t="e">
        <f>INDEX(Table_TRM_Fixtures[Fixture Code], MATCH(Table_PrescriptLights_Input[[#This Row],[Generalized Fixture Baseline Lookup]], Table_TRM_Fixtures[Generalized Baseline Fixture Lookup], 0))</f>
        <v>#N/A</v>
      </c>
      <c r="AT102"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02"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02"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02"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02"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02" s="53" t="e">
        <f>IFERROR(Table_PrescriptLights_Input[[#This Row],[Detailed Baseline Fixture Code]],Table_PrescriptLights_Input[[#This Row],[Generalized Baseline Fixture Code]])</f>
        <v>#N/A</v>
      </c>
      <c r="AZ102" s="4"/>
      <c r="BA102" s="4"/>
      <c r="BB102" s="4"/>
      <c r="BC102" s="4"/>
      <c r="BD102" s="4"/>
      <c r="BE102" s="4"/>
      <c r="BF102" s="4"/>
      <c r="BG102" s="4"/>
      <c r="BH102" s="4"/>
      <c r="BI102" s="4"/>
      <c r="BJ102" s="4"/>
      <c r="BK102" s="4"/>
      <c r="BL102" s="4"/>
      <c r="BM102" s="4"/>
      <c r="BN102" s="4"/>
      <c r="BO102" s="4"/>
      <c r="BP102" s="4"/>
      <c r="BQ102" s="4"/>
    </row>
    <row r="103" spans="1:69" x14ac:dyDescent="0.2">
      <c r="A103" s="4"/>
      <c r="B103" s="189">
        <v>99</v>
      </c>
      <c r="C103" s="61" t="str">
        <f>IFERROR(INDEX(Table_Prescript_Meas[Measure Number], MATCH(Table_PrescriptLights_Input[[#This Row],[Prescriptive lighting measure]], Table_Prescript_Meas[Measure Description], 0)), "")</f>
        <v/>
      </c>
      <c r="D103" s="192"/>
      <c r="E103" s="179"/>
      <c r="F103" s="179"/>
      <c r="G103" s="61" t="str">
        <f>IFERROR(INDEX(Table_Prescript_Meas[Unit], MATCH(Table_PrescriptLights_Input[[#This Row],[Measure number]], Table_Prescript_Meas[Measure Number], 0)), "")</f>
        <v/>
      </c>
      <c r="H103" s="180"/>
      <c r="I103" s="179"/>
      <c r="J103" s="179"/>
      <c r="K103" s="180"/>
      <c r="L103" s="179"/>
      <c r="M103" s="180"/>
      <c r="N103" s="180"/>
      <c r="O103" s="180"/>
      <c r="P103" s="180"/>
      <c r="Q103" s="180"/>
      <c r="R103" s="181"/>
      <c r="S103" s="181"/>
      <c r="T103"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03"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03" s="69" t="str">
        <f>IF(Table_PrescriptLights_Input[[#This Row],[Prescriptive lighting measure]]="","",Table_PrescriptLights_Input[[#This Row],[Calculated Energy Savings]])</f>
        <v/>
      </c>
      <c r="W103" s="73" t="str">
        <f>IF(Table_PrescriptLights_Input[[#This Row],[Prescriptive lighting measure]]="","",Table_PrescriptLights_Input[[#This Row],[Calculated Demand Savings]])</f>
        <v/>
      </c>
      <c r="X103" s="67" t="str">
        <f>IFERROR(Table_PrescriptLights_Input[[#This Row],[Energy savings (kWh)]]*Input_AvgkWhRate, "")</f>
        <v/>
      </c>
      <c r="Y103" s="67" t="str">
        <f>IF(Table_PrescriptLights_Input[[#This Row],[Prescriptive lighting measure]]="", "",Table_PrescriptLights_Input[[#This Row],[Material cost per fixture]]*Table_PrescriptLights_Input[[#This Row],[Number of proposed fixtures]]+Table_PrescriptLights_Input[[#This Row],[Total labor cost]])</f>
        <v/>
      </c>
      <c r="Z103" s="67" t="str">
        <f>IFERROR(Table_PrescriptLights_Input[[#This Row],[Gross measure cost]]-Table_PrescriptLights_Input[[#This Row],[Estimated incentive]], "")</f>
        <v/>
      </c>
      <c r="AA103" s="69" t="str">
        <f t="shared" si="3"/>
        <v/>
      </c>
      <c r="AB103" s="69" t="str">
        <f>IF(ISNUMBER(Table_PrescriptLights_Input[[#This Row],[Detailed Fixture Calculation Wattage]]), "Detailed", "General")</f>
        <v>General</v>
      </c>
      <c r="AC103" s="53" t="e">
        <f>INDEX(Table_IntExt_Match[Measure Selection List], MATCH(Table_PrescriptLights_Input[[#This Row],[Interior or exterior?]], Table_IntExt_Match[Inetrior or Exterior], 0))</f>
        <v>#N/A</v>
      </c>
      <c r="AD103" s="53" t="e">
        <f>INDEX(Table_Prescript_Meas[Unit], MATCH(C103, Table_Prescript_Meas[Measure Number], 0))</f>
        <v>#N/A</v>
      </c>
      <c r="AE103" s="53" t="e">
        <f>INDEX(Table_Prescript_Meas[Lighting Type Selection List], MATCH(C103, Table_Prescript_Meas[Measure Number], 0))</f>
        <v>#N/A</v>
      </c>
      <c r="AF103" s="53" t="e">
        <f>INDEX(Table_Prescript_Meas[AOH Type], MATCH(Table_PrescriptLights_Input[[#This Row],[Measure number]], Table_Prescript_Meas[Measure Number],0))</f>
        <v>#N/A</v>
      </c>
      <c r="AG103"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03" s="53" t="str">
        <f>_xlfn.CONCAT(Table_PrescriptLights_Input[[#This Row],[Existing lighting type]],":",Table_PrescriptLights_Input[[#This Row],[Existing lamps per fixture]], ":",Table_PrescriptLights_Input[[#This Row],[Existing lamp wattage]])</f>
        <v>::</v>
      </c>
      <c r="AI103" s="53" t="e">
        <f>INDEX(Table_TRM_Fixtures[Fixture Code], MATCH(Table_PrescriptLights_Input[[#This Row],[Detailed Baseline Fixture Lookup]], Table_TRM_Fixtures[Detailed Prescriptive Baseline Fixture Lookup], 0))</f>
        <v>#N/A</v>
      </c>
      <c r="AJ103" s="53" t="e">
        <f>INDEX(Table_TRM_Fixtures[Fixture Wattage for Baseline Calculations],MATCH(Table_PrescriptLights_Input[[#This Row],[Detailed Baseline Fixture Lookup]], Table_TRM_Fixtures[Detailed Prescriptive Baseline Fixture Lookup],0))</f>
        <v>#N/A</v>
      </c>
      <c r="AK103" s="127" t="e">
        <f>INDEX(Table_Bldg_IEFD_IEFC[IEFE], MATCH( Input_HVACType,Table_Bldg_IEFD_IEFC[List_HVAC], 0))</f>
        <v>#N/A</v>
      </c>
      <c r="AL103" s="127" t="e">
        <f>INDEX( Table_Bldg_IEFD_IEFC[IEFE],MATCH( Input_HVACType, Table_Bldg_IEFD_IEFC[List_HVAC],0 ))</f>
        <v>#N/A</v>
      </c>
      <c r="AM103" s="127" t="e">
        <f>INDEX(Table_Control_PAF[PAF], MATCH(Table_PrescriptLights_Input[[#This Row],[Existing controls]], Table_Control_PAF[List_Control_Types], 0 ) )</f>
        <v>#N/A</v>
      </c>
      <c r="AN103"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03"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03"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03" s="53">
        <f>IFERROR(LEFT(Table_PrescriptLights_Input[[#This Row],[Existing lighting type]], FIND(",",Table_PrescriptLights_Input[[#This Row],[Existing lighting type]])-1), Table_PrescriptLights_Input[[#This Row],[Existing lighting type]])</f>
        <v>0</v>
      </c>
      <c r="AR103" s="53" t="str">
        <f>_xlfn.CONCAT(Table_PrescriptLights_Input[[#This Row],[Generalized Fixture Type]], ":",Table_PrescriptLights_Input[[#This Row],[Existing lamps per fixture]],":",Table_PrescriptLights_Input[[#This Row],[Existing lamp wattage]])</f>
        <v>0::</v>
      </c>
      <c r="AS103" s="53" t="e">
        <f>INDEX(Table_TRM_Fixtures[Fixture Code], MATCH(Table_PrescriptLights_Input[[#This Row],[Generalized Fixture Baseline Lookup]], Table_TRM_Fixtures[Generalized Baseline Fixture Lookup], 0))</f>
        <v>#N/A</v>
      </c>
      <c r="AT103"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03"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03"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03"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03"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03" s="53" t="e">
        <f>IFERROR(Table_PrescriptLights_Input[[#This Row],[Detailed Baseline Fixture Code]],Table_PrescriptLights_Input[[#This Row],[Generalized Baseline Fixture Code]])</f>
        <v>#N/A</v>
      </c>
      <c r="AZ103" s="4"/>
      <c r="BA103" s="4"/>
      <c r="BB103" s="4"/>
      <c r="BC103" s="4"/>
      <c r="BD103" s="4"/>
      <c r="BE103" s="4"/>
      <c r="BF103" s="4"/>
      <c r="BG103" s="4"/>
      <c r="BH103" s="4"/>
      <c r="BI103" s="4"/>
      <c r="BJ103" s="4"/>
      <c r="BK103" s="4"/>
      <c r="BL103" s="4"/>
      <c r="BM103" s="4"/>
      <c r="BN103" s="4"/>
      <c r="BO103" s="4"/>
      <c r="BP103" s="4"/>
      <c r="BQ103" s="4"/>
    </row>
    <row r="104" spans="1:69" x14ac:dyDescent="0.2">
      <c r="A104" s="4"/>
      <c r="B104" s="189">
        <v>100</v>
      </c>
      <c r="C104" s="61" t="str">
        <f>IFERROR(INDEX(Table_Prescript_Meas[Measure Number], MATCH(Table_PrescriptLights_Input[[#This Row],[Prescriptive lighting measure]], Table_Prescript_Meas[Measure Description], 0)), "")</f>
        <v/>
      </c>
      <c r="D104" s="192"/>
      <c r="E104" s="179"/>
      <c r="F104" s="179"/>
      <c r="G104" s="61" t="str">
        <f>IFERROR(INDEX(Table_Prescript_Meas[Unit], MATCH(Table_PrescriptLights_Input[[#This Row],[Measure number]], Table_Prescript_Meas[Measure Number], 0)), "")</f>
        <v/>
      </c>
      <c r="H104" s="180"/>
      <c r="I104" s="179"/>
      <c r="J104" s="179"/>
      <c r="K104" s="180"/>
      <c r="L104" s="179"/>
      <c r="M104" s="180"/>
      <c r="N104" s="180"/>
      <c r="O104" s="180"/>
      <c r="P104" s="180"/>
      <c r="Q104" s="180"/>
      <c r="R104" s="181"/>
      <c r="S104" s="181"/>
      <c r="T104"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04"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04" s="69" t="str">
        <f>IF(Table_PrescriptLights_Input[[#This Row],[Prescriptive lighting measure]]="","",Table_PrescriptLights_Input[[#This Row],[Calculated Energy Savings]])</f>
        <v/>
      </c>
      <c r="W104" s="73" t="str">
        <f>IF(Table_PrescriptLights_Input[[#This Row],[Prescriptive lighting measure]]="","",Table_PrescriptLights_Input[[#This Row],[Calculated Demand Savings]])</f>
        <v/>
      </c>
      <c r="X104" s="67" t="str">
        <f>IFERROR(Table_PrescriptLights_Input[[#This Row],[Energy savings (kWh)]]*Input_AvgkWhRate, "")</f>
        <v/>
      </c>
      <c r="Y104" s="67" t="str">
        <f>IF(Table_PrescriptLights_Input[[#This Row],[Prescriptive lighting measure]]="", "",Table_PrescriptLights_Input[[#This Row],[Material cost per fixture]]*Table_PrescriptLights_Input[[#This Row],[Number of proposed fixtures]]+Table_PrescriptLights_Input[[#This Row],[Total labor cost]])</f>
        <v/>
      </c>
      <c r="Z104" s="67" t="str">
        <f>IFERROR(Table_PrescriptLights_Input[[#This Row],[Gross measure cost]]-Table_PrescriptLights_Input[[#This Row],[Estimated incentive]], "")</f>
        <v/>
      </c>
      <c r="AA104" s="69" t="str">
        <f t="shared" si="3"/>
        <v/>
      </c>
      <c r="AB104" s="69" t="str">
        <f>IF(ISNUMBER(Table_PrescriptLights_Input[[#This Row],[Detailed Fixture Calculation Wattage]]), "Detailed", "General")</f>
        <v>General</v>
      </c>
      <c r="AC104" s="53" t="e">
        <f>INDEX(Table_IntExt_Match[Measure Selection List], MATCH(Table_PrescriptLights_Input[[#This Row],[Interior or exterior?]], Table_IntExt_Match[Inetrior or Exterior], 0))</f>
        <v>#N/A</v>
      </c>
      <c r="AD104" s="53" t="e">
        <f>INDEX(Table_Prescript_Meas[Unit], MATCH(C104, Table_Prescript_Meas[Measure Number], 0))</f>
        <v>#N/A</v>
      </c>
      <c r="AE104" s="53" t="e">
        <f>INDEX(Table_Prescript_Meas[Lighting Type Selection List], MATCH(C104, Table_Prescript_Meas[Measure Number], 0))</f>
        <v>#N/A</v>
      </c>
      <c r="AF104" s="53" t="e">
        <f>INDEX(Table_Prescript_Meas[AOH Type], MATCH(Table_PrescriptLights_Input[[#This Row],[Measure number]], Table_Prescript_Meas[Measure Number],0))</f>
        <v>#N/A</v>
      </c>
      <c r="AG104"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04" s="53" t="str">
        <f>_xlfn.CONCAT(Table_PrescriptLights_Input[[#This Row],[Existing lighting type]],":",Table_PrescriptLights_Input[[#This Row],[Existing lamps per fixture]], ":",Table_PrescriptLights_Input[[#This Row],[Existing lamp wattage]])</f>
        <v>::</v>
      </c>
      <c r="AI104" s="53" t="e">
        <f>INDEX(Table_TRM_Fixtures[Fixture Code], MATCH(Table_PrescriptLights_Input[[#This Row],[Detailed Baseline Fixture Lookup]], Table_TRM_Fixtures[Detailed Prescriptive Baseline Fixture Lookup], 0))</f>
        <v>#N/A</v>
      </c>
      <c r="AJ104" s="53" t="e">
        <f>INDEX(Table_TRM_Fixtures[Fixture Wattage for Baseline Calculations],MATCH(Table_PrescriptLights_Input[[#This Row],[Detailed Baseline Fixture Lookup]], Table_TRM_Fixtures[Detailed Prescriptive Baseline Fixture Lookup],0))</f>
        <v>#N/A</v>
      </c>
      <c r="AK104" s="127" t="e">
        <f>INDEX(Table_Bldg_IEFD_IEFC[IEFE], MATCH( Input_HVACType,Table_Bldg_IEFD_IEFC[List_HVAC], 0))</f>
        <v>#N/A</v>
      </c>
      <c r="AL104" s="127" t="e">
        <f>INDEX( Table_Bldg_IEFD_IEFC[IEFE],MATCH( Input_HVACType, Table_Bldg_IEFD_IEFC[List_HVAC],0 ))</f>
        <v>#N/A</v>
      </c>
      <c r="AM104" s="127" t="e">
        <f>INDEX(Table_Control_PAF[PAF], MATCH(Table_PrescriptLights_Input[[#This Row],[Existing controls]], Table_Control_PAF[List_Control_Types], 0 ) )</f>
        <v>#N/A</v>
      </c>
      <c r="AN104"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04"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04"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04" s="53">
        <f>IFERROR(LEFT(Table_PrescriptLights_Input[[#This Row],[Existing lighting type]], FIND(",",Table_PrescriptLights_Input[[#This Row],[Existing lighting type]])-1), Table_PrescriptLights_Input[[#This Row],[Existing lighting type]])</f>
        <v>0</v>
      </c>
      <c r="AR104" s="53" t="str">
        <f>_xlfn.CONCAT(Table_PrescriptLights_Input[[#This Row],[Generalized Fixture Type]], ":",Table_PrescriptLights_Input[[#This Row],[Existing lamps per fixture]],":",Table_PrescriptLights_Input[[#This Row],[Existing lamp wattage]])</f>
        <v>0::</v>
      </c>
      <c r="AS104" s="53" t="e">
        <f>INDEX(Table_TRM_Fixtures[Fixture Code], MATCH(Table_PrescriptLights_Input[[#This Row],[Generalized Fixture Baseline Lookup]], Table_TRM_Fixtures[Generalized Baseline Fixture Lookup], 0))</f>
        <v>#N/A</v>
      </c>
      <c r="AT104"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04"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04"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04"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04"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04" s="53" t="e">
        <f>IFERROR(Table_PrescriptLights_Input[[#This Row],[Detailed Baseline Fixture Code]],Table_PrescriptLights_Input[[#This Row],[Generalized Baseline Fixture Code]])</f>
        <v>#N/A</v>
      </c>
      <c r="AZ104" s="4"/>
      <c r="BA104" s="4"/>
      <c r="BB104" s="4"/>
      <c r="BC104" s="4"/>
      <c r="BD104" s="4"/>
      <c r="BE104" s="4"/>
      <c r="BF104" s="4"/>
      <c r="BG104" s="4"/>
      <c r="BH104" s="4"/>
      <c r="BI104" s="4"/>
      <c r="BJ104" s="4"/>
      <c r="BK104" s="4"/>
      <c r="BL104" s="4"/>
      <c r="BM104" s="4"/>
      <c r="BN104" s="4"/>
      <c r="BO104" s="4"/>
      <c r="BP104" s="4"/>
      <c r="BQ104" s="4"/>
    </row>
    <row r="105" spans="1:69" x14ac:dyDescent="0.2">
      <c r="A105" s="4"/>
      <c r="B105" s="189">
        <v>101</v>
      </c>
      <c r="C105" s="61" t="str">
        <f>IFERROR(INDEX(Table_Prescript_Meas[Measure Number], MATCH(Table_PrescriptLights_Input[[#This Row],[Prescriptive lighting measure]], Table_Prescript_Meas[Measure Description], 0)), "")</f>
        <v/>
      </c>
      <c r="D105" s="192"/>
      <c r="E105" s="179"/>
      <c r="F105" s="179"/>
      <c r="G105" s="61" t="str">
        <f>IFERROR(INDEX(Table_Prescript_Meas[Unit], MATCH(Table_PrescriptLights_Input[[#This Row],[Measure number]], Table_Prescript_Meas[Measure Number], 0)), "")</f>
        <v/>
      </c>
      <c r="H105" s="180"/>
      <c r="I105" s="179"/>
      <c r="J105" s="179"/>
      <c r="K105" s="180"/>
      <c r="L105" s="179"/>
      <c r="M105" s="180"/>
      <c r="N105" s="180"/>
      <c r="O105" s="180"/>
      <c r="P105" s="180"/>
      <c r="Q105" s="180"/>
      <c r="R105" s="181"/>
      <c r="S105" s="181"/>
      <c r="T105"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05"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05" s="69" t="str">
        <f>IF(Table_PrescriptLights_Input[[#This Row],[Prescriptive lighting measure]]="","",Table_PrescriptLights_Input[[#This Row],[Calculated Energy Savings]])</f>
        <v/>
      </c>
      <c r="W105" s="73" t="str">
        <f>IF(Table_PrescriptLights_Input[[#This Row],[Prescriptive lighting measure]]="","",Table_PrescriptLights_Input[[#This Row],[Calculated Demand Savings]])</f>
        <v/>
      </c>
      <c r="X105" s="67" t="str">
        <f>IFERROR(Table_PrescriptLights_Input[[#This Row],[Energy savings (kWh)]]*Input_AvgkWhRate, "")</f>
        <v/>
      </c>
      <c r="Y105" s="67" t="str">
        <f>IF(Table_PrescriptLights_Input[[#This Row],[Prescriptive lighting measure]]="", "",Table_PrescriptLights_Input[[#This Row],[Material cost per fixture]]*Table_PrescriptLights_Input[[#This Row],[Number of proposed fixtures]]+Table_PrescriptLights_Input[[#This Row],[Total labor cost]])</f>
        <v/>
      </c>
      <c r="Z105" s="67" t="str">
        <f>IFERROR(Table_PrescriptLights_Input[[#This Row],[Gross measure cost]]-Table_PrescriptLights_Input[[#This Row],[Estimated incentive]], "")</f>
        <v/>
      </c>
      <c r="AA105" s="69" t="str">
        <f t="shared" si="3"/>
        <v/>
      </c>
      <c r="AB105" s="69" t="str">
        <f>IF(ISNUMBER(Table_PrescriptLights_Input[[#This Row],[Detailed Fixture Calculation Wattage]]), "Detailed", "General")</f>
        <v>General</v>
      </c>
      <c r="AC105" s="53" t="e">
        <f>INDEX(Table_IntExt_Match[Measure Selection List], MATCH(Table_PrescriptLights_Input[[#This Row],[Interior or exterior?]], Table_IntExt_Match[Inetrior or Exterior], 0))</f>
        <v>#N/A</v>
      </c>
      <c r="AD105" s="53" t="e">
        <f>INDEX(Table_Prescript_Meas[Unit], MATCH(C105, Table_Prescript_Meas[Measure Number], 0))</f>
        <v>#N/A</v>
      </c>
      <c r="AE105" s="53" t="e">
        <f>INDEX(Table_Prescript_Meas[Lighting Type Selection List], MATCH(C105, Table_Prescript_Meas[Measure Number], 0))</f>
        <v>#N/A</v>
      </c>
      <c r="AF105" s="53" t="e">
        <f>INDEX(Table_Prescript_Meas[AOH Type], MATCH(Table_PrescriptLights_Input[[#This Row],[Measure number]], Table_Prescript_Meas[Measure Number],0))</f>
        <v>#N/A</v>
      </c>
      <c r="AG105"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05" s="53" t="str">
        <f>_xlfn.CONCAT(Table_PrescriptLights_Input[[#This Row],[Existing lighting type]],":",Table_PrescriptLights_Input[[#This Row],[Existing lamps per fixture]], ":",Table_PrescriptLights_Input[[#This Row],[Existing lamp wattage]])</f>
        <v>::</v>
      </c>
      <c r="AI105" s="53" t="e">
        <f>INDEX(Table_TRM_Fixtures[Fixture Code], MATCH(Table_PrescriptLights_Input[[#This Row],[Detailed Baseline Fixture Lookup]], Table_TRM_Fixtures[Detailed Prescriptive Baseline Fixture Lookup], 0))</f>
        <v>#N/A</v>
      </c>
      <c r="AJ105" s="53" t="e">
        <f>INDEX(Table_TRM_Fixtures[Fixture Wattage for Baseline Calculations],MATCH(Table_PrescriptLights_Input[[#This Row],[Detailed Baseline Fixture Lookup]], Table_TRM_Fixtures[Detailed Prescriptive Baseline Fixture Lookup],0))</f>
        <v>#N/A</v>
      </c>
      <c r="AK105" s="127" t="e">
        <f>INDEX(Table_Bldg_IEFD_IEFC[IEFE], MATCH( Input_HVACType,Table_Bldg_IEFD_IEFC[List_HVAC], 0))</f>
        <v>#N/A</v>
      </c>
      <c r="AL105" s="127" t="e">
        <f>INDEX( Table_Bldg_IEFD_IEFC[IEFE],MATCH( Input_HVACType, Table_Bldg_IEFD_IEFC[List_HVAC],0 ))</f>
        <v>#N/A</v>
      </c>
      <c r="AM105" s="127" t="e">
        <f>INDEX(Table_Control_PAF[PAF], MATCH(Table_PrescriptLights_Input[[#This Row],[Existing controls]], Table_Control_PAF[List_Control_Types], 0 ) )</f>
        <v>#N/A</v>
      </c>
      <c r="AN105"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05"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05"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05" s="53">
        <f>IFERROR(LEFT(Table_PrescriptLights_Input[[#This Row],[Existing lighting type]], FIND(",",Table_PrescriptLights_Input[[#This Row],[Existing lighting type]])-1), Table_PrescriptLights_Input[[#This Row],[Existing lighting type]])</f>
        <v>0</v>
      </c>
      <c r="AR105" s="53" t="str">
        <f>_xlfn.CONCAT(Table_PrescriptLights_Input[[#This Row],[Generalized Fixture Type]], ":",Table_PrescriptLights_Input[[#This Row],[Existing lamps per fixture]],":",Table_PrescriptLights_Input[[#This Row],[Existing lamp wattage]])</f>
        <v>0::</v>
      </c>
      <c r="AS105" s="53" t="e">
        <f>INDEX(Table_TRM_Fixtures[Fixture Code], MATCH(Table_PrescriptLights_Input[[#This Row],[Generalized Fixture Baseline Lookup]], Table_TRM_Fixtures[Generalized Baseline Fixture Lookup], 0))</f>
        <v>#N/A</v>
      </c>
      <c r="AT105"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05"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05"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05"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05"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05" s="53" t="e">
        <f>IFERROR(Table_PrescriptLights_Input[[#This Row],[Detailed Baseline Fixture Code]],Table_PrescriptLights_Input[[#This Row],[Generalized Baseline Fixture Code]])</f>
        <v>#N/A</v>
      </c>
      <c r="AZ105" s="4"/>
      <c r="BA105" s="4"/>
      <c r="BB105" s="4"/>
      <c r="BC105" s="4"/>
      <c r="BD105" s="4"/>
      <c r="BE105" s="4"/>
      <c r="BF105" s="4"/>
      <c r="BG105" s="4"/>
      <c r="BH105" s="4"/>
      <c r="BI105" s="4"/>
      <c r="BJ105" s="4"/>
      <c r="BK105" s="4"/>
      <c r="BL105" s="4"/>
      <c r="BM105" s="4"/>
      <c r="BN105" s="4"/>
      <c r="BO105" s="4"/>
      <c r="BP105" s="4"/>
      <c r="BQ105" s="4"/>
    </row>
    <row r="106" spans="1:69" x14ac:dyDescent="0.2">
      <c r="A106" s="4"/>
      <c r="B106" s="189">
        <v>102</v>
      </c>
      <c r="C106" s="61" t="str">
        <f>IFERROR(INDEX(Table_Prescript_Meas[Measure Number], MATCH(Table_PrescriptLights_Input[[#This Row],[Prescriptive lighting measure]], Table_Prescript_Meas[Measure Description], 0)), "")</f>
        <v/>
      </c>
      <c r="D106" s="192"/>
      <c r="E106" s="179"/>
      <c r="F106" s="179"/>
      <c r="G106" s="61" t="str">
        <f>IFERROR(INDEX(Table_Prescript_Meas[Unit], MATCH(Table_PrescriptLights_Input[[#This Row],[Measure number]], Table_Prescript_Meas[Measure Number], 0)), "")</f>
        <v/>
      </c>
      <c r="H106" s="180"/>
      <c r="I106" s="179"/>
      <c r="J106" s="179"/>
      <c r="K106" s="180"/>
      <c r="L106" s="179"/>
      <c r="M106" s="180"/>
      <c r="N106" s="180"/>
      <c r="O106" s="180"/>
      <c r="P106" s="180"/>
      <c r="Q106" s="180"/>
      <c r="R106" s="181"/>
      <c r="S106" s="181"/>
      <c r="T106"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06"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06" s="69" t="str">
        <f>IF(Table_PrescriptLights_Input[[#This Row],[Prescriptive lighting measure]]="","",Table_PrescriptLights_Input[[#This Row],[Calculated Energy Savings]])</f>
        <v/>
      </c>
      <c r="W106" s="73" t="str">
        <f>IF(Table_PrescriptLights_Input[[#This Row],[Prescriptive lighting measure]]="","",Table_PrescriptLights_Input[[#This Row],[Calculated Demand Savings]])</f>
        <v/>
      </c>
      <c r="X106" s="67" t="str">
        <f>IFERROR(Table_PrescriptLights_Input[[#This Row],[Energy savings (kWh)]]*Input_AvgkWhRate, "")</f>
        <v/>
      </c>
      <c r="Y106" s="67" t="str">
        <f>IF(Table_PrescriptLights_Input[[#This Row],[Prescriptive lighting measure]]="", "",Table_PrescriptLights_Input[[#This Row],[Material cost per fixture]]*Table_PrescriptLights_Input[[#This Row],[Number of proposed fixtures]]+Table_PrescriptLights_Input[[#This Row],[Total labor cost]])</f>
        <v/>
      </c>
      <c r="Z106" s="67" t="str">
        <f>IFERROR(Table_PrescriptLights_Input[[#This Row],[Gross measure cost]]-Table_PrescriptLights_Input[[#This Row],[Estimated incentive]], "")</f>
        <v/>
      </c>
      <c r="AA106" s="69" t="str">
        <f t="shared" si="3"/>
        <v/>
      </c>
      <c r="AB106" s="69" t="str">
        <f>IF(ISNUMBER(Table_PrescriptLights_Input[[#This Row],[Detailed Fixture Calculation Wattage]]), "Detailed", "General")</f>
        <v>General</v>
      </c>
      <c r="AC106" s="53" t="e">
        <f>INDEX(Table_IntExt_Match[Measure Selection List], MATCH(Table_PrescriptLights_Input[[#This Row],[Interior or exterior?]], Table_IntExt_Match[Inetrior or Exterior], 0))</f>
        <v>#N/A</v>
      </c>
      <c r="AD106" s="53" t="e">
        <f>INDEX(Table_Prescript_Meas[Unit], MATCH(C106, Table_Prescript_Meas[Measure Number], 0))</f>
        <v>#N/A</v>
      </c>
      <c r="AE106" s="53" t="e">
        <f>INDEX(Table_Prescript_Meas[Lighting Type Selection List], MATCH(C106, Table_Prescript_Meas[Measure Number], 0))</f>
        <v>#N/A</v>
      </c>
      <c r="AF106" s="53" t="e">
        <f>INDEX(Table_Prescript_Meas[AOH Type], MATCH(Table_PrescriptLights_Input[[#This Row],[Measure number]], Table_Prescript_Meas[Measure Number],0))</f>
        <v>#N/A</v>
      </c>
      <c r="AG106"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06" s="53" t="str">
        <f>_xlfn.CONCAT(Table_PrescriptLights_Input[[#This Row],[Existing lighting type]],":",Table_PrescriptLights_Input[[#This Row],[Existing lamps per fixture]], ":",Table_PrescriptLights_Input[[#This Row],[Existing lamp wattage]])</f>
        <v>::</v>
      </c>
      <c r="AI106" s="53" t="e">
        <f>INDEX(Table_TRM_Fixtures[Fixture Code], MATCH(Table_PrescriptLights_Input[[#This Row],[Detailed Baseline Fixture Lookup]], Table_TRM_Fixtures[Detailed Prescriptive Baseline Fixture Lookup], 0))</f>
        <v>#N/A</v>
      </c>
      <c r="AJ106" s="53" t="e">
        <f>INDEX(Table_TRM_Fixtures[Fixture Wattage for Baseline Calculations],MATCH(Table_PrescriptLights_Input[[#This Row],[Detailed Baseline Fixture Lookup]], Table_TRM_Fixtures[Detailed Prescriptive Baseline Fixture Lookup],0))</f>
        <v>#N/A</v>
      </c>
      <c r="AK106" s="127" t="e">
        <f>INDEX(Table_Bldg_IEFD_IEFC[IEFE], MATCH( Input_HVACType,Table_Bldg_IEFD_IEFC[List_HVAC], 0))</f>
        <v>#N/A</v>
      </c>
      <c r="AL106" s="127" t="e">
        <f>INDEX( Table_Bldg_IEFD_IEFC[IEFE],MATCH( Input_HVACType, Table_Bldg_IEFD_IEFC[List_HVAC],0 ))</f>
        <v>#N/A</v>
      </c>
      <c r="AM106" s="127" t="e">
        <f>INDEX(Table_Control_PAF[PAF], MATCH(Table_PrescriptLights_Input[[#This Row],[Existing controls]], Table_Control_PAF[List_Control_Types], 0 ) )</f>
        <v>#N/A</v>
      </c>
      <c r="AN106"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06"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06"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06" s="53">
        <f>IFERROR(LEFT(Table_PrescriptLights_Input[[#This Row],[Existing lighting type]], FIND(",",Table_PrescriptLights_Input[[#This Row],[Existing lighting type]])-1), Table_PrescriptLights_Input[[#This Row],[Existing lighting type]])</f>
        <v>0</v>
      </c>
      <c r="AR106" s="53" t="str">
        <f>_xlfn.CONCAT(Table_PrescriptLights_Input[[#This Row],[Generalized Fixture Type]], ":",Table_PrescriptLights_Input[[#This Row],[Existing lamps per fixture]],":",Table_PrescriptLights_Input[[#This Row],[Existing lamp wattage]])</f>
        <v>0::</v>
      </c>
      <c r="AS106" s="53" t="e">
        <f>INDEX(Table_TRM_Fixtures[Fixture Code], MATCH(Table_PrescriptLights_Input[[#This Row],[Generalized Fixture Baseline Lookup]], Table_TRM_Fixtures[Generalized Baseline Fixture Lookup], 0))</f>
        <v>#N/A</v>
      </c>
      <c r="AT106"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06"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06"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06"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06"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06" s="53" t="e">
        <f>IFERROR(Table_PrescriptLights_Input[[#This Row],[Detailed Baseline Fixture Code]],Table_PrescriptLights_Input[[#This Row],[Generalized Baseline Fixture Code]])</f>
        <v>#N/A</v>
      </c>
      <c r="AZ106" s="4"/>
      <c r="BA106" s="4"/>
      <c r="BB106" s="4"/>
      <c r="BC106" s="4"/>
      <c r="BD106" s="4"/>
      <c r="BE106" s="4"/>
      <c r="BF106" s="4"/>
      <c r="BG106" s="4"/>
      <c r="BH106" s="4"/>
      <c r="BI106" s="4"/>
      <c r="BJ106" s="4"/>
      <c r="BK106" s="4"/>
      <c r="BL106" s="4"/>
      <c r="BM106" s="4"/>
      <c r="BN106" s="4"/>
      <c r="BO106" s="4"/>
      <c r="BP106" s="4"/>
      <c r="BQ106" s="4"/>
    </row>
    <row r="107" spans="1:69" x14ac:dyDescent="0.2">
      <c r="A107" s="4"/>
      <c r="B107" s="189">
        <v>103</v>
      </c>
      <c r="C107" s="61" t="str">
        <f>IFERROR(INDEX(Table_Prescript_Meas[Measure Number], MATCH(Table_PrescriptLights_Input[[#This Row],[Prescriptive lighting measure]], Table_Prescript_Meas[Measure Description], 0)), "")</f>
        <v/>
      </c>
      <c r="D107" s="192"/>
      <c r="E107" s="179"/>
      <c r="F107" s="179"/>
      <c r="G107" s="61" t="str">
        <f>IFERROR(INDEX(Table_Prescript_Meas[Unit], MATCH(Table_PrescriptLights_Input[[#This Row],[Measure number]], Table_Prescript_Meas[Measure Number], 0)), "")</f>
        <v/>
      </c>
      <c r="H107" s="180"/>
      <c r="I107" s="179"/>
      <c r="J107" s="179"/>
      <c r="K107" s="180"/>
      <c r="L107" s="179"/>
      <c r="M107" s="180"/>
      <c r="N107" s="180"/>
      <c r="O107" s="180"/>
      <c r="P107" s="180"/>
      <c r="Q107" s="180"/>
      <c r="R107" s="181"/>
      <c r="S107" s="181"/>
      <c r="T107"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07"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07" s="69" t="str">
        <f>IF(Table_PrescriptLights_Input[[#This Row],[Prescriptive lighting measure]]="","",Table_PrescriptLights_Input[[#This Row],[Calculated Energy Savings]])</f>
        <v/>
      </c>
      <c r="W107" s="73" t="str">
        <f>IF(Table_PrescriptLights_Input[[#This Row],[Prescriptive lighting measure]]="","",Table_PrescriptLights_Input[[#This Row],[Calculated Demand Savings]])</f>
        <v/>
      </c>
      <c r="X107" s="67" t="str">
        <f>IFERROR(Table_PrescriptLights_Input[[#This Row],[Energy savings (kWh)]]*Input_AvgkWhRate, "")</f>
        <v/>
      </c>
      <c r="Y107" s="67" t="str">
        <f>IF(Table_PrescriptLights_Input[[#This Row],[Prescriptive lighting measure]]="", "",Table_PrescriptLights_Input[[#This Row],[Material cost per fixture]]*Table_PrescriptLights_Input[[#This Row],[Number of proposed fixtures]]+Table_PrescriptLights_Input[[#This Row],[Total labor cost]])</f>
        <v/>
      </c>
      <c r="Z107" s="67" t="str">
        <f>IFERROR(Table_PrescriptLights_Input[[#This Row],[Gross measure cost]]-Table_PrescriptLights_Input[[#This Row],[Estimated incentive]], "")</f>
        <v/>
      </c>
      <c r="AA107" s="69" t="str">
        <f t="shared" si="3"/>
        <v/>
      </c>
      <c r="AB107" s="69" t="str">
        <f>IF(ISNUMBER(Table_PrescriptLights_Input[[#This Row],[Detailed Fixture Calculation Wattage]]), "Detailed", "General")</f>
        <v>General</v>
      </c>
      <c r="AC107" s="53" t="e">
        <f>INDEX(Table_IntExt_Match[Measure Selection List], MATCH(Table_PrescriptLights_Input[[#This Row],[Interior or exterior?]], Table_IntExt_Match[Inetrior or Exterior], 0))</f>
        <v>#N/A</v>
      </c>
      <c r="AD107" s="53" t="e">
        <f>INDEX(Table_Prescript_Meas[Unit], MATCH(C107, Table_Prescript_Meas[Measure Number], 0))</f>
        <v>#N/A</v>
      </c>
      <c r="AE107" s="53" t="e">
        <f>INDEX(Table_Prescript_Meas[Lighting Type Selection List], MATCH(C107, Table_Prescript_Meas[Measure Number], 0))</f>
        <v>#N/A</v>
      </c>
      <c r="AF107" s="53" t="e">
        <f>INDEX(Table_Prescript_Meas[AOH Type], MATCH(Table_PrescriptLights_Input[[#This Row],[Measure number]], Table_Prescript_Meas[Measure Number],0))</f>
        <v>#N/A</v>
      </c>
      <c r="AG107"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07" s="53" t="str">
        <f>_xlfn.CONCAT(Table_PrescriptLights_Input[[#This Row],[Existing lighting type]],":",Table_PrescriptLights_Input[[#This Row],[Existing lamps per fixture]], ":",Table_PrescriptLights_Input[[#This Row],[Existing lamp wattage]])</f>
        <v>::</v>
      </c>
      <c r="AI107" s="53" t="e">
        <f>INDEX(Table_TRM_Fixtures[Fixture Code], MATCH(Table_PrescriptLights_Input[[#This Row],[Detailed Baseline Fixture Lookup]], Table_TRM_Fixtures[Detailed Prescriptive Baseline Fixture Lookup], 0))</f>
        <v>#N/A</v>
      </c>
      <c r="AJ107" s="53" t="e">
        <f>INDEX(Table_TRM_Fixtures[Fixture Wattage for Baseline Calculations],MATCH(Table_PrescriptLights_Input[[#This Row],[Detailed Baseline Fixture Lookup]], Table_TRM_Fixtures[Detailed Prescriptive Baseline Fixture Lookup],0))</f>
        <v>#N/A</v>
      </c>
      <c r="AK107" s="127" t="e">
        <f>INDEX(Table_Bldg_IEFD_IEFC[IEFE], MATCH( Input_HVACType,Table_Bldg_IEFD_IEFC[List_HVAC], 0))</f>
        <v>#N/A</v>
      </c>
      <c r="AL107" s="127" t="e">
        <f>INDEX( Table_Bldg_IEFD_IEFC[IEFE],MATCH( Input_HVACType, Table_Bldg_IEFD_IEFC[List_HVAC],0 ))</f>
        <v>#N/A</v>
      </c>
      <c r="AM107" s="127" t="e">
        <f>INDEX(Table_Control_PAF[PAF], MATCH(Table_PrescriptLights_Input[[#This Row],[Existing controls]], Table_Control_PAF[List_Control_Types], 0 ) )</f>
        <v>#N/A</v>
      </c>
      <c r="AN107"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07"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07"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07" s="53">
        <f>IFERROR(LEFT(Table_PrescriptLights_Input[[#This Row],[Existing lighting type]], FIND(",",Table_PrescriptLights_Input[[#This Row],[Existing lighting type]])-1), Table_PrescriptLights_Input[[#This Row],[Existing lighting type]])</f>
        <v>0</v>
      </c>
      <c r="AR107" s="53" t="str">
        <f>_xlfn.CONCAT(Table_PrescriptLights_Input[[#This Row],[Generalized Fixture Type]], ":",Table_PrescriptLights_Input[[#This Row],[Existing lamps per fixture]],":",Table_PrescriptLights_Input[[#This Row],[Existing lamp wattage]])</f>
        <v>0::</v>
      </c>
      <c r="AS107" s="53" t="e">
        <f>INDEX(Table_TRM_Fixtures[Fixture Code], MATCH(Table_PrescriptLights_Input[[#This Row],[Generalized Fixture Baseline Lookup]], Table_TRM_Fixtures[Generalized Baseline Fixture Lookup], 0))</f>
        <v>#N/A</v>
      </c>
      <c r="AT107"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07"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07"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07"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07"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07" s="53" t="e">
        <f>IFERROR(Table_PrescriptLights_Input[[#This Row],[Detailed Baseline Fixture Code]],Table_PrescriptLights_Input[[#This Row],[Generalized Baseline Fixture Code]])</f>
        <v>#N/A</v>
      </c>
      <c r="AZ107" s="4"/>
      <c r="BA107" s="4"/>
      <c r="BB107" s="4"/>
      <c r="BC107" s="4"/>
      <c r="BD107" s="4"/>
      <c r="BE107" s="4"/>
      <c r="BF107" s="4"/>
      <c r="BG107" s="4"/>
      <c r="BH107" s="4"/>
      <c r="BI107" s="4"/>
      <c r="BJ107" s="4"/>
      <c r="BK107" s="4"/>
      <c r="BL107" s="4"/>
      <c r="BM107" s="4"/>
      <c r="BN107" s="4"/>
      <c r="BO107" s="4"/>
      <c r="BP107" s="4"/>
      <c r="BQ107" s="4"/>
    </row>
    <row r="108" spans="1:69" x14ac:dyDescent="0.2">
      <c r="A108" s="4"/>
      <c r="B108" s="189">
        <v>104</v>
      </c>
      <c r="C108" s="61" t="str">
        <f>IFERROR(INDEX(Table_Prescript_Meas[Measure Number], MATCH(Table_PrescriptLights_Input[[#This Row],[Prescriptive lighting measure]], Table_Prescript_Meas[Measure Description], 0)), "")</f>
        <v/>
      </c>
      <c r="D108" s="192"/>
      <c r="E108" s="179"/>
      <c r="F108" s="179"/>
      <c r="G108" s="61" t="str">
        <f>IFERROR(INDEX(Table_Prescript_Meas[Unit], MATCH(Table_PrescriptLights_Input[[#This Row],[Measure number]], Table_Prescript_Meas[Measure Number], 0)), "")</f>
        <v/>
      </c>
      <c r="H108" s="180"/>
      <c r="I108" s="179"/>
      <c r="J108" s="179"/>
      <c r="K108" s="180"/>
      <c r="L108" s="179"/>
      <c r="M108" s="180"/>
      <c r="N108" s="180"/>
      <c r="O108" s="180"/>
      <c r="P108" s="180"/>
      <c r="Q108" s="180"/>
      <c r="R108" s="181"/>
      <c r="S108" s="181"/>
      <c r="T108"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08"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08" s="69" t="str">
        <f>IF(Table_PrescriptLights_Input[[#This Row],[Prescriptive lighting measure]]="","",Table_PrescriptLights_Input[[#This Row],[Calculated Energy Savings]])</f>
        <v/>
      </c>
      <c r="W108" s="73" t="str">
        <f>IF(Table_PrescriptLights_Input[[#This Row],[Prescriptive lighting measure]]="","",Table_PrescriptLights_Input[[#This Row],[Calculated Demand Savings]])</f>
        <v/>
      </c>
      <c r="X108" s="67" t="str">
        <f>IFERROR(Table_PrescriptLights_Input[[#This Row],[Energy savings (kWh)]]*Input_AvgkWhRate, "")</f>
        <v/>
      </c>
      <c r="Y108" s="67" t="str">
        <f>IF(Table_PrescriptLights_Input[[#This Row],[Prescriptive lighting measure]]="", "",Table_PrescriptLights_Input[[#This Row],[Material cost per fixture]]*Table_PrescriptLights_Input[[#This Row],[Number of proposed fixtures]]+Table_PrescriptLights_Input[[#This Row],[Total labor cost]])</f>
        <v/>
      </c>
      <c r="Z108" s="67" t="str">
        <f>IFERROR(Table_PrescriptLights_Input[[#This Row],[Gross measure cost]]-Table_PrescriptLights_Input[[#This Row],[Estimated incentive]], "")</f>
        <v/>
      </c>
      <c r="AA108" s="69" t="str">
        <f t="shared" si="3"/>
        <v/>
      </c>
      <c r="AB108" s="69" t="str">
        <f>IF(ISNUMBER(Table_PrescriptLights_Input[[#This Row],[Detailed Fixture Calculation Wattage]]), "Detailed", "General")</f>
        <v>General</v>
      </c>
      <c r="AC108" s="53" t="e">
        <f>INDEX(Table_IntExt_Match[Measure Selection List], MATCH(Table_PrescriptLights_Input[[#This Row],[Interior or exterior?]], Table_IntExt_Match[Inetrior or Exterior], 0))</f>
        <v>#N/A</v>
      </c>
      <c r="AD108" s="53" t="e">
        <f>INDEX(Table_Prescript_Meas[Unit], MATCH(C108, Table_Prescript_Meas[Measure Number], 0))</f>
        <v>#N/A</v>
      </c>
      <c r="AE108" s="53" t="e">
        <f>INDEX(Table_Prescript_Meas[Lighting Type Selection List], MATCH(C108, Table_Prescript_Meas[Measure Number], 0))</f>
        <v>#N/A</v>
      </c>
      <c r="AF108" s="53" t="e">
        <f>INDEX(Table_Prescript_Meas[AOH Type], MATCH(Table_PrescriptLights_Input[[#This Row],[Measure number]], Table_Prescript_Meas[Measure Number],0))</f>
        <v>#N/A</v>
      </c>
      <c r="AG108"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08" s="53" t="str">
        <f>_xlfn.CONCAT(Table_PrescriptLights_Input[[#This Row],[Existing lighting type]],":",Table_PrescriptLights_Input[[#This Row],[Existing lamps per fixture]], ":",Table_PrescriptLights_Input[[#This Row],[Existing lamp wattage]])</f>
        <v>::</v>
      </c>
      <c r="AI108" s="53" t="e">
        <f>INDEX(Table_TRM_Fixtures[Fixture Code], MATCH(Table_PrescriptLights_Input[[#This Row],[Detailed Baseline Fixture Lookup]], Table_TRM_Fixtures[Detailed Prescriptive Baseline Fixture Lookup], 0))</f>
        <v>#N/A</v>
      </c>
      <c r="AJ108" s="53" t="e">
        <f>INDEX(Table_TRM_Fixtures[Fixture Wattage for Baseline Calculations],MATCH(Table_PrescriptLights_Input[[#This Row],[Detailed Baseline Fixture Lookup]], Table_TRM_Fixtures[Detailed Prescriptive Baseline Fixture Lookup],0))</f>
        <v>#N/A</v>
      </c>
      <c r="AK108" s="127" t="e">
        <f>INDEX(Table_Bldg_IEFD_IEFC[IEFE], MATCH( Input_HVACType,Table_Bldg_IEFD_IEFC[List_HVAC], 0))</f>
        <v>#N/A</v>
      </c>
      <c r="AL108" s="127" t="e">
        <f>INDEX( Table_Bldg_IEFD_IEFC[IEFE],MATCH( Input_HVACType, Table_Bldg_IEFD_IEFC[List_HVAC],0 ))</f>
        <v>#N/A</v>
      </c>
      <c r="AM108" s="127" t="e">
        <f>INDEX(Table_Control_PAF[PAF], MATCH(Table_PrescriptLights_Input[[#This Row],[Existing controls]], Table_Control_PAF[List_Control_Types], 0 ) )</f>
        <v>#N/A</v>
      </c>
      <c r="AN108"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08"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08"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08" s="53">
        <f>IFERROR(LEFT(Table_PrescriptLights_Input[[#This Row],[Existing lighting type]], FIND(",",Table_PrescriptLights_Input[[#This Row],[Existing lighting type]])-1), Table_PrescriptLights_Input[[#This Row],[Existing lighting type]])</f>
        <v>0</v>
      </c>
      <c r="AR108" s="53" t="str">
        <f>_xlfn.CONCAT(Table_PrescriptLights_Input[[#This Row],[Generalized Fixture Type]], ":",Table_PrescriptLights_Input[[#This Row],[Existing lamps per fixture]],":",Table_PrescriptLights_Input[[#This Row],[Existing lamp wattage]])</f>
        <v>0::</v>
      </c>
      <c r="AS108" s="53" t="e">
        <f>INDEX(Table_TRM_Fixtures[Fixture Code], MATCH(Table_PrescriptLights_Input[[#This Row],[Generalized Fixture Baseline Lookup]], Table_TRM_Fixtures[Generalized Baseline Fixture Lookup], 0))</f>
        <v>#N/A</v>
      </c>
      <c r="AT108"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08"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08"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08"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08"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08" s="53" t="e">
        <f>IFERROR(Table_PrescriptLights_Input[[#This Row],[Detailed Baseline Fixture Code]],Table_PrescriptLights_Input[[#This Row],[Generalized Baseline Fixture Code]])</f>
        <v>#N/A</v>
      </c>
      <c r="AZ108" s="4"/>
      <c r="BA108" s="4"/>
      <c r="BB108" s="4"/>
      <c r="BC108" s="4"/>
      <c r="BD108" s="4"/>
      <c r="BE108" s="4"/>
      <c r="BF108" s="4"/>
      <c r="BG108" s="4"/>
      <c r="BH108" s="4"/>
      <c r="BI108" s="4"/>
      <c r="BJ108" s="4"/>
      <c r="BK108" s="4"/>
      <c r="BL108" s="4"/>
      <c r="BM108" s="4"/>
      <c r="BN108" s="4"/>
      <c r="BO108" s="4"/>
      <c r="BP108" s="4"/>
      <c r="BQ108" s="4"/>
    </row>
    <row r="109" spans="1:69" x14ac:dyDescent="0.2">
      <c r="A109" s="4"/>
      <c r="B109" s="189">
        <v>105</v>
      </c>
      <c r="C109" s="61" t="str">
        <f>IFERROR(INDEX(Table_Prescript_Meas[Measure Number], MATCH(Table_PrescriptLights_Input[[#This Row],[Prescriptive lighting measure]], Table_Prescript_Meas[Measure Description], 0)), "")</f>
        <v/>
      </c>
      <c r="D109" s="192"/>
      <c r="E109" s="179"/>
      <c r="F109" s="179"/>
      <c r="G109" s="61" t="str">
        <f>IFERROR(INDEX(Table_Prescript_Meas[Unit], MATCH(Table_PrescriptLights_Input[[#This Row],[Measure number]], Table_Prescript_Meas[Measure Number], 0)), "")</f>
        <v/>
      </c>
      <c r="H109" s="180"/>
      <c r="I109" s="179"/>
      <c r="J109" s="179"/>
      <c r="K109" s="180"/>
      <c r="L109" s="179"/>
      <c r="M109" s="180"/>
      <c r="N109" s="180"/>
      <c r="O109" s="180"/>
      <c r="P109" s="180"/>
      <c r="Q109" s="180"/>
      <c r="R109" s="181"/>
      <c r="S109" s="181"/>
      <c r="T109"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09"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09" s="69" t="str">
        <f>IF(Table_PrescriptLights_Input[[#This Row],[Prescriptive lighting measure]]="","",Table_PrescriptLights_Input[[#This Row],[Calculated Energy Savings]])</f>
        <v/>
      </c>
      <c r="W109" s="73" t="str">
        <f>IF(Table_PrescriptLights_Input[[#This Row],[Prescriptive lighting measure]]="","",Table_PrescriptLights_Input[[#This Row],[Calculated Demand Savings]])</f>
        <v/>
      </c>
      <c r="X109" s="67" t="str">
        <f>IFERROR(Table_PrescriptLights_Input[[#This Row],[Energy savings (kWh)]]*Input_AvgkWhRate, "")</f>
        <v/>
      </c>
      <c r="Y109" s="67" t="str">
        <f>IF(Table_PrescriptLights_Input[[#This Row],[Prescriptive lighting measure]]="", "",Table_PrescriptLights_Input[[#This Row],[Material cost per fixture]]*Table_PrescriptLights_Input[[#This Row],[Number of proposed fixtures]]+Table_PrescriptLights_Input[[#This Row],[Total labor cost]])</f>
        <v/>
      </c>
      <c r="Z109" s="67" t="str">
        <f>IFERROR(Table_PrescriptLights_Input[[#This Row],[Gross measure cost]]-Table_PrescriptLights_Input[[#This Row],[Estimated incentive]], "")</f>
        <v/>
      </c>
      <c r="AA109" s="69" t="str">
        <f t="shared" si="3"/>
        <v/>
      </c>
      <c r="AB109" s="69" t="str">
        <f>IF(ISNUMBER(Table_PrescriptLights_Input[[#This Row],[Detailed Fixture Calculation Wattage]]), "Detailed", "General")</f>
        <v>General</v>
      </c>
      <c r="AC109" s="53" t="e">
        <f>INDEX(Table_IntExt_Match[Measure Selection List], MATCH(Table_PrescriptLights_Input[[#This Row],[Interior or exterior?]], Table_IntExt_Match[Inetrior or Exterior], 0))</f>
        <v>#N/A</v>
      </c>
      <c r="AD109" s="53" t="e">
        <f>INDEX(Table_Prescript_Meas[Unit], MATCH(C109, Table_Prescript_Meas[Measure Number], 0))</f>
        <v>#N/A</v>
      </c>
      <c r="AE109" s="53" t="e">
        <f>INDEX(Table_Prescript_Meas[Lighting Type Selection List], MATCH(C109, Table_Prescript_Meas[Measure Number], 0))</f>
        <v>#N/A</v>
      </c>
      <c r="AF109" s="53" t="e">
        <f>INDEX(Table_Prescript_Meas[AOH Type], MATCH(Table_PrescriptLights_Input[[#This Row],[Measure number]], Table_Prescript_Meas[Measure Number],0))</f>
        <v>#N/A</v>
      </c>
      <c r="AG109"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09" s="53" t="str">
        <f>_xlfn.CONCAT(Table_PrescriptLights_Input[[#This Row],[Existing lighting type]],":",Table_PrescriptLights_Input[[#This Row],[Existing lamps per fixture]], ":",Table_PrescriptLights_Input[[#This Row],[Existing lamp wattage]])</f>
        <v>::</v>
      </c>
      <c r="AI109" s="53" t="e">
        <f>INDEX(Table_TRM_Fixtures[Fixture Code], MATCH(Table_PrescriptLights_Input[[#This Row],[Detailed Baseline Fixture Lookup]], Table_TRM_Fixtures[Detailed Prescriptive Baseline Fixture Lookup], 0))</f>
        <v>#N/A</v>
      </c>
      <c r="AJ109" s="53" t="e">
        <f>INDEX(Table_TRM_Fixtures[Fixture Wattage for Baseline Calculations],MATCH(Table_PrescriptLights_Input[[#This Row],[Detailed Baseline Fixture Lookup]], Table_TRM_Fixtures[Detailed Prescriptive Baseline Fixture Lookup],0))</f>
        <v>#N/A</v>
      </c>
      <c r="AK109" s="127" t="e">
        <f>INDEX(Table_Bldg_IEFD_IEFC[IEFE], MATCH( Input_HVACType,Table_Bldg_IEFD_IEFC[List_HVAC], 0))</f>
        <v>#N/A</v>
      </c>
      <c r="AL109" s="127" t="e">
        <f>INDEX( Table_Bldg_IEFD_IEFC[IEFE],MATCH( Input_HVACType, Table_Bldg_IEFD_IEFC[List_HVAC],0 ))</f>
        <v>#N/A</v>
      </c>
      <c r="AM109" s="127" t="e">
        <f>INDEX(Table_Control_PAF[PAF], MATCH(Table_PrescriptLights_Input[[#This Row],[Existing controls]], Table_Control_PAF[List_Control_Types], 0 ) )</f>
        <v>#N/A</v>
      </c>
      <c r="AN109"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09"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09"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09" s="53">
        <f>IFERROR(LEFT(Table_PrescriptLights_Input[[#This Row],[Existing lighting type]], FIND(",",Table_PrescriptLights_Input[[#This Row],[Existing lighting type]])-1), Table_PrescriptLights_Input[[#This Row],[Existing lighting type]])</f>
        <v>0</v>
      </c>
      <c r="AR109" s="53" t="str">
        <f>_xlfn.CONCAT(Table_PrescriptLights_Input[[#This Row],[Generalized Fixture Type]], ":",Table_PrescriptLights_Input[[#This Row],[Existing lamps per fixture]],":",Table_PrescriptLights_Input[[#This Row],[Existing lamp wattage]])</f>
        <v>0::</v>
      </c>
      <c r="AS109" s="53" t="e">
        <f>INDEX(Table_TRM_Fixtures[Fixture Code], MATCH(Table_PrescriptLights_Input[[#This Row],[Generalized Fixture Baseline Lookup]], Table_TRM_Fixtures[Generalized Baseline Fixture Lookup], 0))</f>
        <v>#N/A</v>
      </c>
      <c r="AT109"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09"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09"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09"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09"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09" s="53" t="e">
        <f>IFERROR(Table_PrescriptLights_Input[[#This Row],[Detailed Baseline Fixture Code]],Table_PrescriptLights_Input[[#This Row],[Generalized Baseline Fixture Code]])</f>
        <v>#N/A</v>
      </c>
      <c r="AZ109" s="4"/>
      <c r="BA109" s="4"/>
      <c r="BB109" s="4"/>
      <c r="BC109" s="4"/>
      <c r="BD109" s="4"/>
      <c r="BE109" s="4"/>
      <c r="BF109" s="4"/>
      <c r="BG109" s="4"/>
      <c r="BH109" s="4"/>
      <c r="BI109" s="4"/>
      <c r="BJ109" s="4"/>
      <c r="BK109" s="4"/>
      <c r="BL109" s="4"/>
      <c r="BM109" s="4"/>
      <c r="BN109" s="4"/>
      <c r="BO109" s="4"/>
      <c r="BP109" s="4"/>
      <c r="BQ109" s="4"/>
    </row>
    <row r="110" spans="1:69" x14ac:dyDescent="0.2">
      <c r="A110" s="4"/>
      <c r="B110" s="189">
        <v>106</v>
      </c>
      <c r="C110" s="61" t="str">
        <f>IFERROR(INDEX(Table_Prescript_Meas[Measure Number], MATCH(Table_PrescriptLights_Input[[#This Row],[Prescriptive lighting measure]], Table_Prescript_Meas[Measure Description], 0)), "")</f>
        <v/>
      </c>
      <c r="D110" s="192"/>
      <c r="E110" s="179"/>
      <c r="F110" s="179"/>
      <c r="G110" s="61" t="str">
        <f>IFERROR(INDEX(Table_Prescript_Meas[Unit], MATCH(Table_PrescriptLights_Input[[#This Row],[Measure number]], Table_Prescript_Meas[Measure Number], 0)), "")</f>
        <v/>
      </c>
      <c r="H110" s="180"/>
      <c r="I110" s="179"/>
      <c r="J110" s="179"/>
      <c r="K110" s="180"/>
      <c r="L110" s="179"/>
      <c r="M110" s="180"/>
      <c r="N110" s="180"/>
      <c r="O110" s="180"/>
      <c r="P110" s="180"/>
      <c r="Q110" s="180"/>
      <c r="R110" s="181"/>
      <c r="S110" s="181"/>
      <c r="T110"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10"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10" s="69" t="str">
        <f>IF(Table_PrescriptLights_Input[[#This Row],[Prescriptive lighting measure]]="","",Table_PrescriptLights_Input[[#This Row],[Calculated Energy Savings]])</f>
        <v/>
      </c>
      <c r="W110" s="73" t="str">
        <f>IF(Table_PrescriptLights_Input[[#This Row],[Prescriptive lighting measure]]="","",Table_PrescriptLights_Input[[#This Row],[Calculated Demand Savings]])</f>
        <v/>
      </c>
      <c r="X110" s="67" t="str">
        <f>IFERROR(Table_PrescriptLights_Input[[#This Row],[Energy savings (kWh)]]*Input_AvgkWhRate, "")</f>
        <v/>
      </c>
      <c r="Y110" s="67" t="str">
        <f>IF(Table_PrescriptLights_Input[[#This Row],[Prescriptive lighting measure]]="", "",Table_PrescriptLights_Input[[#This Row],[Material cost per fixture]]*Table_PrescriptLights_Input[[#This Row],[Number of proposed fixtures]]+Table_PrescriptLights_Input[[#This Row],[Total labor cost]])</f>
        <v/>
      </c>
      <c r="Z110" s="67" t="str">
        <f>IFERROR(Table_PrescriptLights_Input[[#This Row],[Gross measure cost]]-Table_PrescriptLights_Input[[#This Row],[Estimated incentive]], "")</f>
        <v/>
      </c>
      <c r="AA110" s="69" t="str">
        <f t="shared" si="3"/>
        <v/>
      </c>
      <c r="AB110" s="69" t="str">
        <f>IF(ISNUMBER(Table_PrescriptLights_Input[[#This Row],[Detailed Fixture Calculation Wattage]]), "Detailed", "General")</f>
        <v>General</v>
      </c>
      <c r="AC110" s="53" t="e">
        <f>INDEX(Table_IntExt_Match[Measure Selection List], MATCH(Table_PrescriptLights_Input[[#This Row],[Interior or exterior?]], Table_IntExt_Match[Inetrior or Exterior], 0))</f>
        <v>#N/A</v>
      </c>
      <c r="AD110" s="53" t="e">
        <f>INDEX(Table_Prescript_Meas[Unit], MATCH(C110, Table_Prescript_Meas[Measure Number], 0))</f>
        <v>#N/A</v>
      </c>
      <c r="AE110" s="53" t="e">
        <f>INDEX(Table_Prescript_Meas[Lighting Type Selection List], MATCH(C110, Table_Prescript_Meas[Measure Number], 0))</f>
        <v>#N/A</v>
      </c>
      <c r="AF110" s="53" t="e">
        <f>INDEX(Table_Prescript_Meas[AOH Type], MATCH(Table_PrescriptLights_Input[[#This Row],[Measure number]], Table_Prescript_Meas[Measure Number],0))</f>
        <v>#N/A</v>
      </c>
      <c r="AG110"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10" s="53" t="str">
        <f>_xlfn.CONCAT(Table_PrescriptLights_Input[[#This Row],[Existing lighting type]],":",Table_PrescriptLights_Input[[#This Row],[Existing lamps per fixture]], ":",Table_PrescriptLights_Input[[#This Row],[Existing lamp wattage]])</f>
        <v>::</v>
      </c>
      <c r="AI110" s="53" t="e">
        <f>INDEX(Table_TRM_Fixtures[Fixture Code], MATCH(Table_PrescriptLights_Input[[#This Row],[Detailed Baseline Fixture Lookup]], Table_TRM_Fixtures[Detailed Prescriptive Baseline Fixture Lookup], 0))</f>
        <v>#N/A</v>
      </c>
      <c r="AJ110" s="53" t="e">
        <f>INDEX(Table_TRM_Fixtures[Fixture Wattage for Baseline Calculations],MATCH(Table_PrescriptLights_Input[[#This Row],[Detailed Baseline Fixture Lookup]], Table_TRM_Fixtures[Detailed Prescriptive Baseline Fixture Lookup],0))</f>
        <v>#N/A</v>
      </c>
      <c r="AK110" s="127" t="e">
        <f>INDEX(Table_Bldg_IEFD_IEFC[IEFE], MATCH( Input_HVACType,Table_Bldg_IEFD_IEFC[List_HVAC], 0))</f>
        <v>#N/A</v>
      </c>
      <c r="AL110" s="127" t="e">
        <f>INDEX( Table_Bldg_IEFD_IEFC[IEFE],MATCH( Input_HVACType, Table_Bldg_IEFD_IEFC[List_HVAC],0 ))</f>
        <v>#N/A</v>
      </c>
      <c r="AM110" s="127" t="e">
        <f>INDEX(Table_Control_PAF[PAF], MATCH(Table_PrescriptLights_Input[[#This Row],[Existing controls]], Table_Control_PAF[List_Control_Types], 0 ) )</f>
        <v>#N/A</v>
      </c>
      <c r="AN110"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10"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10"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10" s="53">
        <f>IFERROR(LEFT(Table_PrescriptLights_Input[[#This Row],[Existing lighting type]], FIND(",",Table_PrescriptLights_Input[[#This Row],[Existing lighting type]])-1), Table_PrescriptLights_Input[[#This Row],[Existing lighting type]])</f>
        <v>0</v>
      </c>
      <c r="AR110" s="53" t="str">
        <f>_xlfn.CONCAT(Table_PrescriptLights_Input[[#This Row],[Generalized Fixture Type]], ":",Table_PrescriptLights_Input[[#This Row],[Existing lamps per fixture]],":",Table_PrescriptLights_Input[[#This Row],[Existing lamp wattage]])</f>
        <v>0::</v>
      </c>
      <c r="AS110" s="53" t="e">
        <f>INDEX(Table_TRM_Fixtures[Fixture Code], MATCH(Table_PrescriptLights_Input[[#This Row],[Generalized Fixture Baseline Lookup]], Table_TRM_Fixtures[Generalized Baseline Fixture Lookup], 0))</f>
        <v>#N/A</v>
      </c>
      <c r="AT110"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10"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10"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10"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10"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10" s="53" t="e">
        <f>IFERROR(Table_PrescriptLights_Input[[#This Row],[Detailed Baseline Fixture Code]],Table_PrescriptLights_Input[[#This Row],[Generalized Baseline Fixture Code]])</f>
        <v>#N/A</v>
      </c>
      <c r="AZ110" s="4"/>
      <c r="BA110" s="4"/>
      <c r="BB110" s="4"/>
      <c r="BC110" s="4"/>
      <c r="BD110" s="4"/>
      <c r="BE110" s="4"/>
      <c r="BF110" s="4"/>
      <c r="BG110" s="4"/>
      <c r="BH110" s="4"/>
      <c r="BI110" s="4"/>
      <c r="BJ110" s="4"/>
      <c r="BK110" s="4"/>
      <c r="BL110" s="4"/>
      <c r="BM110" s="4"/>
      <c r="BN110" s="4"/>
      <c r="BO110" s="4"/>
      <c r="BP110" s="4"/>
      <c r="BQ110" s="4"/>
    </row>
    <row r="111" spans="1:69" x14ac:dyDescent="0.2">
      <c r="A111" s="4"/>
      <c r="B111" s="189">
        <v>107</v>
      </c>
      <c r="C111" s="61" t="str">
        <f>IFERROR(INDEX(Table_Prescript_Meas[Measure Number], MATCH(Table_PrescriptLights_Input[[#This Row],[Prescriptive lighting measure]], Table_Prescript_Meas[Measure Description], 0)), "")</f>
        <v/>
      </c>
      <c r="D111" s="192"/>
      <c r="E111" s="179"/>
      <c r="F111" s="179"/>
      <c r="G111" s="61" t="str">
        <f>IFERROR(INDEX(Table_Prescript_Meas[Unit], MATCH(Table_PrescriptLights_Input[[#This Row],[Measure number]], Table_Prescript_Meas[Measure Number], 0)), "")</f>
        <v/>
      </c>
      <c r="H111" s="180"/>
      <c r="I111" s="179"/>
      <c r="J111" s="179"/>
      <c r="K111" s="180"/>
      <c r="L111" s="179"/>
      <c r="M111" s="180"/>
      <c r="N111" s="180"/>
      <c r="O111" s="180"/>
      <c r="P111" s="180"/>
      <c r="Q111" s="180"/>
      <c r="R111" s="181"/>
      <c r="S111" s="181"/>
      <c r="T111"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11"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11" s="69" t="str">
        <f>IF(Table_PrescriptLights_Input[[#This Row],[Prescriptive lighting measure]]="","",Table_PrescriptLights_Input[[#This Row],[Calculated Energy Savings]])</f>
        <v/>
      </c>
      <c r="W111" s="73" t="str">
        <f>IF(Table_PrescriptLights_Input[[#This Row],[Prescriptive lighting measure]]="","",Table_PrescriptLights_Input[[#This Row],[Calculated Demand Savings]])</f>
        <v/>
      </c>
      <c r="X111" s="67" t="str">
        <f>IFERROR(Table_PrescriptLights_Input[[#This Row],[Energy savings (kWh)]]*Input_AvgkWhRate, "")</f>
        <v/>
      </c>
      <c r="Y111" s="67" t="str">
        <f>IF(Table_PrescriptLights_Input[[#This Row],[Prescriptive lighting measure]]="", "",Table_PrescriptLights_Input[[#This Row],[Material cost per fixture]]*Table_PrescriptLights_Input[[#This Row],[Number of proposed fixtures]]+Table_PrescriptLights_Input[[#This Row],[Total labor cost]])</f>
        <v/>
      </c>
      <c r="Z111" s="67" t="str">
        <f>IFERROR(Table_PrescriptLights_Input[[#This Row],[Gross measure cost]]-Table_PrescriptLights_Input[[#This Row],[Estimated incentive]], "")</f>
        <v/>
      </c>
      <c r="AA111" s="69" t="str">
        <f t="shared" si="3"/>
        <v/>
      </c>
      <c r="AB111" s="69" t="str">
        <f>IF(ISNUMBER(Table_PrescriptLights_Input[[#This Row],[Detailed Fixture Calculation Wattage]]), "Detailed", "General")</f>
        <v>General</v>
      </c>
      <c r="AC111" s="53" t="e">
        <f>INDEX(Table_IntExt_Match[Measure Selection List], MATCH(Table_PrescriptLights_Input[[#This Row],[Interior or exterior?]], Table_IntExt_Match[Inetrior or Exterior], 0))</f>
        <v>#N/A</v>
      </c>
      <c r="AD111" s="53" t="e">
        <f>INDEX(Table_Prescript_Meas[Unit], MATCH(C111, Table_Prescript_Meas[Measure Number], 0))</f>
        <v>#N/A</v>
      </c>
      <c r="AE111" s="53" t="e">
        <f>INDEX(Table_Prescript_Meas[Lighting Type Selection List], MATCH(C111, Table_Prescript_Meas[Measure Number], 0))</f>
        <v>#N/A</v>
      </c>
      <c r="AF111" s="53" t="e">
        <f>INDEX(Table_Prescript_Meas[AOH Type], MATCH(Table_PrescriptLights_Input[[#This Row],[Measure number]], Table_Prescript_Meas[Measure Number],0))</f>
        <v>#N/A</v>
      </c>
      <c r="AG111"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11" s="53" t="str">
        <f>_xlfn.CONCAT(Table_PrescriptLights_Input[[#This Row],[Existing lighting type]],":",Table_PrescriptLights_Input[[#This Row],[Existing lamps per fixture]], ":",Table_PrescriptLights_Input[[#This Row],[Existing lamp wattage]])</f>
        <v>::</v>
      </c>
      <c r="AI111" s="53" t="e">
        <f>INDEX(Table_TRM_Fixtures[Fixture Code], MATCH(Table_PrescriptLights_Input[[#This Row],[Detailed Baseline Fixture Lookup]], Table_TRM_Fixtures[Detailed Prescriptive Baseline Fixture Lookup], 0))</f>
        <v>#N/A</v>
      </c>
      <c r="AJ111" s="53" t="e">
        <f>INDEX(Table_TRM_Fixtures[Fixture Wattage for Baseline Calculations],MATCH(Table_PrescriptLights_Input[[#This Row],[Detailed Baseline Fixture Lookup]], Table_TRM_Fixtures[Detailed Prescriptive Baseline Fixture Lookup],0))</f>
        <v>#N/A</v>
      </c>
      <c r="AK111" s="127" t="e">
        <f>INDEX(Table_Bldg_IEFD_IEFC[IEFE], MATCH( Input_HVACType,Table_Bldg_IEFD_IEFC[List_HVAC], 0))</f>
        <v>#N/A</v>
      </c>
      <c r="AL111" s="127" t="e">
        <f>INDEX( Table_Bldg_IEFD_IEFC[IEFE],MATCH( Input_HVACType, Table_Bldg_IEFD_IEFC[List_HVAC],0 ))</f>
        <v>#N/A</v>
      </c>
      <c r="AM111" s="127" t="e">
        <f>INDEX(Table_Control_PAF[PAF], MATCH(Table_PrescriptLights_Input[[#This Row],[Existing controls]], Table_Control_PAF[List_Control_Types], 0 ) )</f>
        <v>#N/A</v>
      </c>
      <c r="AN111"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11"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11"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11" s="53">
        <f>IFERROR(LEFT(Table_PrescriptLights_Input[[#This Row],[Existing lighting type]], FIND(",",Table_PrescriptLights_Input[[#This Row],[Existing lighting type]])-1), Table_PrescriptLights_Input[[#This Row],[Existing lighting type]])</f>
        <v>0</v>
      </c>
      <c r="AR111" s="53" t="str">
        <f>_xlfn.CONCAT(Table_PrescriptLights_Input[[#This Row],[Generalized Fixture Type]], ":",Table_PrescriptLights_Input[[#This Row],[Existing lamps per fixture]],":",Table_PrescriptLights_Input[[#This Row],[Existing lamp wattage]])</f>
        <v>0::</v>
      </c>
      <c r="AS111" s="53" t="e">
        <f>INDEX(Table_TRM_Fixtures[Fixture Code], MATCH(Table_PrescriptLights_Input[[#This Row],[Generalized Fixture Baseline Lookup]], Table_TRM_Fixtures[Generalized Baseline Fixture Lookup], 0))</f>
        <v>#N/A</v>
      </c>
      <c r="AT111"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11"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11"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11"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11"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11" s="53" t="e">
        <f>IFERROR(Table_PrescriptLights_Input[[#This Row],[Detailed Baseline Fixture Code]],Table_PrescriptLights_Input[[#This Row],[Generalized Baseline Fixture Code]])</f>
        <v>#N/A</v>
      </c>
      <c r="AZ111" s="4"/>
      <c r="BA111" s="4"/>
      <c r="BB111" s="4"/>
      <c r="BC111" s="4"/>
      <c r="BD111" s="4"/>
      <c r="BE111" s="4"/>
      <c r="BF111" s="4"/>
      <c r="BG111" s="4"/>
      <c r="BH111" s="4"/>
      <c r="BI111" s="4"/>
      <c r="BJ111" s="4"/>
      <c r="BK111" s="4"/>
      <c r="BL111" s="4"/>
      <c r="BM111" s="4"/>
      <c r="BN111" s="4"/>
      <c r="BO111" s="4"/>
      <c r="BP111" s="4"/>
      <c r="BQ111" s="4"/>
    </row>
    <row r="112" spans="1:69" x14ac:dyDescent="0.2">
      <c r="A112" s="4"/>
      <c r="B112" s="189">
        <v>108</v>
      </c>
      <c r="C112" s="61" t="str">
        <f>IFERROR(INDEX(Table_Prescript_Meas[Measure Number], MATCH(Table_PrescriptLights_Input[[#This Row],[Prescriptive lighting measure]], Table_Prescript_Meas[Measure Description], 0)), "")</f>
        <v/>
      </c>
      <c r="D112" s="192"/>
      <c r="E112" s="179"/>
      <c r="F112" s="179"/>
      <c r="G112" s="61" t="str">
        <f>IFERROR(INDEX(Table_Prescript_Meas[Unit], MATCH(Table_PrescriptLights_Input[[#This Row],[Measure number]], Table_Prescript_Meas[Measure Number], 0)), "")</f>
        <v/>
      </c>
      <c r="H112" s="180"/>
      <c r="I112" s="179"/>
      <c r="J112" s="179"/>
      <c r="K112" s="180"/>
      <c r="L112" s="179"/>
      <c r="M112" s="180"/>
      <c r="N112" s="180"/>
      <c r="O112" s="180"/>
      <c r="P112" s="180"/>
      <c r="Q112" s="180"/>
      <c r="R112" s="181"/>
      <c r="S112" s="181"/>
      <c r="T112"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12"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12" s="69" t="str">
        <f>IF(Table_PrescriptLights_Input[[#This Row],[Prescriptive lighting measure]]="","",Table_PrescriptLights_Input[[#This Row],[Calculated Energy Savings]])</f>
        <v/>
      </c>
      <c r="W112" s="73" t="str">
        <f>IF(Table_PrescriptLights_Input[[#This Row],[Prescriptive lighting measure]]="","",Table_PrescriptLights_Input[[#This Row],[Calculated Demand Savings]])</f>
        <v/>
      </c>
      <c r="X112" s="67" t="str">
        <f>IFERROR(Table_PrescriptLights_Input[[#This Row],[Energy savings (kWh)]]*Input_AvgkWhRate, "")</f>
        <v/>
      </c>
      <c r="Y112" s="67" t="str">
        <f>IF(Table_PrescriptLights_Input[[#This Row],[Prescriptive lighting measure]]="", "",Table_PrescriptLights_Input[[#This Row],[Material cost per fixture]]*Table_PrescriptLights_Input[[#This Row],[Number of proposed fixtures]]+Table_PrescriptLights_Input[[#This Row],[Total labor cost]])</f>
        <v/>
      </c>
      <c r="Z112" s="67" t="str">
        <f>IFERROR(Table_PrescriptLights_Input[[#This Row],[Gross measure cost]]-Table_PrescriptLights_Input[[#This Row],[Estimated incentive]], "")</f>
        <v/>
      </c>
      <c r="AA112" s="69" t="str">
        <f t="shared" si="3"/>
        <v/>
      </c>
      <c r="AB112" s="69" t="str">
        <f>IF(ISNUMBER(Table_PrescriptLights_Input[[#This Row],[Detailed Fixture Calculation Wattage]]), "Detailed", "General")</f>
        <v>General</v>
      </c>
      <c r="AC112" s="53" t="e">
        <f>INDEX(Table_IntExt_Match[Measure Selection List], MATCH(Table_PrescriptLights_Input[[#This Row],[Interior or exterior?]], Table_IntExt_Match[Inetrior or Exterior], 0))</f>
        <v>#N/A</v>
      </c>
      <c r="AD112" s="53" t="e">
        <f>INDEX(Table_Prescript_Meas[Unit], MATCH(C112, Table_Prescript_Meas[Measure Number], 0))</f>
        <v>#N/A</v>
      </c>
      <c r="AE112" s="53" t="e">
        <f>INDEX(Table_Prescript_Meas[Lighting Type Selection List], MATCH(C112, Table_Prescript_Meas[Measure Number], 0))</f>
        <v>#N/A</v>
      </c>
      <c r="AF112" s="53" t="e">
        <f>INDEX(Table_Prescript_Meas[AOH Type], MATCH(Table_PrescriptLights_Input[[#This Row],[Measure number]], Table_Prescript_Meas[Measure Number],0))</f>
        <v>#N/A</v>
      </c>
      <c r="AG112"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12" s="53" t="str">
        <f>_xlfn.CONCAT(Table_PrescriptLights_Input[[#This Row],[Existing lighting type]],":",Table_PrescriptLights_Input[[#This Row],[Existing lamps per fixture]], ":",Table_PrescriptLights_Input[[#This Row],[Existing lamp wattage]])</f>
        <v>::</v>
      </c>
      <c r="AI112" s="53" t="e">
        <f>INDEX(Table_TRM_Fixtures[Fixture Code], MATCH(Table_PrescriptLights_Input[[#This Row],[Detailed Baseline Fixture Lookup]], Table_TRM_Fixtures[Detailed Prescriptive Baseline Fixture Lookup], 0))</f>
        <v>#N/A</v>
      </c>
      <c r="AJ112" s="53" t="e">
        <f>INDEX(Table_TRM_Fixtures[Fixture Wattage for Baseline Calculations],MATCH(Table_PrescriptLights_Input[[#This Row],[Detailed Baseline Fixture Lookup]], Table_TRM_Fixtures[Detailed Prescriptive Baseline Fixture Lookup],0))</f>
        <v>#N/A</v>
      </c>
      <c r="AK112" s="127" t="e">
        <f>INDEX(Table_Bldg_IEFD_IEFC[IEFE], MATCH( Input_HVACType,Table_Bldg_IEFD_IEFC[List_HVAC], 0))</f>
        <v>#N/A</v>
      </c>
      <c r="AL112" s="127" t="e">
        <f>INDEX( Table_Bldg_IEFD_IEFC[IEFE],MATCH( Input_HVACType, Table_Bldg_IEFD_IEFC[List_HVAC],0 ))</f>
        <v>#N/A</v>
      </c>
      <c r="AM112" s="127" t="e">
        <f>INDEX(Table_Control_PAF[PAF], MATCH(Table_PrescriptLights_Input[[#This Row],[Existing controls]], Table_Control_PAF[List_Control_Types], 0 ) )</f>
        <v>#N/A</v>
      </c>
      <c r="AN112"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12"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12"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12" s="53">
        <f>IFERROR(LEFT(Table_PrescriptLights_Input[[#This Row],[Existing lighting type]], FIND(",",Table_PrescriptLights_Input[[#This Row],[Existing lighting type]])-1), Table_PrescriptLights_Input[[#This Row],[Existing lighting type]])</f>
        <v>0</v>
      </c>
      <c r="AR112" s="53" t="str">
        <f>_xlfn.CONCAT(Table_PrescriptLights_Input[[#This Row],[Generalized Fixture Type]], ":",Table_PrescriptLights_Input[[#This Row],[Existing lamps per fixture]],":",Table_PrescriptLights_Input[[#This Row],[Existing lamp wattage]])</f>
        <v>0::</v>
      </c>
      <c r="AS112" s="53" t="e">
        <f>INDEX(Table_TRM_Fixtures[Fixture Code], MATCH(Table_PrescriptLights_Input[[#This Row],[Generalized Fixture Baseline Lookup]], Table_TRM_Fixtures[Generalized Baseline Fixture Lookup], 0))</f>
        <v>#N/A</v>
      </c>
      <c r="AT112"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12"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12"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12"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12"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12" s="53" t="e">
        <f>IFERROR(Table_PrescriptLights_Input[[#This Row],[Detailed Baseline Fixture Code]],Table_PrescriptLights_Input[[#This Row],[Generalized Baseline Fixture Code]])</f>
        <v>#N/A</v>
      </c>
      <c r="AZ112" s="4"/>
      <c r="BA112" s="4"/>
      <c r="BB112" s="4"/>
      <c r="BC112" s="4"/>
      <c r="BD112" s="4"/>
      <c r="BE112" s="4"/>
      <c r="BF112" s="4"/>
      <c r="BG112" s="4"/>
      <c r="BH112" s="4"/>
      <c r="BI112" s="4"/>
      <c r="BJ112" s="4"/>
      <c r="BK112" s="4"/>
      <c r="BL112" s="4"/>
      <c r="BM112" s="4"/>
      <c r="BN112" s="4"/>
      <c r="BO112" s="4"/>
      <c r="BP112" s="4"/>
      <c r="BQ112" s="4"/>
    </row>
    <row r="113" spans="1:69" x14ac:dyDescent="0.2">
      <c r="A113" s="4"/>
      <c r="B113" s="189">
        <v>109</v>
      </c>
      <c r="C113" s="61" t="str">
        <f>IFERROR(INDEX(Table_Prescript_Meas[Measure Number], MATCH(Table_PrescriptLights_Input[[#This Row],[Prescriptive lighting measure]], Table_Prescript_Meas[Measure Description], 0)), "")</f>
        <v/>
      </c>
      <c r="D113" s="192"/>
      <c r="E113" s="179"/>
      <c r="F113" s="179"/>
      <c r="G113" s="61" t="str">
        <f>IFERROR(INDEX(Table_Prescript_Meas[Unit], MATCH(Table_PrescriptLights_Input[[#This Row],[Measure number]], Table_Prescript_Meas[Measure Number], 0)), "")</f>
        <v/>
      </c>
      <c r="H113" s="180"/>
      <c r="I113" s="179"/>
      <c r="J113" s="179"/>
      <c r="K113" s="180"/>
      <c r="L113" s="179"/>
      <c r="M113" s="180"/>
      <c r="N113" s="180"/>
      <c r="O113" s="180"/>
      <c r="P113" s="180"/>
      <c r="Q113" s="180"/>
      <c r="R113" s="181"/>
      <c r="S113" s="181"/>
      <c r="T113"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13"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13" s="69" t="str">
        <f>IF(Table_PrescriptLights_Input[[#This Row],[Prescriptive lighting measure]]="","",Table_PrescriptLights_Input[[#This Row],[Calculated Energy Savings]])</f>
        <v/>
      </c>
      <c r="W113" s="73" t="str">
        <f>IF(Table_PrescriptLights_Input[[#This Row],[Prescriptive lighting measure]]="","",Table_PrescriptLights_Input[[#This Row],[Calculated Demand Savings]])</f>
        <v/>
      </c>
      <c r="X113" s="67" t="str">
        <f>IFERROR(Table_PrescriptLights_Input[[#This Row],[Energy savings (kWh)]]*Input_AvgkWhRate, "")</f>
        <v/>
      </c>
      <c r="Y113" s="67" t="str">
        <f>IF(Table_PrescriptLights_Input[[#This Row],[Prescriptive lighting measure]]="", "",Table_PrescriptLights_Input[[#This Row],[Material cost per fixture]]*Table_PrescriptLights_Input[[#This Row],[Number of proposed fixtures]]+Table_PrescriptLights_Input[[#This Row],[Total labor cost]])</f>
        <v/>
      </c>
      <c r="Z113" s="67" t="str">
        <f>IFERROR(Table_PrescriptLights_Input[[#This Row],[Gross measure cost]]-Table_PrescriptLights_Input[[#This Row],[Estimated incentive]], "")</f>
        <v/>
      </c>
      <c r="AA113" s="69" t="str">
        <f t="shared" si="3"/>
        <v/>
      </c>
      <c r="AB113" s="69" t="str">
        <f>IF(ISNUMBER(Table_PrescriptLights_Input[[#This Row],[Detailed Fixture Calculation Wattage]]), "Detailed", "General")</f>
        <v>General</v>
      </c>
      <c r="AC113" s="53" t="e">
        <f>INDEX(Table_IntExt_Match[Measure Selection List], MATCH(Table_PrescriptLights_Input[[#This Row],[Interior or exterior?]], Table_IntExt_Match[Inetrior or Exterior], 0))</f>
        <v>#N/A</v>
      </c>
      <c r="AD113" s="53" t="e">
        <f>INDEX(Table_Prescript_Meas[Unit], MATCH(C113, Table_Prescript_Meas[Measure Number], 0))</f>
        <v>#N/A</v>
      </c>
      <c r="AE113" s="53" t="e">
        <f>INDEX(Table_Prescript_Meas[Lighting Type Selection List], MATCH(C113, Table_Prescript_Meas[Measure Number], 0))</f>
        <v>#N/A</v>
      </c>
      <c r="AF113" s="53" t="e">
        <f>INDEX(Table_Prescript_Meas[AOH Type], MATCH(Table_PrescriptLights_Input[[#This Row],[Measure number]], Table_Prescript_Meas[Measure Number],0))</f>
        <v>#N/A</v>
      </c>
      <c r="AG113"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13" s="53" t="str">
        <f>_xlfn.CONCAT(Table_PrescriptLights_Input[[#This Row],[Existing lighting type]],":",Table_PrescriptLights_Input[[#This Row],[Existing lamps per fixture]], ":",Table_PrescriptLights_Input[[#This Row],[Existing lamp wattage]])</f>
        <v>::</v>
      </c>
      <c r="AI113" s="53" t="e">
        <f>INDEX(Table_TRM_Fixtures[Fixture Code], MATCH(Table_PrescriptLights_Input[[#This Row],[Detailed Baseline Fixture Lookup]], Table_TRM_Fixtures[Detailed Prescriptive Baseline Fixture Lookup], 0))</f>
        <v>#N/A</v>
      </c>
      <c r="AJ113" s="53" t="e">
        <f>INDEX(Table_TRM_Fixtures[Fixture Wattage for Baseline Calculations],MATCH(Table_PrescriptLights_Input[[#This Row],[Detailed Baseline Fixture Lookup]], Table_TRM_Fixtures[Detailed Prescriptive Baseline Fixture Lookup],0))</f>
        <v>#N/A</v>
      </c>
      <c r="AK113" s="127" t="e">
        <f>INDEX(Table_Bldg_IEFD_IEFC[IEFE], MATCH( Input_HVACType,Table_Bldg_IEFD_IEFC[List_HVAC], 0))</f>
        <v>#N/A</v>
      </c>
      <c r="AL113" s="127" t="e">
        <f>INDEX( Table_Bldg_IEFD_IEFC[IEFE],MATCH( Input_HVACType, Table_Bldg_IEFD_IEFC[List_HVAC],0 ))</f>
        <v>#N/A</v>
      </c>
      <c r="AM113" s="127" t="e">
        <f>INDEX(Table_Control_PAF[PAF], MATCH(Table_PrescriptLights_Input[[#This Row],[Existing controls]], Table_Control_PAF[List_Control_Types], 0 ) )</f>
        <v>#N/A</v>
      </c>
      <c r="AN113"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13"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13"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13" s="53">
        <f>IFERROR(LEFT(Table_PrescriptLights_Input[[#This Row],[Existing lighting type]], FIND(",",Table_PrescriptLights_Input[[#This Row],[Existing lighting type]])-1), Table_PrescriptLights_Input[[#This Row],[Existing lighting type]])</f>
        <v>0</v>
      </c>
      <c r="AR113" s="53" t="str">
        <f>_xlfn.CONCAT(Table_PrescriptLights_Input[[#This Row],[Generalized Fixture Type]], ":",Table_PrescriptLights_Input[[#This Row],[Existing lamps per fixture]],":",Table_PrescriptLights_Input[[#This Row],[Existing lamp wattage]])</f>
        <v>0::</v>
      </c>
      <c r="AS113" s="53" t="e">
        <f>INDEX(Table_TRM_Fixtures[Fixture Code], MATCH(Table_PrescriptLights_Input[[#This Row],[Generalized Fixture Baseline Lookup]], Table_TRM_Fixtures[Generalized Baseline Fixture Lookup], 0))</f>
        <v>#N/A</v>
      </c>
      <c r="AT113"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13"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13"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13"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13"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13" s="53" t="e">
        <f>IFERROR(Table_PrescriptLights_Input[[#This Row],[Detailed Baseline Fixture Code]],Table_PrescriptLights_Input[[#This Row],[Generalized Baseline Fixture Code]])</f>
        <v>#N/A</v>
      </c>
      <c r="AZ113" s="4"/>
      <c r="BA113" s="4"/>
      <c r="BB113" s="4"/>
      <c r="BC113" s="4"/>
      <c r="BD113" s="4"/>
      <c r="BE113" s="4"/>
      <c r="BF113" s="4"/>
      <c r="BG113" s="4"/>
      <c r="BH113" s="4"/>
      <c r="BI113" s="4"/>
      <c r="BJ113" s="4"/>
      <c r="BK113" s="4"/>
      <c r="BL113" s="4"/>
      <c r="BM113" s="4"/>
      <c r="BN113" s="4"/>
      <c r="BO113" s="4"/>
      <c r="BP113" s="4"/>
      <c r="BQ113" s="4"/>
    </row>
    <row r="114" spans="1:69" x14ac:dyDescent="0.2">
      <c r="A114" s="4"/>
      <c r="B114" s="189">
        <v>110</v>
      </c>
      <c r="C114" s="61" t="str">
        <f>IFERROR(INDEX(Table_Prescript_Meas[Measure Number], MATCH(Table_PrescriptLights_Input[[#This Row],[Prescriptive lighting measure]], Table_Prescript_Meas[Measure Description], 0)), "")</f>
        <v/>
      </c>
      <c r="D114" s="192"/>
      <c r="E114" s="179"/>
      <c r="F114" s="179"/>
      <c r="G114" s="61" t="str">
        <f>IFERROR(INDEX(Table_Prescript_Meas[Unit], MATCH(Table_PrescriptLights_Input[[#This Row],[Measure number]], Table_Prescript_Meas[Measure Number], 0)), "")</f>
        <v/>
      </c>
      <c r="H114" s="180"/>
      <c r="I114" s="179"/>
      <c r="J114" s="179"/>
      <c r="K114" s="180"/>
      <c r="L114" s="179"/>
      <c r="M114" s="180"/>
      <c r="N114" s="180"/>
      <c r="O114" s="180"/>
      <c r="P114" s="180"/>
      <c r="Q114" s="180"/>
      <c r="R114" s="181"/>
      <c r="S114" s="181"/>
      <c r="T114"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14"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14" s="69" t="str">
        <f>IF(Table_PrescriptLights_Input[[#This Row],[Prescriptive lighting measure]]="","",Table_PrescriptLights_Input[[#This Row],[Calculated Energy Savings]])</f>
        <v/>
      </c>
      <c r="W114" s="73" t="str">
        <f>IF(Table_PrescriptLights_Input[[#This Row],[Prescriptive lighting measure]]="","",Table_PrescriptLights_Input[[#This Row],[Calculated Demand Savings]])</f>
        <v/>
      </c>
      <c r="X114" s="67" t="str">
        <f>IFERROR(Table_PrescriptLights_Input[[#This Row],[Energy savings (kWh)]]*Input_AvgkWhRate, "")</f>
        <v/>
      </c>
      <c r="Y114" s="67" t="str">
        <f>IF(Table_PrescriptLights_Input[[#This Row],[Prescriptive lighting measure]]="", "",Table_PrescriptLights_Input[[#This Row],[Material cost per fixture]]*Table_PrescriptLights_Input[[#This Row],[Number of proposed fixtures]]+Table_PrescriptLights_Input[[#This Row],[Total labor cost]])</f>
        <v/>
      </c>
      <c r="Z114" s="67" t="str">
        <f>IFERROR(Table_PrescriptLights_Input[[#This Row],[Gross measure cost]]-Table_PrescriptLights_Input[[#This Row],[Estimated incentive]], "")</f>
        <v/>
      </c>
      <c r="AA114" s="69" t="str">
        <f t="shared" si="3"/>
        <v/>
      </c>
      <c r="AB114" s="69" t="str">
        <f>IF(ISNUMBER(Table_PrescriptLights_Input[[#This Row],[Detailed Fixture Calculation Wattage]]), "Detailed", "General")</f>
        <v>General</v>
      </c>
      <c r="AC114" s="53" t="e">
        <f>INDEX(Table_IntExt_Match[Measure Selection List], MATCH(Table_PrescriptLights_Input[[#This Row],[Interior or exterior?]], Table_IntExt_Match[Inetrior or Exterior], 0))</f>
        <v>#N/A</v>
      </c>
      <c r="AD114" s="53" t="e">
        <f>INDEX(Table_Prescript_Meas[Unit], MATCH(C114, Table_Prescript_Meas[Measure Number], 0))</f>
        <v>#N/A</v>
      </c>
      <c r="AE114" s="53" t="e">
        <f>INDEX(Table_Prescript_Meas[Lighting Type Selection List], MATCH(C114, Table_Prescript_Meas[Measure Number], 0))</f>
        <v>#N/A</v>
      </c>
      <c r="AF114" s="53" t="e">
        <f>INDEX(Table_Prescript_Meas[AOH Type], MATCH(Table_PrescriptLights_Input[[#This Row],[Measure number]], Table_Prescript_Meas[Measure Number],0))</f>
        <v>#N/A</v>
      </c>
      <c r="AG114"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14" s="53" t="str">
        <f>_xlfn.CONCAT(Table_PrescriptLights_Input[[#This Row],[Existing lighting type]],":",Table_PrescriptLights_Input[[#This Row],[Existing lamps per fixture]], ":",Table_PrescriptLights_Input[[#This Row],[Existing lamp wattage]])</f>
        <v>::</v>
      </c>
      <c r="AI114" s="53" t="e">
        <f>INDEX(Table_TRM_Fixtures[Fixture Code], MATCH(Table_PrescriptLights_Input[[#This Row],[Detailed Baseline Fixture Lookup]], Table_TRM_Fixtures[Detailed Prescriptive Baseline Fixture Lookup], 0))</f>
        <v>#N/A</v>
      </c>
      <c r="AJ114" s="53" t="e">
        <f>INDEX(Table_TRM_Fixtures[Fixture Wattage for Baseline Calculations],MATCH(Table_PrescriptLights_Input[[#This Row],[Detailed Baseline Fixture Lookup]], Table_TRM_Fixtures[Detailed Prescriptive Baseline Fixture Lookup],0))</f>
        <v>#N/A</v>
      </c>
      <c r="AK114" s="127" t="e">
        <f>INDEX(Table_Bldg_IEFD_IEFC[IEFE], MATCH( Input_HVACType,Table_Bldg_IEFD_IEFC[List_HVAC], 0))</f>
        <v>#N/A</v>
      </c>
      <c r="AL114" s="127" t="e">
        <f>INDEX( Table_Bldg_IEFD_IEFC[IEFE],MATCH( Input_HVACType, Table_Bldg_IEFD_IEFC[List_HVAC],0 ))</f>
        <v>#N/A</v>
      </c>
      <c r="AM114" s="127" t="e">
        <f>INDEX(Table_Control_PAF[PAF], MATCH(Table_PrescriptLights_Input[[#This Row],[Existing controls]], Table_Control_PAF[List_Control_Types], 0 ) )</f>
        <v>#N/A</v>
      </c>
      <c r="AN114"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14"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14"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14" s="53">
        <f>IFERROR(LEFT(Table_PrescriptLights_Input[[#This Row],[Existing lighting type]], FIND(",",Table_PrescriptLights_Input[[#This Row],[Existing lighting type]])-1), Table_PrescriptLights_Input[[#This Row],[Existing lighting type]])</f>
        <v>0</v>
      </c>
      <c r="AR114" s="53" t="str">
        <f>_xlfn.CONCAT(Table_PrescriptLights_Input[[#This Row],[Generalized Fixture Type]], ":",Table_PrescriptLights_Input[[#This Row],[Existing lamps per fixture]],":",Table_PrescriptLights_Input[[#This Row],[Existing lamp wattage]])</f>
        <v>0::</v>
      </c>
      <c r="AS114" s="53" t="e">
        <f>INDEX(Table_TRM_Fixtures[Fixture Code], MATCH(Table_PrescriptLights_Input[[#This Row],[Generalized Fixture Baseline Lookup]], Table_TRM_Fixtures[Generalized Baseline Fixture Lookup], 0))</f>
        <v>#N/A</v>
      </c>
      <c r="AT114"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14"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14"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14"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14"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14" s="53" t="e">
        <f>IFERROR(Table_PrescriptLights_Input[[#This Row],[Detailed Baseline Fixture Code]],Table_PrescriptLights_Input[[#This Row],[Generalized Baseline Fixture Code]])</f>
        <v>#N/A</v>
      </c>
      <c r="AZ114" s="4"/>
      <c r="BA114" s="4"/>
      <c r="BB114" s="4"/>
      <c r="BC114" s="4"/>
      <c r="BD114" s="4"/>
      <c r="BE114" s="4"/>
      <c r="BF114" s="4"/>
      <c r="BG114" s="4"/>
      <c r="BH114" s="4"/>
      <c r="BI114" s="4"/>
      <c r="BJ114" s="4"/>
      <c r="BK114" s="4"/>
      <c r="BL114" s="4"/>
      <c r="BM114" s="4"/>
      <c r="BN114" s="4"/>
      <c r="BO114" s="4"/>
      <c r="BP114" s="4"/>
      <c r="BQ114" s="4"/>
    </row>
    <row r="115" spans="1:69" x14ac:dyDescent="0.2">
      <c r="A115" s="4"/>
      <c r="B115" s="189">
        <v>111</v>
      </c>
      <c r="C115" s="61" t="str">
        <f>IFERROR(INDEX(Table_Prescript_Meas[Measure Number], MATCH(Table_PrescriptLights_Input[[#This Row],[Prescriptive lighting measure]], Table_Prescript_Meas[Measure Description], 0)), "")</f>
        <v/>
      </c>
      <c r="D115" s="192"/>
      <c r="E115" s="179"/>
      <c r="F115" s="179"/>
      <c r="G115" s="61" t="str">
        <f>IFERROR(INDEX(Table_Prescript_Meas[Unit], MATCH(Table_PrescriptLights_Input[[#This Row],[Measure number]], Table_Prescript_Meas[Measure Number], 0)), "")</f>
        <v/>
      </c>
      <c r="H115" s="180"/>
      <c r="I115" s="179"/>
      <c r="J115" s="179"/>
      <c r="K115" s="180"/>
      <c r="L115" s="179"/>
      <c r="M115" s="180"/>
      <c r="N115" s="180"/>
      <c r="O115" s="180"/>
      <c r="P115" s="180"/>
      <c r="Q115" s="180"/>
      <c r="R115" s="181"/>
      <c r="S115" s="181"/>
      <c r="T115"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15"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15" s="69" t="str">
        <f>IF(Table_PrescriptLights_Input[[#This Row],[Prescriptive lighting measure]]="","",Table_PrescriptLights_Input[[#This Row],[Calculated Energy Savings]])</f>
        <v/>
      </c>
      <c r="W115" s="73" t="str">
        <f>IF(Table_PrescriptLights_Input[[#This Row],[Prescriptive lighting measure]]="","",Table_PrescriptLights_Input[[#This Row],[Calculated Demand Savings]])</f>
        <v/>
      </c>
      <c r="X115" s="67" t="str">
        <f>IFERROR(Table_PrescriptLights_Input[[#This Row],[Energy savings (kWh)]]*Input_AvgkWhRate, "")</f>
        <v/>
      </c>
      <c r="Y115" s="67" t="str">
        <f>IF(Table_PrescriptLights_Input[[#This Row],[Prescriptive lighting measure]]="", "",Table_PrescriptLights_Input[[#This Row],[Material cost per fixture]]*Table_PrescriptLights_Input[[#This Row],[Number of proposed fixtures]]+Table_PrescriptLights_Input[[#This Row],[Total labor cost]])</f>
        <v/>
      </c>
      <c r="Z115" s="67" t="str">
        <f>IFERROR(Table_PrescriptLights_Input[[#This Row],[Gross measure cost]]-Table_PrescriptLights_Input[[#This Row],[Estimated incentive]], "")</f>
        <v/>
      </c>
      <c r="AA115" s="69" t="str">
        <f t="shared" si="3"/>
        <v/>
      </c>
      <c r="AB115" s="69" t="str">
        <f>IF(ISNUMBER(Table_PrescriptLights_Input[[#This Row],[Detailed Fixture Calculation Wattage]]), "Detailed", "General")</f>
        <v>General</v>
      </c>
      <c r="AC115" s="53" t="e">
        <f>INDEX(Table_IntExt_Match[Measure Selection List], MATCH(Table_PrescriptLights_Input[[#This Row],[Interior or exterior?]], Table_IntExt_Match[Inetrior or Exterior], 0))</f>
        <v>#N/A</v>
      </c>
      <c r="AD115" s="53" t="e">
        <f>INDEX(Table_Prescript_Meas[Unit], MATCH(C115, Table_Prescript_Meas[Measure Number], 0))</f>
        <v>#N/A</v>
      </c>
      <c r="AE115" s="53" t="e">
        <f>INDEX(Table_Prescript_Meas[Lighting Type Selection List], MATCH(C115, Table_Prescript_Meas[Measure Number], 0))</f>
        <v>#N/A</v>
      </c>
      <c r="AF115" s="53" t="e">
        <f>INDEX(Table_Prescript_Meas[AOH Type], MATCH(Table_PrescriptLights_Input[[#This Row],[Measure number]], Table_Prescript_Meas[Measure Number],0))</f>
        <v>#N/A</v>
      </c>
      <c r="AG115"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15" s="53" t="str">
        <f>_xlfn.CONCAT(Table_PrescriptLights_Input[[#This Row],[Existing lighting type]],":",Table_PrescriptLights_Input[[#This Row],[Existing lamps per fixture]], ":",Table_PrescriptLights_Input[[#This Row],[Existing lamp wattage]])</f>
        <v>::</v>
      </c>
      <c r="AI115" s="53" t="e">
        <f>INDEX(Table_TRM_Fixtures[Fixture Code], MATCH(Table_PrescriptLights_Input[[#This Row],[Detailed Baseline Fixture Lookup]], Table_TRM_Fixtures[Detailed Prescriptive Baseline Fixture Lookup], 0))</f>
        <v>#N/A</v>
      </c>
      <c r="AJ115" s="53" t="e">
        <f>INDEX(Table_TRM_Fixtures[Fixture Wattage for Baseline Calculations],MATCH(Table_PrescriptLights_Input[[#This Row],[Detailed Baseline Fixture Lookup]], Table_TRM_Fixtures[Detailed Prescriptive Baseline Fixture Lookup],0))</f>
        <v>#N/A</v>
      </c>
      <c r="AK115" s="127" t="e">
        <f>INDEX(Table_Bldg_IEFD_IEFC[IEFE], MATCH( Input_HVACType,Table_Bldg_IEFD_IEFC[List_HVAC], 0))</f>
        <v>#N/A</v>
      </c>
      <c r="AL115" s="127" t="e">
        <f>INDEX( Table_Bldg_IEFD_IEFC[IEFE],MATCH( Input_HVACType, Table_Bldg_IEFD_IEFC[List_HVAC],0 ))</f>
        <v>#N/A</v>
      </c>
      <c r="AM115" s="127" t="e">
        <f>INDEX(Table_Control_PAF[PAF], MATCH(Table_PrescriptLights_Input[[#This Row],[Existing controls]], Table_Control_PAF[List_Control_Types], 0 ) )</f>
        <v>#N/A</v>
      </c>
      <c r="AN115"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15"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15"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15" s="53">
        <f>IFERROR(LEFT(Table_PrescriptLights_Input[[#This Row],[Existing lighting type]], FIND(",",Table_PrescriptLights_Input[[#This Row],[Existing lighting type]])-1), Table_PrescriptLights_Input[[#This Row],[Existing lighting type]])</f>
        <v>0</v>
      </c>
      <c r="AR115" s="53" t="str">
        <f>_xlfn.CONCAT(Table_PrescriptLights_Input[[#This Row],[Generalized Fixture Type]], ":",Table_PrescriptLights_Input[[#This Row],[Existing lamps per fixture]],":",Table_PrescriptLights_Input[[#This Row],[Existing lamp wattage]])</f>
        <v>0::</v>
      </c>
      <c r="AS115" s="53" t="e">
        <f>INDEX(Table_TRM_Fixtures[Fixture Code], MATCH(Table_PrescriptLights_Input[[#This Row],[Generalized Fixture Baseline Lookup]], Table_TRM_Fixtures[Generalized Baseline Fixture Lookup], 0))</f>
        <v>#N/A</v>
      </c>
      <c r="AT115"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15"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15"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15"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15"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15" s="53" t="e">
        <f>IFERROR(Table_PrescriptLights_Input[[#This Row],[Detailed Baseline Fixture Code]],Table_PrescriptLights_Input[[#This Row],[Generalized Baseline Fixture Code]])</f>
        <v>#N/A</v>
      </c>
      <c r="AZ115" s="4"/>
      <c r="BA115" s="4"/>
      <c r="BB115" s="4"/>
      <c r="BC115" s="4"/>
      <c r="BD115" s="4"/>
      <c r="BE115" s="4"/>
      <c r="BF115" s="4"/>
      <c r="BG115" s="4"/>
      <c r="BH115" s="4"/>
      <c r="BI115" s="4"/>
      <c r="BJ115" s="4"/>
      <c r="BK115" s="4"/>
      <c r="BL115" s="4"/>
      <c r="BM115" s="4"/>
      <c r="BN115" s="4"/>
      <c r="BO115" s="4"/>
      <c r="BP115" s="4"/>
      <c r="BQ115" s="4"/>
    </row>
    <row r="116" spans="1:69" x14ac:dyDescent="0.2">
      <c r="A116" s="4"/>
      <c r="B116" s="189">
        <v>112</v>
      </c>
      <c r="C116" s="61" t="str">
        <f>IFERROR(INDEX(Table_Prescript_Meas[Measure Number], MATCH(Table_PrescriptLights_Input[[#This Row],[Prescriptive lighting measure]], Table_Prescript_Meas[Measure Description], 0)), "")</f>
        <v/>
      </c>
      <c r="D116" s="192"/>
      <c r="E116" s="179"/>
      <c r="F116" s="179"/>
      <c r="G116" s="61" t="str">
        <f>IFERROR(INDEX(Table_Prescript_Meas[Unit], MATCH(Table_PrescriptLights_Input[[#This Row],[Measure number]], Table_Prescript_Meas[Measure Number], 0)), "")</f>
        <v/>
      </c>
      <c r="H116" s="180"/>
      <c r="I116" s="179"/>
      <c r="J116" s="179"/>
      <c r="K116" s="180"/>
      <c r="L116" s="179"/>
      <c r="M116" s="180"/>
      <c r="N116" s="180"/>
      <c r="O116" s="180"/>
      <c r="P116" s="180"/>
      <c r="Q116" s="180"/>
      <c r="R116" s="181"/>
      <c r="S116" s="181"/>
      <c r="T116"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16"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16" s="69" t="str">
        <f>IF(Table_PrescriptLights_Input[[#This Row],[Prescriptive lighting measure]]="","",Table_PrescriptLights_Input[[#This Row],[Calculated Energy Savings]])</f>
        <v/>
      </c>
      <c r="W116" s="73" t="str">
        <f>IF(Table_PrescriptLights_Input[[#This Row],[Prescriptive lighting measure]]="","",Table_PrescriptLights_Input[[#This Row],[Calculated Demand Savings]])</f>
        <v/>
      </c>
      <c r="X116" s="67" t="str">
        <f>IFERROR(Table_PrescriptLights_Input[[#This Row],[Energy savings (kWh)]]*Input_AvgkWhRate, "")</f>
        <v/>
      </c>
      <c r="Y116" s="67" t="str">
        <f>IF(Table_PrescriptLights_Input[[#This Row],[Prescriptive lighting measure]]="", "",Table_PrescriptLights_Input[[#This Row],[Material cost per fixture]]*Table_PrescriptLights_Input[[#This Row],[Number of proposed fixtures]]+Table_PrescriptLights_Input[[#This Row],[Total labor cost]])</f>
        <v/>
      </c>
      <c r="Z116" s="67" t="str">
        <f>IFERROR(Table_PrescriptLights_Input[[#This Row],[Gross measure cost]]-Table_PrescriptLights_Input[[#This Row],[Estimated incentive]], "")</f>
        <v/>
      </c>
      <c r="AA116" s="69" t="str">
        <f t="shared" si="3"/>
        <v/>
      </c>
      <c r="AB116" s="69" t="str">
        <f>IF(ISNUMBER(Table_PrescriptLights_Input[[#This Row],[Detailed Fixture Calculation Wattage]]), "Detailed", "General")</f>
        <v>General</v>
      </c>
      <c r="AC116" s="53" t="e">
        <f>INDEX(Table_IntExt_Match[Measure Selection List], MATCH(Table_PrescriptLights_Input[[#This Row],[Interior or exterior?]], Table_IntExt_Match[Inetrior or Exterior], 0))</f>
        <v>#N/A</v>
      </c>
      <c r="AD116" s="53" t="e">
        <f>INDEX(Table_Prescript_Meas[Unit], MATCH(C116, Table_Prescript_Meas[Measure Number], 0))</f>
        <v>#N/A</v>
      </c>
      <c r="AE116" s="53" t="e">
        <f>INDEX(Table_Prescript_Meas[Lighting Type Selection List], MATCH(C116, Table_Prescript_Meas[Measure Number], 0))</f>
        <v>#N/A</v>
      </c>
      <c r="AF116" s="53" t="e">
        <f>INDEX(Table_Prescript_Meas[AOH Type], MATCH(Table_PrescriptLights_Input[[#This Row],[Measure number]], Table_Prescript_Meas[Measure Number],0))</f>
        <v>#N/A</v>
      </c>
      <c r="AG116"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16" s="53" t="str">
        <f>_xlfn.CONCAT(Table_PrescriptLights_Input[[#This Row],[Existing lighting type]],":",Table_PrescriptLights_Input[[#This Row],[Existing lamps per fixture]], ":",Table_PrescriptLights_Input[[#This Row],[Existing lamp wattage]])</f>
        <v>::</v>
      </c>
      <c r="AI116" s="53" t="e">
        <f>INDEX(Table_TRM_Fixtures[Fixture Code], MATCH(Table_PrescriptLights_Input[[#This Row],[Detailed Baseline Fixture Lookup]], Table_TRM_Fixtures[Detailed Prescriptive Baseline Fixture Lookup], 0))</f>
        <v>#N/A</v>
      </c>
      <c r="AJ116" s="53" t="e">
        <f>INDEX(Table_TRM_Fixtures[Fixture Wattage for Baseline Calculations],MATCH(Table_PrescriptLights_Input[[#This Row],[Detailed Baseline Fixture Lookup]], Table_TRM_Fixtures[Detailed Prescriptive Baseline Fixture Lookup],0))</f>
        <v>#N/A</v>
      </c>
      <c r="AK116" s="127" t="e">
        <f>INDEX(Table_Bldg_IEFD_IEFC[IEFE], MATCH( Input_HVACType,Table_Bldg_IEFD_IEFC[List_HVAC], 0))</f>
        <v>#N/A</v>
      </c>
      <c r="AL116" s="127" t="e">
        <f>INDEX( Table_Bldg_IEFD_IEFC[IEFE],MATCH( Input_HVACType, Table_Bldg_IEFD_IEFC[List_HVAC],0 ))</f>
        <v>#N/A</v>
      </c>
      <c r="AM116" s="127" t="e">
        <f>INDEX(Table_Control_PAF[PAF], MATCH(Table_PrescriptLights_Input[[#This Row],[Existing controls]], Table_Control_PAF[List_Control_Types], 0 ) )</f>
        <v>#N/A</v>
      </c>
      <c r="AN116"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16"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16"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16" s="53">
        <f>IFERROR(LEFT(Table_PrescriptLights_Input[[#This Row],[Existing lighting type]], FIND(",",Table_PrescriptLights_Input[[#This Row],[Existing lighting type]])-1), Table_PrescriptLights_Input[[#This Row],[Existing lighting type]])</f>
        <v>0</v>
      </c>
      <c r="AR116" s="53" t="str">
        <f>_xlfn.CONCAT(Table_PrescriptLights_Input[[#This Row],[Generalized Fixture Type]], ":",Table_PrescriptLights_Input[[#This Row],[Existing lamps per fixture]],":",Table_PrescriptLights_Input[[#This Row],[Existing lamp wattage]])</f>
        <v>0::</v>
      </c>
      <c r="AS116" s="53" t="e">
        <f>INDEX(Table_TRM_Fixtures[Fixture Code], MATCH(Table_PrescriptLights_Input[[#This Row],[Generalized Fixture Baseline Lookup]], Table_TRM_Fixtures[Generalized Baseline Fixture Lookup], 0))</f>
        <v>#N/A</v>
      </c>
      <c r="AT116"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16"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16"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16"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16"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16" s="53" t="e">
        <f>IFERROR(Table_PrescriptLights_Input[[#This Row],[Detailed Baseline Fixture Code]],Table_PrescriptLights_Input[[#This Row],[Generalized Baseline Fixture Code]])</f>
        <v>#N/A</v>
      </c>
      <c r="AZ116" s="4"/>
      <c r="BA116" s="4"/>
      <c r="BB116" s="4"/>
      <c r="BC116" s="4"/>
      <c r="BD116" s="4"/>
      <c r="BE116" s="4"/>
      <c r="BF116" s="4"/>
      <c r="BG116" s="4"/>
      <c r="BH116" s="4"/>
      <c r="BI116" s="4"/>
      <c r="BJ116" s="4"/>
      <c r="BK116" s="4"/>
      <c r="BL116" s="4"/>
      <c r="BM116" s="4"/>
      <c r="BN116" s="4"/>
      <c r="BO116" s="4"/>
      <c r="BP116" s="4"/>
      <c r="BQ116" s="4"/>
    </row>
    <row r="117" spans="1:69" x14ac:dyDescent="0.2">
      <c r="A117" s="4"/>
      <c r="B117" s="189">
        <v>113</v>
      </c>
      <c r="C117" s="61" t="str">
        <f>IFERROR(INDEX(Table_Prescript_Meas[Measure Number], MATCH(Table_PrescriptLights_Input[[#This Row],[Prescriptive lighting measure]], Table_Prescript_Meas[Measure Description], 0)), "")</f>
        <v/>
      </c>
      <c r="D117" s="192"/>
      <c r="E117" s="179"/>
      <c r="F117" s="179"/>
      <c r="G117" s="61" t="str">
        <f>IFERROR(INDEX(Table_Prescript_Meas[Unit], MATCH(Table_PrescriptLights_Input[[#This Row],[Measure number]], Table_Prescript_Meas[Measure Number], 0)), "")</f>
        <v/>
      </c>
      <c r="H117" s="180"/>
      <c r="I117" s="179"/>
      <c r="J117" s="179"/>
      <c r="K117" s="180"/>
      <c r="L117" s="179"/>
      <c r="M117" s="180"/>
      <c r="N117" s="180"/>
      <c r="O117" s="180"/>
      <c r="P117" s="180"/>
      <c r="Q117" s="180"/>
      <c r="R117" s="181"/>
      <c r="S117" s="181"/>
      <c r="T117"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17"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17" s="69" t="str">
        <f>IF(Table_PrescriptLights_Input[[#This Row],[Prescriptive lighting measure]]="","",Table_PrescriptLights_Input[[#This Row],[Calculated Energy Savings]])</f>
        <v/>
      </c>
      <c r="W117" s="73" t="str">
        <f>IF(Table_PrescriptLights_Input[[#This Row],[Prescriptive lighting measure]]="","",Table_PrescriptLights_Input[[#This Row],[Calculated Demand Savings]])</f>
        <v/>
      </c>
      <c r="X117" s="67" t="str">
        <f>IFERROR(Table_PrescriptLights_Input[[#This Row],[Energy savings (kWh)]]*Input_AvgkWhRate, "")</f>
        <v/>
      </c>
      <c r="Y117" s="67" t="str">
        <f>IF(Table_PrescriptLights_Input[[#This Row],[Prescriptive lighting measure]]="", "",Table_PrescriptLights_Input[[#This Row],[Material cost per fixture]]*Table_PrescriptLights_Input[[#This Row],[Number of proposed fixtures]]+Table_PrescriptLights_Input[[#This Row],[Total labor cost]])</f>
        <v/>
      </c>
      <c r="Z117" s="67" t="str">
        <f>IFERROR(Table_PrescriptLights_Input[[#This Row],[Gross measure cost]]-Table_PrescriptLights_Input[[#This Row],[Estimated incentive]], "")</f>
        <v/>
      </c>
      <c r="AA117" s="69" t="str">
        <f t="shared" si="3"/>
        <v/>
      </c>
      <c r="AB117" s="69" t="str">
        <f>IF(ISNUMBER(Table_PrescriptLights_Input[[#This Row],[Detailed Fixture Calculation Wattage]]), "Detailed", "General")</f>
        <v>General</v>
      </c>
      <c r="AC117" s="53" t="e">
        <f>INDEX(Table_IntExt_Match[Measure Selection List], MATCH(Table_PrescriptLights_Input[[#This Row],[Interior or exterior?]], Table_IntExt_Match[Inetrior or Exterior], 0))</f>
        <v>#N/A</v>
      </c>
      <c r="AD117" s="53" t="e">
        <f>INDEX(Table_Prescript_Meas[Unit], MATCH(C117, Table_Prescript_Meas[Measure Number], 0))</f>
        <v>#N/A</v>
      </c>
      <c r="AE117" s="53" t="e">
        <f>INDEX(Table_Prescript_Meas[Lighting Type Selection List], MATCH(C117, Table_Prescript_Meas[Measure Number], 0))</f>
        <v>#N/A</v>
      </c>
      <c r="AF117" s="53" t="e">
        <f>INDEX(Table_Prescript_Meas[AOH Type], MATCH(Table_PrescriptLights_Input[[#This Row],[Measure number]], Table_Prescript_Meas[Measure Number],0))</f>
        <v>#N/A</v>
      </c>
      <c r="AG117"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17" s="53" t="str">
        <f>_xlfn.CONCAT(Table_PrescriptLights_Input[[#This Row],[Existing lighting type]],":",Table_PrescriptLights_Input[[#This Row],[Existing lamps per fixture]], ":",Table_PrescriptLights_Input[[#This Row],[Existing lamp wattage]])</f>
        <v>::</v>
      </c>
      <c r="AI117" s="53" t="e">
        <f>INDEX(Table_TRM_Fixtures[Fixture Code], MATCH(Table_PrescriptLights_Input[[#This Row],[Detailed Baseline Fixture Lookup]], Table_TRM_Fixtures[Detailed Prescriptive Baseline Fixture Lookup], 0))</f>
        <v>#N/A</v>
      </c>
      <c r="AJ117" s="53" t="e">
        <f>INDEX(Table_TRM_Fixtures[Fixture Wattage for Baseline Calculations],MATCH(Table_PrescriptLights_Input[[#This Row],[Detailed Baseline Fixture Lookup]], Table_TRM_Fixtures[Detailed Prescriptive Baseline Fixture Lookup],0))</f>
        <v>#N/A</v>
      </c>
      <c r="AK117" s="127" t="e">
        <f>INDEX(Table_Bldg_IEFD_IEFC[IEFE], MATCH( Input_HVACType,Table_Bldg_IEFD_IEFC[List_HVAC], 0))</f>
        <v>#N/A</v>
      </c>
      <c r="AL117" s="127" t="e">
        <f>INDEX( Table_Bldg_IEFD_IEFC[IEFE],MATCH( Input_HVACType, Table_Bldg_IEFD_IEFC[List_HVAC],0 ))</f>
        <v>#N/A</v>
      </c>
      <c r="AM117" s="127" t="e">
        <f>INDEX(Table_Control_PAF[PAF], MATCH(Table_PrescriptLights_Input[[#This Row],[Existing controls]], Table_Control_PAF[List_Control_Types], 0 ) )</f>
        <v>#N/A</v>
      </c>
      <c r="AN117"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17"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17"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17" s="53">
        <f>IFERROR(LEFT(Table_PrescriptLights_Input[[#This Row],[Existing lighting type]], FIND(",",Table_PrescriptLights_Input[[#This Row],[Existing lighting type]])-1), Table_PrescriptLights_Input[[#This Row],[Existing lighting type]])</f>
        <v>0</v>
      </c>
      <c r="AR117" s="53" t="str">
        <f>_xlfn.CONCAT(Table_PrescriptLights_Input[[#This Row],[Generalized Fixture Type]], ":",Table_PrescriptLights_Input[[#This Row],[Existing lamps per fixture]],":",Table_PrescriptLights_Input[[#This Row],[Existing lamp wattage]])</f>
        <v>0::</v>
      </c>
      <c r="AS117" s="53" t="e">
        <f>INDEX(Table_TRM_Fixtures[Fixture Code], MATCH(Table_PrescriptLights_Input[[#This Row],[Generalized Fixture Baseline Lookup]], Table_TRM_Fixtures[Generalized Baseline Fixture Lookup], 0))</f>
        <v>#N/A</v>
      </c>
      <c r="AT117"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17"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17"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17"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17"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17" s="53" t="e">
        <f>IFERROR(Table_PrescriptLights_Input[[#This Row],[Detailed Baseline Fixture Code]],Table_PrescriptLights_Input[[#This Row],[Generalized Baseline Fixture Code]])</f>
        <v>#N/A</v>
      </c>
      <c r="AZ117" s="4"/>
      <c r="BA117" s="4"/>
      <c r="BB117" s="4"/>
      <c r="BC117" s="4"/>
      <c r="BD117" s="4"/>
      <c r="BE117" s="4"/>
      <c r="BF117" s="4"/>
      <c r="BG117" s="4"/>
      <c r="BH117" s="4"/>
      <c r="BI117" s="4"/>
      <c r="BJ117" s="4"/>
      <c r="BK117" s="4"/>
      <c r="BL117" s="4"/>
      <c r="BM117" s="4"/>
      <c r="BN117" s="4"/>
      <c r="BO117" s="4"/>
      <c r="BP117" s="4"/>
      <c r="BQ117" s="4"/>
    </row>
    <row r="118" spans="1:69" x14ac:dyDescent="0.2">
      <c r="A118" s="4"/>
      <c r="B118" s="189">
        <v>114</v>
      </c>
      <c r="C118" s="61" t="str">
        <f>IFERROR(INDEX(Table_Prescript_Meas[Measure Number], MATCH(Table_PrescriptLights_Input[[#This Row],[Prescriptive lighting measure]], Table_Prescript_Meas[Measure Description], 0)), "")</f>
        <v/>
      </c>
      <c r="D118" s="192"/>
      <c r="E118" s="179"/>
      <c r="F118" s="179"/>
      <c r="G118" s="61" t="str">
        <f>IFERROR(INDEX(Table_Prescript_Meas[Unit], MATCH(Table_PrescriptLights_Input[[#This Row],[Measure number]], Table_Prescript_Meas[Measure Number], 0)), "")</f>
        <v/>
      </c>
      <c r="H118" s="180"/>
      <c r="I118" s="179"/>
      <c r="J118" s="179"/>
      <c r="K118" s="180"/>
      <c r="L118" s="179"/>
      <c r="M118" s="180"/>
      <c r="N118" s="180"/>
      <c r="O118" s="180"/>
      <c r="P118" s="180"/>
      <c r="Q118" s="180"/>
      <c r="R118" s="181"/>
      <c r="S118" s="181"/>
      <c r="T118"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18"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18" s="69" t="str">
        <f>IF(Table_PrescriptLights_Input[[#This Row],[Prescriptive lighting measure]]="","",Table_PrescriptLights_Input[[#This Row],[Calculated Energy Savings]])</f>
        <v/>
      </c>
      <c r="W118" s="73" t="str">
        <f>IF(Table_PrescriptLights_Input[[#This Row],[Prescriptive lighting measure]]="","",Table_PrescriptLights_Input[[#This Row],[Calculated Demand Savings]])</f>
        <v/>
      </c>
      <c r="X118" s="67" t="str">
        <f>IFERROR(Table_PrescriptLights_Input[[#This Row],[Energy savings (kWh)]]*Input_AvgkWhRate, "")</f>
        <v/>
      </c>
      <c r="Y118" s="67" t="str">
        <f>IF(Table_PrescriptLights_Input[[#This Row],[Prescriptive lighting measure]]="", "",Table_PrescriptLights_Input[[#This Row],[Material cost per fixture]]*Table_PrescriptLights_Input[[#This Row],[Number of proposed fixtures]]+Table_PrescriptLights_Input[[#This Row],[Total labor cost]])</f>
        <v/>
      </c>
      <c r="Z118" s="67" t="str">
        <f>IFERROR(Table_PrescriptLights_Input[[#This Row],[Gross measure cost]]-Table_PrescriptLights_Input[[#This Row],[Estimated incentive]], "")</f>
        <v/>
      </c>
      <c r="AA118" s="69" t="str">
        <f t="shared" si="3"/>
        <v/>
      </c>
      <c r="AB118" s="69" t="str">
        <f>IF(ISNUMBER(Table_PrescriptLights_Input[[#This Row],[Detailed Fixture Calculation Wattage]]), "Detailed", "General")</f>
        <v>General</v>
      </c>
      <c r="AC118" s="53" t="e">
        <f>INDEX(Table_IntExt_Match[Measure Selection List], MATCH(Table_PrescriptLights_Input[[#This Row],[Interior or exterior?]], Table_IntExt_Match[Inetrior or Exterior], 0))</f>
        <v>#N/A</v>
      </c>
      <c r="AD118" s="53" t="e">
        <f>INDEX(Table_Prescript_Meas[Unit], MATCH(C118, Table_Prescript_Meas[Measure Number], 0))</f>
        <v>#N/A</v>
      </c>
      <c r="AE118" s="53" t="e">
        <f>INDEX(Table_Prescript_Meas[Lighting Type Selection List], MATCH(C118, Table_Prescript_Meas[Measure Number], 0))</f>
        <v>#N/A</v>
      </c>
      <c r="AF118" s="53" t="e">
        <f>INDEX(Table_Prescript_Meas[AOH Type], MATCH(Table_PrescriptLights_Input[[#This Row],[Measure number]], Table_Prescript_Meas[Measure Number],0))</f>
        <v>#N/A</v>
      </c>
      <c r="AG118"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18" s="53" t="str">
        <f>_xlfn.CONCAT(Table_PrescriptLights_Input[[#This Row],[Existing lighting type]],":",Table_PrescriptLights_Input[[#This Row],[Existing lamps per fixture]], ":",Table_PrescriptLights_Input[[#This Row],[Existing lamp wattage]])</f>
        <v>::</v>
      </c>
      <c r="AI118" s="53" t="e">
        <f>INDEX(Table_TRM_Fixtures[Fixture Code], MATCH(Table_PrescriptLights_Input[[#This Row],[Detailed Baseline Fixture Lookup]], Table_TRM_Fixtures[Detailed Prescriptive Baseline Fixture Lookup], 0))</f>
        <v>#N/A</v>
      </c>
      <c r="AJ118" s="53" t="e">
        <f>INDEX(Table_TRM_Fixtures[Fixture Wattage for Baseline Calculations],MATCH(Table_PrescriptLights_Input[[#This Row],[Detailed Baseline Fixture Lookup]], Table_TRM_Fixtures[Detailed Prescriptive Baseline Fixture Lookup],0))</f>
        <v>#N/A</v>
      </c>
      <c r="AK118" s="127" t="e">
        <f>INDEX(Table_Bldg_IEFD_IEFC[IEFE], MATCH( Input_HVACType,Table_Bldg_IEFD_IEFC[List_HVAC], 0))</f>
        <v>#N/A</v>
      </c>
      <c r="AL118" s="127" t="e">
        <f>INDEX( Table_Bldg_IEFD_IEFC[IEFE],MATCH( Input_HVACType, Table_Bldg_IEFD_IEFC[List_HVAC],0 ))</f>
        <v>#N/A</v>
      </c>
      <c r="AM118" s="127" t="e">
        <f>INDEX(Table_Control_PAF[PAF], MATCH(Table_PrescriptLights_Input[[#This Row],[Existing controls]], Table_Control_PAF[List_Control_Types], 0 ) )</f>
        <v>#N/A</v>
      </c>
      <c r="AN118"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18"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18"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18" s="53">
        <f>IFERROR(LEFT(Table_PrescriptLights_Input[[#This Row],[Existing lighting type]], FIND(",",Table_PrescriptLights_Input[[#This Row],[Existing lighting type]])-1), Table_PrescriptLights_Input[[#This Row],[Existing lighting type]])</f>
        <v>0</v>
      </c>
      <c r="AR118" s="53" t="str">
        <f>_xlfn.CONCAT(Table_PrescriptLights_Input[[#This Row],[Generalized Fixture Type]], ":",Table_PrescriptLights_Input[[#This Row],[Existing lamps per fixture]],":",Table_PrescriptLights_Input[[#This Row],[Existing lamp wattage]])</f>
        <v>0::</v>
      </c>
      <c r="AS118" s="53" t="e">
        <f>INDEX(Table_TRM_Fixtures[Fixture Code], MATCH(Table_PrescriptLights_Input[[#This Row],[Generalized Fixture Baseline Lookup]], Table_TRM_Fixtures[Generalized Baseline Fixture Lookup], 0))</f>
        <v>#N/A</v>
      </c>
      <c r="AT118"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18"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18"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18"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18"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18" s="53" t="e">
        <f>IFERROR(Table_PrescriptLights_Input[[#This Row],[Detailed Baseline Fixture Code]],Table_PrescriptLights_Input[[#This Row],[Generalized Baseline Fixture Code]])</f>
        <v>#N/A</v>
      </c>
      <c r="AZ118" s="4"/>
      <c r="BA118" s="4"/>
      <c r="BB118" s="4"/>
      <c r="BC118" s="4"/>
      <c r="BD118" s="4"/>
      <c r="BE118" s="4"/>
      <c r="BF118" s="4"/>
      <c r="BG118" s="4"/>
      <c r="BH118" s="4"/>
      <c r="BI118" s="4"/>
      <c r="BJ118" s="4"/>
      <c r="BK118" s="4"/>
      <c r="BL118" s="4"/>
      <c r="BM118" s="4"/>
      <c r="BN118" s="4"/>
      <c r="BO118" s="4"/>
      <c r="BP118" s="4"/>
      <c r="BQ118" s="4"/>
    </row>
    <row r="119" spans="1:69" x14ac:dyDescent="0.2">
      <c r="A119" s="4"/>
      <c r="B119" s="189">
        <v>115</v>
      </c>
      <c r="C119" s="61" t="str">
        <f>IFERROR(INDEX(Table_Prescript_Meas[Measure Number], MATCH(Table_PrescriptLights_Input[[#This Row],[Prescriptive lighting measure]], Table_Prescript_Meas[Measure Description], 0)), "")</f>
        <v/>
      </c>
      <c r="D119" s="192"/>
      <c r="E119" s="179"/>
      <c r="F119" s="179"/>
      <c r="G119" s="61" t="str">
        <f>IFERROR(INDEX(Table_Prescript_Meas[Unit], MATCH(Table_PrescriptLights_Input[[#This Row],[Measure number]], Table_Prescript_Meas[Measure Number], 0)), "")</f>
        <v/>
      </c>
      <c r="H119" s="180"/>
      <c r="I119" s="179"/>
      <c r="J119" s="179"/>
      <c r="K119" s="180"/>
      <c r="L119" s="179"/>
      <c r="M119" s="180"/>
      <c r="N119" s="180"/>
      <c r="O119" s="180"/>
      <c r="P119" s="180"/>
      <c r="Q119" s="180"/>
      <c r="R119" s="181"/>
      <c r="S119" s="181"/>
      <c r="T119"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19"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19" s="69" t="str">
        <f>IF(Table_PrescriptLights_Input[[#This Row],[Prescriptive lighting measure]]="","",Table_PrescriptLights_Input[[#This Row],[Calculated Energy Savings]])</f>
        <v/>
      </c>
      <c r="W119" s="73" t="str">
        <f>IF(Table_PrescriptLights_Input[[#This Row],[Prescriptive lighting measure]]="","",Table_PrescriptLights_Input[[#This Row],[Calculated Demand Savings]])</f>
        <v/>
      </c>
      <c r="X119" s="67" t="str">
        <f>IFERROR(Table_PrescriptLights_Input[[#This Row],[Energy savings (kWh)]]*Input_AvgkWhRate, "")</f>
        <v/>
      </c>
      <c r="Y119" s="67" t="str">
        <f>IF(Table_PrescriptLights_Input[[#This Row],[Prescriptive lighting measure]]="", "",Table_PrescriptLights_Input[[#This Row],[Material cost per fixture]]*Table_PrescriptLights_Input[[#This Row],[Number of proposed fixtures]]+Table_PrescriptLights_Input[[#This Row],[Total labor cost]])</f>
        <v/>
      </c>
      <c r="Z119" s="67" t="str">
        <f>IFERROR(Table_PrescriptLights_Input[[#This Row],[Gross measure cost]]-Table_PrescriptLights_Input[[#This Row],[Estimated incentive]], "")</f>
        <v/>
      </c>
      <c r="AA119" s="69" t="str">
        <f t="shared" si="3"/>
        <v/>
      </c>
      <c r="AB119" s="69" t="str">
        <f>IF(ISNUMBER(Table_PrescriptLights_Input[[#This Row],[Detailed Fixture Calculation Wattage]]), "Detailed", "General")</f>
        <v>General</v>
      </c>
      <c r="AC119" s="53" t="e">
        <f>INDEX(Table_IntExt_Match[Measure Selection List], MATCH(Table_PrescriptLights_Input[[#This Row],[Interior or exterior?]], Table_IntExt_Match[Inetrior or Exterior], 0))</f>
        <v>#N/A</v>
      </c>
      <c r="AD119" s="53" t="e">
        <f>INDEX(Table_Prescript_Meas[Unit], MATCH(C119, Table_Prescript_Meas[Measure Number], 0))</f>
        <v>#N/A</v>
      </c>
      <c r="AE119" s="53" t="e">
        <f>INDEX(Table_Prescript_Meas[Lighting Type Selection List], MATCH(C119, Table_Prescript_Meas[Measure Number], 0))</f>
        <v>#N/A</v>
      </c>
      <c r="AF119" s="53" t="e">
        <f>INDEX(Table_Prescript_Meas[AOH Type], MATCH(Table_PrescriptLights_Input[[#This Row],[Measure number]], Table_Prescript_Meas[Measure Number],0))</f>
        <v>#N/A</v>
      </c>
      <c r="AG119"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19" s="53" t="str">
        <f>_xlfn.CONCAT(Table_PrescriptLights_Input[[#This Row],[Existing lighting type]],":",Table_PrescriptLights_Input[[#This Row],[Existing lamps per fixture]], ":",Table_PrescriptLights_Input[[#This Row],[Existing lamp wattage]])</f>
        <v>::</v>
      </c>
      <c r="AI119" s="53" t="e">
        <f>INDEX(Table_TRM_Fixtures[Fixture Code], MATCH(Table_PrescriptLights_Input[[#This Row],[Detailed Baseline Fixture Lookup]], Table_TRM_Fixtures[Detailed Prescriptive Baseline Fixture Lookup], 0))</f>
        <v>#N/A</v>
      </c>
      <c r="AJ119" s="53" t="e">
        <f>INDEX(Table_TRM_Fixtures[Fixture Wattage for Baseline Calculations],MATCH(Table_PrescriptLights_Input[[#This Row],[Detailed Baseline Fixture Lookup]], Table_TRM_Fixtures[Detailed Prescriptive Baseline Fixture Lookup],0))</f>
        <v>#N/A</v>
      </c>
      <c r="AK119" s="127" t="e">
        <f>INDEX(Table_Bldg_IEFD_IEFC[IEFE], MATCH( Input_HVACType,Table_Bldg_IEFD_IEFC[List_HVAC], 0))</f>
        <v>#N/A</v>
      </c>
      <c r="AL119" s="127" t="e">
        <f>INDEX( Table_Bldg_IEFD_IEFC[IEFE],MATCH( Input_HVACType, Table_Bldg_IEFD_IEFC[List_HVAC],0 ))</f>
        <v>#N/A</v>
      </c>
      <c r="AM119" s="127" t="e">
        <f>INDEX(Table_Control_PAF[PAF], MATCH(Table_PrescriptLights_Input[[#This Row],[Existing controls]], Table_Control_PAF[List_Control_Types], 0 ) )</f>
        <v>#N/A</v>
      </c>
      <c r="AN119"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19"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19"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19" s="53">
        <f>IFERROR(LEFT(Table_PrescriptLights_Input[[#This Row],[Existing lighting type]], FIND(",",Table_PrescriptLights_Input[[#This Row],[Existing lighting type]])-1), Table_PrescriptLights_Input[[#This Row],[Existing lighting type]])</f>
        <v>0</v>
      </c>
      <c r="AR119" s="53" t="str">
        <f>_xlfn.CONCAT(Table_PrescriptLights_Input[[#This Row],[Generalized Fixture Type]], ":",Table_PrescriptLights_Input[[#This Row],[Existing lamps per fixture]],":",Table_PrescriptLights_Input[[#This Row],[Existing lamp wattage]])</f>
        <v>0::</v>
      </c>
      <c r="AS119" s="53" t="e">
        <f>INDEX(Table_TRM_Fixtures[Fixture Code], MATCH(Table_PrescriptLights_Input[[#This Row],[Generalized Fixture Baseline Lookup]], Table_TRM_Fixtures[Generalized Baseline Fixture Lookup], 0))</f>
        <v>#N/A</v>
      </c>
      <c r="AT119"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19"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19"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19"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19"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19" s="53" t="e">
        <f>IFERROR(Table_PrescriptLights_Input[[#This Row],[Detailed Baseline Fixture Code]],Table_PrescriptLights_Input[[#This Row],[Generalized Baseline Fixture Code]])</f>
        <v>#N/A</v>
      </c>
      <c r="AZ119" s="4"/>
      <c r="BA119" s="4"/>
      <c r="BB119" s="4"/>
      <c r="BC119" s="4"/>
      <c r="BD119" s="4"/>
      <c r="BE119" s="4"/>
      <c r="BF119" s="4"/>
      <c r="BG119" s="4"/>
      <c r="BH119" s="4"/>
      <c r="BI119" s="4"/>
      <c r="BJ119" s="4"/>
      <c r="BK119" s="4"/>
      <c r="BL119" s="4"/>
      <c r="BM119" s="4"/>
      <c r="BN119" s="4"/>
      <c r="BO119" s="4"/>
      <c r="BP119" s="4"/>
      <c r="BQ119" s="4"/>
    </row>
    <row r="120" spans="1:69" x14ac:dyDescent="0.2">
      <c r="A120" s="4"/>
      <c r="B120" s="189">
        <v>116</v>
      </c>
      <c r="C120" s="61" t="str">
        <f>IFERROR(INDEX(Table_Prescript_Meas[Measure Number], MATCH(Table_PrescriptLights_Input[[#This Row],[Prescriptive lighting measure]], Table_Prescript_Meas[Measure Description], 0)), "")</f>
        <v/>
      </c>
      <c r="D120" s="192"/>
      <c r="E120" s="179"/>
      <c r="F120" s="179"/>
      <c r="G120" s="61" t="str">
        <f>IFERROR(INDEX(Table_Prescript_Meas[Unit], MATCH(Table_PrescriptLights_Input[[#This Row],[Measure number]], Table_Prescript_Meas[Measure Number], 0)), "")</f>
        <v/>
      </c>
      <c r="H120" s="180"/>
      <c r="I120" s="179"/>
      <c r="J120" s="179"/>
      <c r="K120" s="180"/>
      <c r="L120" s="179"/>
      <c r="M120" s="180"/>
      <c r="N120" s="180"/>
      <c r="O120" s="180"/>
      <c r="P120" s="180"/>
      <c r="Q120" s="180"/>
      <c r="R120" s="181"/>
      <c r="S120" s="181"/>
      <c r="T120"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20"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20" s="69" t="str">
        <f>IF(Table_PrescriptLights_Input[[#This Row],[Prescriptive lighting measure]]="","",Table_PrescriptLights_Input[[#This Row],[Calculated Energy Savings]])</f>
        <v/>
      </c>
      <c r="W120" s="73" t="str">
        <f>IF(Table_PrescriptLights_Input[[#This Row],[Prescriptive lighting measure]]="","",Table_PrescriptLights_Input[[#This Row],[Calculated Demand Savings]])</f>
        <v/>
      </c>
      <c r="X120" s="67" t="str">
        <f>IFERROR(Table_PrescriptLights_Input[[#This Row],[Energy savings (kWh)]]*Input_AvgkWhRate, "")</f>
        <v/>
      </c>
      <c r="Y120" s="67" t="str">
        <f>IF(Table_PrescriptLights_Input[[#This Row],[Prescriptive lighting measure]]="", "",Table_PrescriptLights_Input[[#This Row],[Material cost per fixture]]*Table_PrescriptLights_Input[[#This Row],[Number of proposed fixtures]]+Table_PrescriptLights_Input[[#This Row],[Total labor cost]])</f>
        <v/>
      </c>
      <c r="Z120" s="67" t="str">
        <f>IFERROR(Table_PrescriptLights_Input[[#This Row],[Gross measure cost]]-Table_PrescriptLights_Input[[#This Row],[Estimated incentive]], "")</f>
        <v/>
      </c>
      <c r="AA120" s="69" t="str">
        <f t="shared" si="3"/>
        <v/>
      </c>
      <c r="AB120" s="69" t="str">
        <f>IF(ISNUMBER(Table_PrescriptLights_Input[[#This Row],[Detailed Fixture Calculation Wattage]]), "Detailed", "General")</f>
        <v>General</v>
      </c>
      <c r="AC120" s="53" t="e">
        <f>INDEX(Table_IntExt_Match[Measure Selection List], MATCH(Table_PrescriptLights_Input[[#This Row],[Interior or exterior?]], Table_IntExt_Match[Inetrior or Exterior], 0))</f>
        <v>#N/A</v>
      </c>
      <c r="AD120" s="53" t="e">
        <f>INDEX(Table_Prescript_Meas[Unit], MATCH(C120, Table_Prescript_Meas[Measure Number], 0))</f>
        <v>#N/A</v>
      </c>
      <c r="AE120" s="53" t="e">
        <f>INDEX(Table_Prescript_Meas[Lighting Type Selection List], MATCH(C120, Table_Prescript_Meas[Measure Number], 0))</f>
        <v>#N/A</v>
      </c>
      <c r="AF120" s="53" t="e">
        <f>INDEX(Table_Prescript_Meas[AOH Type], MATCH(Table_PrescriptLights_Input[[#This Row],[Measure number]], Table_Prescript_Meas[Measure Number],0))</f>
        <v>#N/A</v>
      </c>
      <c r="AG120"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20" s="53" t="str">
        <f>_xlfn.CONCAT(Table_PrescriptLights_Input[[#This Row],[Existing lighting type]],":",Table_PrescriptLights_Input[[#This Row],[Existing lamps per fixture]], ":",Table_PrescriptLights_Input[[#This Row],[Existing lamp wattage]])</f>
        <v>::</v>
      </c>
      <c r="AI120" s="53" t="e">
        <f>INDEX(Table_TRM_Fixtures[Fixture Code], MATCH(Table_PrescriptLights_Input[[#This Row],[Detailed Baseline Fixture Lookup]], Table_TRM_Fixtures[Detailed Prescriptive Baseline Fixture Lookup], 0))</f>
        <v>#N/A</v>
      </c>
      <c r="AJ120" s="53" t="e">
        <f>INDEX(Table_TRM_Fixtures[Fixture Wattage for Baseline Calculations],MATCH(Table_PrescriptLights_Input[[#This Row],[Detailed Baseline Fixture Lookup]], Table_TRM_Fixtures[Detailed Prescriptive Baseline Fixture Lookup],0))</f>
        <v>#N/A</v>
      </c>
      <c r="AK120" s="127" t="e">
        <f>INDEX(Table_Bldg_IEFD_IEFC[IEFE], MATCH( Input_HVACType,Table_Bldg_IEFD_IEFC[List_HVAC], 0))</f>
        <v>#N/A</v>
      </c>
      <c r="AL120" s="127" t="e">
        <f>INDEX( Table_Bldg_IEFD_IEFC[IEFE],MATCH( Input_HVACType, Table_Bldg_IEFD_IEFC[List_HVAC],0 ))</f>
        <v>#N/A</v>
      </c>
      <c r="AM120" s="127" t="e">
        <f>INDEX(Table_Control_PAF[PAF], MATCH(Table_PrescriptLights_Input[[#This Row],[Existing controls]], Table_Control_PAF[List_Control_Types], 0 ) )</f>
        <v>#N/A</v>
      </c>
      <c r="AN120"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20"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20"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20" s="53">
        <f>IFERROR(LEFT(Table_PrescriptLights_Input[[#This Row],[Existing lighting type]], FIND(",",Table_PrescriptLights_Input[[#This Row],[Existing lighting type]])-1), Table_PrescriptLights_Input[[#This Row],[Existing lighting type]])</f>
        <v>0</v>
      </c>
      <c r="AR120" s="53" t="str">
        <f>_xlfn.CONCAT(Table_PrescriptLights_Input[[#This Row],[Generalized Fixture Type]], ":",Table_PrescriptLights_Input[[#This Row],[Existing lamps per fixture]],":",Table_PrescriptLights_Input[[#This Row],[Existing lamp wattage]])</f>
        <v>0::</v>
      </c>
      <c r="AS120" s="53" t="e">
        <f>INDEX(Table_TRM_Fixtures[Fixture Code], MATCH(Table_PrescriptLights_Input[[#This Row],[Generalized Fixture Baseline Lookup]], Table_TRM_Fixtures[Generalized Baseline Fixture Lookup], 0))</f>
        <v>#N/A</v>
      </c>
      <c r="AT120"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20"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20"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20"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20"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20" s="53" t="e">
        <f>IFERROR(Table_PrescriptLights_Input[[#This Row],[Detailed Baseline Fixture Code]],Table_PrescriptLights_Input[[#This Row],[Generalized Baseline Fixture Code]])</f>
        <v>#N/A</v>
      </c>
      <c r="AZ120" s="4"/>
      <c r="BA120" s="4"/>
      <c r="BB120" s="4"/>
      <c r="BC120" s="4"/>
      <c r="BD120" s="4"/>
      <c r="BE120" s="4"/>
      <c r="BF120" s="4"/>
      <c r="BG120" s="4"/>
      <c r="BH120" s="4"/>
      <c r="BI120" s="4"/>
      <c r="BJ120" s="4"/>
      <c r="BK120" s="4"/>
      <c r="BL120" s="4"/>
      <c r="BM120" s="4"/>
      <c r="BN120" s="4"/>
      <c r="BO120" s="4"/>
      <c r="BP120" s="4"/>
      <c r="BQ120" s="4"/>
    </row>
    <row r="121" spans="1:69" x14ac:dyDescent="0.2">
      <c r="A121" s="4"/>
      <c r="B121" s="189">
        <v>117</v>
      </c>
      <c r="C121" s="61" t="str">
        <f>IFERROR(INDEX(Table_Prescript_Meas[Measure Number], MATCH(Table_PrescriptLights_Input[[#This Row],[Prescriptive lighting measure]], Table_Prescript_Meas[Measure Description], 0)), "")</f>
        <v/>
      </c>
      <c r="D121" s="192"/>
      <c r="E121" s="179"/>
      <c r="F121" s="179"/>
      <c r="G121" s="61" t="str">
        <f>IFERROR(INDEX(Table_Prescript_Meas[Unit], MATCH(Table_PrescriptLights_Input[[#This Row],[Measure number]], Table_Prescript_Meas[Measure Number], 0)), "")</f>
        <v/>
      </c>
      <c r="H121" s="180"/>
      <c r="I121" s="179"/>
      <c r="J121" s="179"/>
      <c r="K121" s="180"/>
      <c r="L121" s="179"/>
      <c r="M121" s="180"/>
      <c r="N121" s="180"/>
      <c r="O121" s="180"/>
      <c r="P121" s="180"/>
      <c r="Q121" s="180"/>
      <c r="R121" s="181"/>
      <c r="S121" s="181"/>
      <c r="T121"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21"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21" s="69" t="str">
        <f>IF(Table_PrescriptLights_Input[[#This Row],[Prescriptive lighting measure]]="","",Table_PrescriptLights_Input[[#This Row],[Calculated Energy Savings]])</f>
        <v/>
      </c>
      <c r="W121" s="73" t="str">
        <f>IF(Table_PrescriptLights_Input[[#This Row],[Prescriptive lighting measure]]="","",Table_PrescriptLights_Input[[#This Row],[Calculated Demand Savings]])</f>
        <v/>
      </c>
      <c r="X121" s="67" t="str">
        <f>IFERROR(Table_PrescriptLights_Input[[#This Row],[Energy savings (kWh)]]*Input_AvgkWhRate, "")</f>
        <v/>
      </c>
      <c r="Y121" s="67" t="str">
        <f>IF(Table_PrescriptLights_Input[[#This Row],[Prescriptive lighting measure]]="", "",Table_PrescriptLights_Input[[#This Row],[Material cost per fixture]]*Table_PrescriptLights_Input[[#This Row],[Number of proposed fixtures]]+Table_PrescriptLights_Input[[#This Row],[Total labor cost]])</f>
        <v/>
      </c>
      <c r="Z121" s="67" t="str">
        <f>IFERROR(Table_PrescriptLights_Input[[#This Row],[Gross measure cost]]-Table_PrescriptLights_Input[[#This Row],[Estimated incentive]], "")</f>
        <v/>
      </c>
      <c r="AA121" s="69" t="str">
        <f t="shared" si="3"/>
        <v/>
      </c>
      <c r="AB121" s="69" t="str">
        <f>IF(ISNUMBER(Table_PrescriptLights_Input[[#This Row],[Detailed Fixture Calculation Wattage]]), "Detailed", "General")</f>
        <v>General</v>
      </c>
      <c r="AC121" s="53" t="e">
        <f>INDEX(Table_IntExt_Match[Measure Selection List], MATCH(Table_PrescriptLights_Input[[#This Row],[Interior or exterior?]], Table_IntExt_Match[Inetrior or Exterior], 0))</f>
        <v>#N/A</v>
      </c>
      <c r="AD121" s="53" t="e">
        <f>INDEX(Table_Prescript_Meas[Unit], MATCH(C121, Table_Prescript_Meas[Measure Number], 0))</f>
        <v>#N/A</v>
      </c>
      <c r="AE121" s="53" t="e">
        <f>INDEX(Table_Prescript_Meas[Lighting Type Selection List], MATCH(C121, Table_Prescript_Meas[Measure Number], 0))</f>
        <v>#N/A</v>
      </c>
      <c r="AF121" s="53" t="e">
        <f>INDEX(Table_Prescript_Meas[AOH Type], MATCH(Table_PrescriptLights_Input[[#This Row],[Measure number]], Table_Prescript_Meas[Measure Number],0))</f>
        <v>#N/A</v>
      </c>
      <c r="AG121"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21" s="53" t="str">
        <f>_xlfn.CONCAT(Table_PrescriptLights_Input[[#This Row],[Existing lighting type]],":",Table_PrescriptLights_Input[[#This Row],[Existing lamps per fixture]], ":",Table_PrescriptLights_Input[[#This Row],[Existing lamp wattage]])</f>
        <v>::</v>
      </c>
      <c r="AI121" s="53" t="e">
        <f>INDEX(Table_TRM_Fixtures[Fixture Code], MATCH(Table_PrescriptLights_Input[[#This Row],[Detailed Baseline Fixture Lookup]], Table_TRM_Fixtures[Detailed Prescriptive Baseline Fixture Lookup], 0))</f>
        <v>#N/A</v>
      </c>
      <c r="AJ121" s="53" t="e">
        <f>INDEX(Table_TRM_Fixtures[Fixture Wattage for Baseline Calculations],MATCH(Table_PrescriptLights_Input[[#This Row],[Detailed Baseline Fixture Lookup]], Table_TRM_Fixtures[Detailed Prescriptive Baseline Fixture Lookup],0))</f>
        <v>#N/A</v>
      </c>
      <c r="AK121" s="127" t="e">
        <f>INDEX(Table_Bldg_IEFD_IEFC[IEFE], MATCH( Input_HVACType,Table_Bldg_IEFD_IEFC[List_HVAC], 0))</f>
        <v>#N/A</v>
      </c>
      <c r="AL121" s="127" t="e">
        <f>INDEX( Table_Bldg_IEFD_IEFC[IEFE],MATCH( Input_HVACType, Table_Bldg_IEFD_IEFC[List_HVAC],0 ))</f>
        <v>#N/A</v>
      </c>
      <c r="AM121" s="127" t="e">
        <f>INDEX(Table_Control_PAF[PAF], MATCH(Table_PrescriptLights_Input[[#This Row],[Existing controls]], Table_Control_PAF[List_Control_Types], 0 ) )</f>
        <v>#N/A</v>
      </c>
      <c r="AN121"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21"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21"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21" s="53">
        <f>IFERROR(LEFT(Table_PrescriptLights_Input[[#This Row],[Existing lighting type]], FIND(",",Table_PrescriptLights_Input[[#This Row],[Existing lighting type]])-1), Table_PrescriptLights_Input[[#This Row],[Existing lighting type]])</f>
        <v>0</v>
      </c>
      <c r="AR121" s="53" t="str">
        <f>_xlfn.CONCAT(Table_PrescriptLights_Input[[#This Row],[Generalized Fixture Type]], ":",Table_PrescriptLights_Input[[#This Row],[Existing lamps per fixture]],":",Table_PrescriptLights_Input[[#This Row],[Existing lamp wattage]])</f>
        <v>0::</v>
      </c>
      <c r="AS121" s="53" t="e">
        <f>INDEX(Table_TRM_Fixtures[Fixture Code], MATCH(Table_PrescriptLights_Input[[#This Row],[Generalized Fixture Baseline Lookup]], Table_TRM_Fixtures[Generalized Baseline Fixture Lookup], 0))</f>
        <v>#N/A</v>
      </c>
      <c r="AT121"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21"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21"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21"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21"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21" s="53" t="e">
        <f>IFERROR(Table_PrescriptLights_Input[[#This Row],[Detailed Baseline Fixture Code]],Table_PrescriptLights_Input[[#This Row],[Generalized Baseline Fixture Code]])</f>
        <v>#N/A</v>
      </c>
      <c r="AZ121" s="4"/>
      <c r="BA121" s="4"/>
      <c r="BB121" s="4"/>
      <c r="BC121" s="4"/>
      <c r="BD121" s="4"/>
      <c r="BE121" s="4"/>
      <c r="BF121" s="4"/>
      <c r="BG121" s="4"/>
      <c r="BH121" s="4"/>
      <c r="BI121" s="4"/>
      <c r="BJ121" s="4"/>
      <c r="BK121" s="4"/>
      <c r="BL121" s="4"/>
      <c r="BM121" s="4"/>
      <c r="BN121" s="4"/>
      <c r="BO121" s="4"/>
      <c r="BP121" s="4"/>
      <c r="BQ121" s="4"/>
    </row>
    <row r="122" spans="1:69" x14ac:dyDescent="0.2">
      <c r="A122" s="4"/>
      <c r="B122" s="189">
        <v>118</v>
      </c>
      <c r="C122" s="61" t="str">
        <f>IFERROR(INDEX(Table_Prescript_Meas[Measure Number], MATCH(Table_PrescriptLights_Input[[#This Row],[Prescriptive lighting measure]], Table_Prescript_Meas[Measure Description], 0)), "")</f>
        <v/>
      </c>
      <c r="D122" s="192"/>
      <c r="E122" s="179"/>
      <c r="F122" s="179"/>
      <c r="G122" s="61" t="str">
        <f>IFERROR(INDEX(Table_Prescript_Meas[Unit], MATCH(Table_PrescriptLights_Input[[#This Row],[Measure number]], Table_Prescript_Meas[Measure Number], 0)), "")</f>
        <v/>
      </c>
      <c r="H122" s="180"/>
      <c r="I122" s="179"/>
      <c r="J122" s="179"/>
      <c r="K122" s="180"/>
      <c r="L122" s="179"/>
      <c r="M122" s="180"/>
      <c r="N122" s="180"/>
      <c r="O122" s="180"/>
      <c r="P122" s="180"/>
      <c r="Q122" s="180"/>
      <c r="R122" s="181"/>
      <c r="S122" s="181"/>
      <c r="T122"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22"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22" s="69" t="str">
        <f>IF(Table_PrescriptLights_Input[[#This Row],[Prescriptive lighting measure]]="","",Table_PrescriptLights_Input[[#This Row],[Calculated Energy Savings]])</f>
        <v/>
      </c>
      <c r="W122" s="73" t="str">
        <f>IF(Table_PrescriptLights_Input[[#This Row],[Prescriptive lighting measure]]="","",Table_PrescriptLights_Input[[#This Row],[Calculated Demand Savings]])</f>
        <v/>
      </c>
      <c r="X122" s="67" t="str">
        <f>IFERROR(Table_PrescriptLights_Input[[#This Row],[Energy savings (kWh)]]*Input_AvgkWhRate, "")</f>
        <v/>
      </c>
      <c r="Y122" s="67" t="str">
        <f>IF(Table_PrescriptLights_Input[[#This Row],[Prescriptive lighting measure]]="", "",Table_PrescriptLights_Input[[#This Row],[Material cost per fixture]]*Table_PrescriptLights_Input[[#This Row],[Number of proposed fixtures]]+Table_PrescriptLights_Input[[#This Row],[Total labor cost]])</f>
        <v/>
      </c>
      <c r="Z122" s="67" t="str">
        <f>IFERROR(Table_PrescriptLights_Input[[#This Row],[Gross measure cost]]-Table_PrescriptLights_Input[[#This Row],[Estimated incentive]], "")</f>
        <v/>
      </c>
      <c r="AA122" s="69" t="str">
        <f t="shared" si="3"/>
        <v/>
      </c>
      <c r="AB122" s="69" t="str">
        <f>IF(ISNUMBER(Table_PrescriptLights_Input[[#This Row],[Detailed Fixture Calculation Wattage]]), "Detailed", "General")</f>
        <v>General</v>
      </c>
      <c r="AC122" s="53" t="e">
        <f>INDEX(Table_IntExt_Match[Measure Selection List], MATCH(Table_PrescriptLights_Input[[#This Row],[Interior or exterior?]], Table_IntExt_Match[Inetrior or Exterior], 0))</f>
        <v>#N/A</v>
      </c>
      <c r="AD122" s="53" t="e">
        <f>INDEX(Table_Prescript_Meas[Unit], MATCH(C122, Table_Prescript_Meas[Measure Number], 0))</f>
        <v>#N/A</v>
      </c>
      <c r="AE122" s="53" t="e">
        <f>INDEX(Table_Prescript_Meas[Lighting Type Selection List], MATCH(C122, Table_Prescript_Meas[Measure Number], 0))</f>
        <v>#N/A</v>
      </c>
      <c r="AF122" s="53" t="e">
        <f>INDEX(Table_Prescript_Meas[AOH Type], MATCH(Table_PrescriptLights_Input[[#This Row],[Measure number]], Table_Prescript_Meas[Measure Number],0))</f>
        <v>#N/A</v>
      </c>
      <c r="AG122"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22" s="53" t="str">
        <f>_xlfn.CONCAT(Table_PrescriptLights_Input[[#This Row],[Existing lighting type]],":",Table_PrescriptLights_Input[[#This Row],[Existing lamps per fixture]], ":",Table_PrescriptLights_Input[[#This Row],[Existing lamp wattage]])</f>
        <v>::</v>
      </c>
      <c r="AI122" s="53" t="e">
        <f>INDEX(Table_TRM_Fixtures[Fixture Code], MATCH(Table_PrescriptLights_Input[[#This Row],[Detailed Baseline Fixture Lookup]], Table_TRM_Fixtures[Detailed Prescriptive Baseline Fixture Lookup], 0))</f>
        <v>#N/A</v>
      </c>
      <c r="AJ122" s="53" t="e">
        <f>INDEX(Table_TRM_Fixtures[Fixture Wattage for Baseline Calculations],MATCH(Table_PrescriptLights_Input[[#This Row],[Detailed Baseline Fixture Lookup]], Table_TRM_Fixtures[Detailed Prescriptive Baseline Fixture Lookup],0))</f>
        <v>#N/A</v>
      </c>
      <c r="AK122" s="127" t="e">
        <f>INDEX(Table_Bldg_IEFD_IEFC[IEFE], MATCH( Input_HVACType,Table_Bldg_IEFD_IEFC[List_HVAC], 0))</f>
        <v>#N/A</v>
      </c>
      <c r="AL122" s="127" t="e">
        <f>INDEX( Table_Bldg_IEFD_IEFC[IEFE],MATCH( Input_HVACType, Table_Bldg_IEFD_IEFC[List_HVAC],0 ))</f>
        <v>#N/A</v>
      </c>
      <c r="AM122" s="127" t="e">
        <f>INDEX(Table_Control_PAF[PAF], MATCH(Table_PrescriptLights_Input[[#This Row],[Existing controls]], Table_Control_PAF[List_Control_Types], 0 ) )</f>
        <v>#N/A</v>
      </c>
      <c r="AN122"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22"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22"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22" s="53">
        <f>IFERROR(LEFT(Table_PrescriptLights_Input[[#This Row],[Existing lighting type]], FIND(",",Table_PrescriptLights_Input[[#This Row],[Existing lighting type]])-1), Table_PrescriptLights_Input[[#This Row],[Existing lighting type]])</f>
        <v>0</v>
      </c>
      <c r="AR122" s="53" t="str">
        <f>_xlfn.CONCAT(Table_PrescriptLights_Input[[#This Row],[Generalized Fixture Type]], ":",Table_PrescriptLights_Input[[#This Row],[Existing lamps per fixture]],":",Table_PrescriptLights_Input[[#This Row],[Existing lamp wattage]])</f>
        <v>0::</v>
      </c>
      <c r="AS122" s="53" t="e">
        <f>INDEX(Table_TRM_Fixtures[Fixture Code], MATCH(Table_PrescriptLights_Input[[#This Row],[Generalized Fixture Baseline Lookup]], Table_TRM_Fixtures[Generalized Baseline Fixture Lookup], 0))</f>
        <v>#N/A</v>
      </c>
      <c r="AT122"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22"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22"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22"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22"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22" s="53" t="e">
        <f>IFERROR(Table_PrescriptLights_Input[[#This Row],[Detailed Baseline Fixture Code]],Table_PrescriptLights_Input[[#This Row],[Generalized Baseline Fixture Code]])</f>
        <v>#N/A</v>
      </c>
      <c r="AZ122" s="4"/>
      <c r="BA122" s="4"/>
      <c r="BB122" s="4"/>
      <c r="BC122" s="4"/>
      <c r="BD122" s="4"/>
      <c r="BE122" s="4"/>
      <c r="BF122" s="4"/>
      <c r="BG122" s="4"/>
      <c r="BH122" s="4"/>
      <c r="BI122" s="4"/>
      <c r="BJ122" s="4"/>
      <c r="BK122" s="4"/>
      <c r="BL122" s="4"/>
      <c r="BM122" s="4"/>
      <c r="BN122" s="4"/>
      <c r="BO122" s="4"/>
      <c r="BP122" s="4"/>
      <c r="BQ122" s="4"/>
    </row>
    <row r="123" spans="1:69" x14ac:dyDescent="0.2">
      <c r="A123" s="4"/>
      <c r="B123" s="189">
        <v>119</v>
      </c>
      <c r="C123" s="61" t="str">
        <f>IFERROR(INDEX(Table_Prescript_Meas[Measure Number], MATCH(Table_PrescriptLights_Input[[#This Row],[Prescriptive lighting measure]], Table_Prescript_Meas[Measure Description], 0)), "")</f>
        <v/>
      </c>
      <c r="D123" s="192"/>
      <c r="E123" s="179"/>
      <c r="F123" s="179"/>
      <c r="G123" s="61" t="str">
        <f>IFERROR(INDEX(Table_Prescript_Meas[Unit], MATCH(Table_PrescriptLights_Input[[#This Row],[Measure number]], Table_Prescript_Meas[Measure Number], 0)), "")</f>
        <v/>
      </c>
      <c r="H123" s="180"/>
      <c r="I123" s="179"/>
      <c r="J123" s="179"/>
      <c r="K123" s="180"/>
      <c r="L123" s="179"/>
      <c r="M123" s="180"/>
      <c r="N123" s="180"/>
      <c r="O123" s="180"/>
      <c r="P123" s="180"/>
      <c r="Q123" s="180"/>
      <c r="R123" s="181"/>
      <c r="S123" s="181"/>
      <c r="T123"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23"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23" s="69" t="str">
        <f>IF(Table_PrescriptLights_Input[[#This Row],[Prescriptive lighting measure]]="","",Table_PrescriptLights_Input[[#This Row],[Calculated Energy Savings]])</f>
        <v/>
      </c>
      <c r="W123" s="73" t="str">
        <f>IF(Table_PrescriptLights_Input[[#This Row],[Prescriptive lighting measure]]="","",Table_PrescriptLights_Input[[#This Row],[Calculated Demand Savings]])</f>
        <v/>
      </c>
      <c r="X123" s="67" t="str">
        <f>IFERROR(Table_PrescriptLights_Input[[#This Row],[Energy savings (kWh)]]*Input_AvgkWhRate, "")</f>
        <v/>
      </c>
      <c r="Y123" s="67" t="str">
        <f>IF(Table_PrescriptLights_Input[[#This Row],[Prescriptive lighting measure]]="", "",Table_PrescriptLights_Input[[#This Row],[Material cost per fixture]]*Table_PrescriptLights_Input[[#This Row],[Number of proposed fixtures]]+Table_PrescriptLights_Input[[#This Row],[Total labor cost]])</f>
        <v/>
      </c>
      <c r="Z123" s="67" t="str">
        <f>IFERROR(Table_PrescriptLights_Input[[#This Row],[Gross measure cost]]-Table_PrescriptLights_Input[[#This Row],[Estimated incentive]], "")</f>
        <v/>
      </c>
      <c r="AA123" s="69" t="str">
        <f t="shared" si="3"/>
        <v/>
      </c>
      <c r="AB123" s="69" t="str">
        <f>IF(ISNUMBER(Table_PrescriptLights_Input[[#This Row],[Detailed Fixture Calculation Wattage]]), "Detailed", "General")</f>
        <v>General</v>
      </c>
      <c r="AC123" s="53" t="e">
        <f>INDEX(Table_IntExt_Match[Measure Selection List], MATCH(Table_PrescriptLights_Input[[#This Row],[Interior or exterior?]], Table_IntExt_Match[Inetrior or Exterior], 0))</f>
        <v>#N/A</v>
      </c>
      <c r="AD123" s="53" t="e">
        <f>INDEX(Table_Prescript_Meas[Unit], MATCH(C123, Table_Prescript_Meas[Measure Number], 0))</f>
        <v>#N/A</v>
      </c>
      <c r="AE123" s="53" t="e">
        <f>INDEX(Table_Prescript_Meas[Lighting Type Selection List], MATCH(C123, Table_Prescript_Meas[Measure Number], 0))</f>
        <v>#N/A</v>
      </c>
      <c r="AF123" s="53" t="e">
        <f>INDEX(Table_Prescript_Meas[AOH Type], MATCH(Table_PrescriptLights_Input[[#This Row],[Measure number]], Table_Prescript_Meas[Measure Number],0))</f>
        <v>#N/A</v>
      </c>
      <c r="AG123"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23" s="53" t="str">
        <f>_xlfn.CONCAT(Table_PrescriptLights_Input[[#This Row],[Existing lighting type]],":",Table_PrescriptLights_Input[[#This Row],[Existing lamps per fixture]], ":",Table_PrescriptLights_Input[[#This Row],[Existing lamp wattage]])</f>
        <v>::</v>
      </c>
      <c r="AI123" s="53" t="e">
        <f>INDEX(Table_TRM_Fixtures[Fixture Code], MATCH(Table_PrescriptLights_Input[[#This Row],[Detailed Baseline Fixture Lookup]], Table_TRM_Fixtures[Detailed Prescriptive Baseline Fixture Lookup], 0))</f>
        <v>#N/A</v>
      </c>
      <c r="AJ123" s="53" t="e">
        <f>INDEX(Table_TRM_Fixtures[Fixture Wattage for Baseline Calculations],MATCH(Table_PrescriptLights_Input[[#This Row],[Detailed Baseline Fixture Lookup]], Table_TRM_Fixtures[Detailed Prescriptive Baseline Fixture Lookup],0))</f>
        <v>#N/A</v>
      </c>
      <c r="AK123" s="127" t="e">
        <f>INDEX(Table_Bldg_IEFD_IEFC[IEFE], MATCH( Input_HVACType,Table_Bldg_IEFD_IEFC[List_HVAC], 0))</f>
        <v>#N/A</v>
      </c>
      <c r="AL123" s="127" t="e">
        <f>INDEX( Table_Bldg_IEFD_IEFC[IEFE],MATCH( Input_HVACType, Table_Bldg_IEFD_IEFC[List_HVAC],0 ))</f>
        <v>#N/A</v>
      </c>
      <c r="AM123" s="127" t="e">
        <f>INDEX(Table_Control_PAF[PAF], MATCH(Table_PrescriptLights_Input[[#This Row],[Existing controls]], Table_Control_PAF[List_Control_Types], 0 ) )</f>
        <v>#N/A</v>
      </c>
      <c r="AN123"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23"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23"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23" s="53">
        <f>IFERROR(LEFT(Table_PrescriptLights_Input[[#This Row],[Existing lighting type]], FIND(",",Table_PrescriptLights_Input[[#This Row],[Existing lighting type]])-1), Table_PrescriptLights_Input[[#This Row],[Existing lighting type]])</f>
        <v>0</v>
      </c>
      <c r="AR123" s="53" t="str">
        <f>_xlfn.CONCAT(Table_PrescriptLights_Input[[#This Row],[Generalized Fixture Type]], ":",Table_PrescriptLights_Input[[#This Row],[Existing lamps per fixture]],":",Table_PrescriptLights_Input[[#This Row],[Existing lamp wattage]])</f>
        <v>0::</v>
      </c>
      <c r="AS123" s="53" t="e">
        <f>INDEX(Table_TRM_Fixtures[Fixture Code], MATCH(Table_PrescriptLights_Input[[#This Row],[Generalized Fixture Baseline Lookup]], Table_TRM_Fixtures[Generalized Baseline Fixture Lookup], 0))</f>
        <v>#N/A</v>
      </c>
      <c r="AT123"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23"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23"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23"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23"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23" s="53" t="e">
        <f>IFERROR(Table_PrescriptLights_Input[[#This Row],[Detailed Baseline Fixture Code]],Table_PrescriptLights_Input[[#This Row],[Generalized Baseline Fixture Code]])</f>
        <v>#N/A</v>
      </c>
      <c r="AZ123" s="4"/>
      <c r="BA123" s="4"/>
      <c r="BB123" s="4"/>
      <c r="BC123" s="4"/>
      <c r="BD123" s="4"/>
      <c r="BE123" s="4"/>
      <c r="BF123" s="4"/>
      <c r="BG123" s="4"/>
      <c r="BH123" s="4"/>
      <c r="BI123" s="4"/>
      <c r="BJ123" s="4"/>
      <c r="BK123" s="4"/>
      <c r="BL123" s="4"/>
      <c r="BM123" s="4"/>
      <c r="BN123" s="4"/>
      <c r="BO123" s="4"/>
      <c r="BP123" s="4"/>
      <c r="BQ123" s="4"/>
    </row>
    <row r="124" spans="1:69" x14ac:dyDescent="0.2">
      <c r="A124" s="4"/>
      <c r="B124" s="189">
        <v>120</v>
      </c>
      <c r="C124" s="61" t="str">
        <f>IFERROR(INDEX(Table_Prescript_Meas[Measure Number], MATCH(Table_PrescriptLights_Input[[#This Row],[Prescriptive lighting measure]], Table_Prescript_Meas[Measure Description], 0)), "")</f>
        <v/>
      </c>
      <c r="D124" s="192"/>
      <c r="E124" s="179"/>
      <c r="F124" s="179"/>
      <c r="G124" s="61" t="str">
        <f>IFERROR(INDEX(Table_Prescript_Meas[Unit], MATCH(Table_PrescriptLights_Input[[#This Row],[Measure number]], Table_Prescript_Meas[Measure Number], 0)), "")</f>
        <v/>
      </c>
      <c r="H124" s="180"/>
      <c r="I124" s="179"/>
      <c r="J124" s="179"/>
      <c r="K124" s="180"/>
      <c r="L124" s="179"/>
      <c r="M124" s="180"/>
      <c r="N124" s="180"/>
      <c r="O124" s="180"/>
      <c r="P124" s="180"/>
      <c r="Q124" s="180"/>
      <c r="R124" s="181"/>
      <c r="S124" s="181"/>
      <c r="T124"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24"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24" s="69" t="str">
        <f>IF(Table_PrescriptLights_Input[[#This Row],[Prescriptive lighting measure]]="","",Table_PrescriptLights_Input[[#This Row],[Calculated Energy Savings]])</f>
        <v/>
      </c>
      <c r="W124" s="73" t="str">
        <f>IF(Table_PrescriptLights_Input[[#This Row],[Prescriptive lighting measure]]="","",Table_PrescriptLights_Input[[#This Row],[Calculated Demand Savings]])</f>
        <v/>
      </c>
      <c r="X124" s="67" t="str">
        <f>IFERROR(Table_PrescriptLights_Input[[#This Row],[Energy savings (kWh)]]*Input_AvgkWhRate, "")</f>
        <v/>
      </c>
      <c r="Y124" s="67" t="str">
        <f>IF(Table_PrescriptLights_Input[[#This Row],[Prescriptive lighting measure]]="", "",Table_PrescriptLights_Input[[#This Row],[Material cost per fixture]]*Table_PrescriptLights_Input[[#This Row],[Number of proposed fixtures]]+Table_PrescriptLights_Input[[#This Row],[Total labor cost]])</f>
        <v/>
      </c>
      <c r="Z124" s="67" t="str">
        <f>IFERROR(Table_PrescriptLights_Input[[#This Row],[Gross measure cost]]-Table_PrescriptLights_Input[[#This Row],[Estimated incentive]], "")</f>
        <v/>
      </c>
      <c r="AA124" s="69" t="str">
        <f t="shared" si="3"/>
        <v/>
      </c>
      <c r="AB124" s="69" t="str">
        <f>IF(ISNUMBER(Table_PrescriptLights_Input[[#This Row],[Detailed Fixture Calculation Wattage]]), "Detailed", "General")</f>
        <v>General</v>
      </c>
      <c r="AC124" s="53" t="e">
        <f>INDEX(Table_IntExt_Match[Measure Selection List], MATCH(Table_PrescriptLights_Input[[#This Row],[Interior or exterior?]], Table_IntExt_Match[Inetrior or Exterior], 0))</f>
        <v>#N/A</v>
      </c>
      <c r="AD124" s="53" t="e">
        <f>INDEX(Table_Prescript_Meas[Unit], MATCH(C124, Table_Prescript_Meas[Measure Number], 0))</f>
        <v>#N/A</v>
      </c>
      <c r="AE124" s="53" t="e">
        <f>INDEX(Table_Prescript_Meas[Lighting Type Selection List], MATCH(C124, Table_Prescript_Meas[Measure Number], 0))</f>
        <v>#N/A</v>
      </c>
      <c r="AF124" s="53" t="e">
        <f>INDEX(Table_Prescript_Meas[AOH Type], MATCH(Table_PrescriptLights_Input[[#This Row],[Measure number]], Table_Prescript_Meas[Measure Number],0))</f>
        <v>#N/A</v>
      </c>
      <c r="AG124"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24" s="53" t="str">
        <f>_xlfn.CONCAT(Table_PrescriptLights_Input[[#This Row],[Existing lighting type]],":",Table_PrescriptLights_Input[[#This Row],[Existing lamps per fixture]], ":",Table_PrescriptLights_Input[[#This Row],[Existing lamp wattage]])</f>
        <v>::</v>
      </c>
      <c r="AI124" s="53" t="e">
        <f>INDEX(Table_TRM_Fixtures[Fixture Code], MATCH(Table_PrescriptLights_Input[[#This Row],[Detailed Baseline Fixture Lookup]], Table_TRM_Fixtures[Detailed Prescriptive Baseline Fixture Lookup], 0))</f>
        <v>#N/A</v>
      </c>
      <c r="AJ124" s="53" t="e">
        <f>INDEX(Table_TRM_Fixtures[Fixture Wattage for Baseline Calculations],MATCH(Table_PrescriptLights_Input[[#This Row],[Detailed Baseline Fixture Lookup]], Table_TRM_Fixtures[Detailed Prescriptive Baseline Fixture Lookup],0))</f>
        <v>#N/A</v>
      </c>
      <c r="AK124" s="127" t="e">
        <f>INDEX(Table_Bldg_IEFD_IEFC[IEFE], MATCH( Input_HVACType,Table_Bldg_IEFD_IEFC[List_HVAC], 0))</f>
        <v>#N/A</v>
      </c>
      <c r="AL124" s="127" t="e">
        <f>INDEX( Table_Bldg_IEFD_IEFC[IEFE],MATCH( Input_HVACType, Table_Bldg_IEFD_IEFC[List_HVAC],0 ))</f>
        <v>#N/A</v>
      </c>
      <c r="AM124" s="127" t="e">
        <f>INDEX(Table_Control_PAF[PAF], MATCH(Table_PrescriptLights_Input[[#This Row],[Existing controls]], Table_Control_PAF[List_Control_Types], 0 ) )</f>
        <v>#N/A</v>
      </c>
      <c r="AN124"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24"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24"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24" s="53">
        <f>IFERROR(LEFT(Table_PrescriptLights_Input[[#This Row],[Existing lighting type]], FIND(",",Table_PrescriptLights_Input[[#This Row],[Existing lighting type]])-1), Table_PrescriptLights_Input[[#This Row],[Existing lighting type]])</f>
        <v>0</v>
      </c>
      <c r="AR124" s="53" t="str">
        <f>_xlfn.CONCAT(Table_PrescriptLights_Input[[#This Row],[Generalized Fixture Type]], ":",Table_PrescriptLights_Input[[#This Row],[Existing lamps per fixture]],":",Table_PrescriptLights_Input[[#This Row],[Existing lamp wattage]])</f>
        <v>0::</v>
      </c>
      <c r="AS124" s="53" t="e">
        <f>INDEX(Table_TRM_Fixtures[Fixture Code], MATCH(Table_PrescriptLights_Input[[#This Row],[Generalized Fixture Baseline Lookup]], Table_TRM_Fixtures[Generalized Baseline Fixture Lookup], 0))</f>
        <v>#N/A</v>
      </c>
      <c r="AT124"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24"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24"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24"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24"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24" s="53" t="e">
        <f>IFERROR(Table_PrescriptLights_Input[[#This Row],[Detailed Baseline Fixture Code]],Table_PrescriptLights_Input[[#This Row],[Generalized Baseline Fixture Code]])</f>
        <v>#N/A</v>
      </c>
      <c r="AZ124" s="4"/>
      <c r="BA124" s="4"/>
      <c r="BB124" s="4"/>
      <c r="BC124" s="4"/>
      <c r="BD124" s="4"/>
      <c r="BE124" s="4"/>
      <c r="BF124" s="4"/>
      <c r="BG124" s="4"/>
      <c r="BH124" s="4"/>
      <c r="BI124" s="4"/>
      <c r="BJ124" s="4"/>
      <c r="BK124" s="4"/>
      <c r="BL124" s="4"/>
      <c r="BM124" s="4"/>
      <c r="BN124" s="4"/>
      <c r="BO124" s="4"/>
      <c r="BP124" s="4"/>
      <c r="BQ124" s="4"/>
    </row>
    <row r="125" spans="1:69" x14ac:dyDescent="0.2">
      <c r="A125" s="4"/>
      <c r="B125" s="189">
        <v>121</v>
      </c>
      <c r="C125" s="61" t="str">
        <f>IFERROR(INDEX(Table_Prescript_Meas[Measure Number], MATCH(Table_PrescriptLights_Input[[#This Row],[Prescriptive lighting measure]], Table_Prescript_Meas[Measure Description], 0)), "")</f>
        <v/>
      </c>
      <c r="D125" s="192"/>
      <c r="E125" s="179"/>
      <c r="F125" s="179"/>
      <c r="G125" s="61" t="str">
        <f>IFERROR(INDEX(Table_Prescript_Meas[Unit], MATCH(Table_PrescriptLights_Input[[#This Row],[Measure number]], Table_Prescript_Meas[Measure Number], 0)), "")</f>
        <v/>
      </c>
      <c r="H125" s="180"/>
      <c r="I125" s="179"/>
      <c r="J125" s="179"/>
      <c r="K125" s="180"/>
      <c r="L125" s="179"/>
      <c r="M125" s="180"/>
      <c r="N125" s="180"/>
      <c r="O125" s="180"/>
      <c r="P125" s="180"/>
      <c r="Q125" s="180"/>
      <c r="R125" s="181"/>
      <c r="S125" s="181"/>
      <c r="T125"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25"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25" s="69" t="str">
        <f>IF(Table_PrescriptLights_Input[[#This Row],[Prescriptive lighting measure]]="","",Table_PrescriptLights_Input[[#This Row],[Calculated Energy Savings]])</f>
        <v/>
      </c>
      <c r="W125" s="73" t="str">
        <f>IF(Table_PrescriptLights_Input[[#This Row],[Prescriptive lighting measure]]="","",Table_PrescriptLights_Input[[#This Row],[Calculated Demand Savings]])</f>
        <v/>
      </c>
      <c r="X125" s="67" t="str">
        <f>IFERROR(Table_PrescriptLights_Input[[#This Row],[Energy savings (kWh)]]*Input_AvgkWhRate, "")</f>
        <v/>
      </c>
      <c r="Y125" s="67" t="str">
        <f>IF(Table_PrescriptLights_Input[[#This Row],[Prescriptive lighting measure]]="", "",Table_PrescriptLights_Input[[#This Row],[Material cost per fixture]]*Table_PrescriptLights_Input[[#This Row],[Number of proposed fixtures]]+Table_PrescriptLights_Input[[#This Row],[Total labor cost]])</f>
        <v/>
      </c>
      <c r="Z125" s="67" t="str">
        <f>IFERROR(Table_PrescriptLights_Input[[#This Row],[Gross measure cost]]-Table_PrescriptLights_Input[[#This Row],[Estimated incentive]], "")</f>
        <v/>
      </c>
      <c r="AA125" s="69" t="str">
        <f t="shared" si="3"/>
        <v/>
      </c>
      <c r="AB125" s="69" t="str">
        <f>IF(ISNUMBER(Table_PrescriptLights_Input[[#This Row],[Detailed Fixture Calculation Wattage]]), "Detailed", "General")</f>
        <v>General</v>
      </c>
      <c r="AC125" s="53" t="e">
        <f>INDEX(Table_IntExt_Match[Measure Selection List], MATCH(Table_PrescriptLights_Input[[#This Row],[Interior or exterior?]], Table_IntExt_Match[Inetrior or Exterior], 0))</f>
        <v>#N/A</v>
      </c>
      <c r="AD125" s="53" t="e">
        <f>INDEX(Table_Prescript_Meas[Unit], MATCH(C125, Table_Prescript_Meas[Measure Number], 0))</f>
        <v>#N/A</v>
      </c>
      <c r="AE125" s="53" t="e">
        <f>INDEX(Table_Prescript_Meas[Lighting Type Selection List], MATCH(C125, Table_Prescript_Meas[Measure Number], 0))</f>
        <v>#N/A</v>
      </c>
      <c r="AF125" s="53" t="e">
        <f>INDEX(Table_Prescript_Meas[AOH Type], MATCH(Table_PrescriptLights_Input[[#This Row],[Measure number]], Table_Prescript_Meas[Measure Number],0))</f>
        <v>#N/A</v>
      </c>
      <c r="AG125"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25" s="53" t="str">
        <f>_xlfn.CONCAT(Table_PrescriptLights_Input[[#This Row],[Existing lighting type]],":",Table_PrescriptLights_Input[[#This Row],[Existing lamps per fixture]], ":",Table_PrescriptLights_Input[[#This Row],[Existing lamp wattage]])</f>
        <v>::</v>
      </c>
      <c r="AI125" s="53" t="e">
        <f>INDEX(Table_TRM_Fixtures[Fixture Code], MATCH(Table_PrescriptLights_Input[[#This Row],[Detailed Baseline Fixture Lookup]], Table_TRM_Fixtures[Detailed Prescriptive Baseline Fixture Lookup], 0))</f>
        <v>#N/A</v>
      </c>
      <c r="AJ125" s="53" t="e">
        <f>INDEX(Table_TRM_Fixtures[Fixture Wattage for Baseline Calculations],MATCH(Table_PrescriptLights_Input[[#This Row],[Detailed Baseline Fixture Lookup]], Table_TRM_Fixtures[Detailed Prescriptive Baseline Fixture Lookup],0))</f>
        <v>#N/A</v>
      </c>
      <c r="AK125" s="127" t="e">
        <f>INDEX(Table_Bldg_IEFD_IEFC[IEFE], MATCH( Input_HVACType,Table_Bldg_IEFD_IEFC[List_HVAC], 0))</f>
        <v>#N/A</v>
      </c>
      <c r="AL125" s="127" t="e">
        <f>INDEX( Table_Bldg_IEFD_IEFC[IEFE],MATCH( Input_HVACType, Table_Bldg_IEFD_IEFC[List_HVAC],0 ))</f>
        <v>#N/A</v>
      </c>
      <c r="AM125" s="127" t="e">
        <f>INDEX(Table_Control_PAF[PAF], MATCH(Table_PrescriptLights_Input[[#This Row],[Existing controls]], Table_Control_PAF[List_Control_Types], 0 ) )</f>
        <v>#N/A</v>
      </c>
      <c r="AN125"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25"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25"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25" s="53">
        <f>IFERROR(LEFT(Table_PrescriptLights_Input[[#This Row],[Existing lighting type]], FIND(",",Table_PrescriptLights_Input[[#This Row],[Existing lighting type]])-1), Table_PrescriptLights_Input[[#This Row],[Existing lighting type]])</f>
        <v>0</v>
      </c>
      <c r="AR125" s="53" t="str">
        <f>_xlfn.CONCAT(Table_PrescriptLights_Input[[#This Row],[Generalized Fixture Type]], ":",Table_PrescriptLights_Input[[#This Row],[Existing lamps per fixture]],":",Table_PrescriptLights_Input[[#This Row],[Existing lamp wattage]])</f>
        <v>0::</v>
      </c>
      <c r="AS125" s="53" t="e">
        <f>INDEX(Table_TRM_Fixtures[Fixture Code], MATCH(Table_PrescriptLights_Input[[#This Row],[Generalized Fixture Baseline Lookup]], Table_TRM_Fixtures[Generalized Baseline Fixture Lookup], 0))</f>
        <v>#N/A</v>
      </c>
      <c r="AT125"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25"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25"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25"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25"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25" s="53" t="e">
        <f>IFERROR(Table_PrescriptLights_Input[[#This Row],[Detailed Baseline Fixture Code]],Table_PrescriptLights_Input[[#This Row],[Generalized Baseline Fixture Code]])</f>
        <v>#N/A</v>
      </c>
      <c r="AZ125" s="4"/>
      <c r="BA125" s="4"/>
      <c r="BB125" s="4"/>
      <c r="BC125" s="4"/>
      <c r="BD125" s="4"/>
      <c r="BE125" s="4"/>
      <c r="BF125" s="4"/>
      <c r="BG125" s="4"/>
      <c r="BH125" s="4"/>
      <c r="BI125" s="4"/>
      <c r="BJ125" s="4"/>
      <c r="BK125" s="4"/>
      <c r="BL125" s="4"/>
      <c r="BM125" s="4"/>
      <c r="BN125" s="4"/>
      <c r="BO125" s="4"/>
      <c r="BP125" s="4"/>
      <c r="BQ125" s="4"/>
    </row>
    <row r="126" spans="1:69" x14ac:dyDescent="0.2">
      <c r="A126" s="4"/>
      <c r="B126" s="189">
        <v>122</v>
      </c>
      <c r="C126" s="61" t="str">
        <f>IFERROR(INDEX(Table_Prescript_Meas[Measure Number], MATCH(Table_PrescriptLights_Input[[#This Row],[Prescriptive lighting measure]], Table_Prescript_Meas[Measure Description], 0)), "")</f>
        <v/>
      </c>
      <c r="D126" s="192"/>
      <c r="E126" s="179"/>
      <c r="F126" s="179"/>
      <c r="G126" s="61" t="str">
        <f>IFERROR(INDEX(Table_Prescript_Meas[Unit], MATCH(Table_PrescriptLights_Input[[#This Row],[Measure number]], Table_Prescript_Meas[Measure Number], 0)), "")</f>
        <v/>
      </c>
      <c r="H126" s="180"/>
      <c r="I126" s="179"/>
      <c r="J126" s="179"/>
      <c r="K126" s="180"/>
      <c r="L126" s="179"/>
      <c r="M126" s="180"/>
      <c r="N126" s="180"/>
      <c r="O126" s="180"/>
      <c r="P126" s="180"/>
      <c r="Q126" s="180"/>
      <c r="R126" s="181"/>
      <c r="S126" s="181"/>
      <c r="T126"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26"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26" s="69" t="str">
        <f>IF(Table_PrescriptLights_Input[[#This Row],[Prescriptive lighting measure]]="","",Table_PrescriptLights_Input[[#This Row],[Calculated Energy Savings]])</f>
        <v/>
      </c>
      <c r="W126" s="73" t="str">
        <f>IF(Table_PrescriptLights_Input[[#This Row],[Prescriptive lighting measure]]="","",Table_PrescriptLights_Input[[#This Row],[Calculated Demand Savings]])</f>
        <v/>
      </c>
      <c r="X126" s="67" t="str">
        <f>IFERROR(Table_PrescriptLights_Input[[#This Row],[Energy savings (kWh)]]*Input_AvgkWhRate, "")</f>
        <v/>
      </c>
      <c r="Y126" s="67" t="str">
        <f>IF(Table_PrescriptLights_Input[[#This Row],[Prescriptive lighting measure]]="", "",Table_PrescriptLights_Input[[#This Row],[Material cost per fixture]]*Table_PrescriptLights_Input[[#This Row],[Number of proposed fixtures]]+Table_PrescriptLights_Input[[#This Row],[Total labor cost]])</f>
        <v/>
      </c>
      <c r="Z126" s="67" t="str">
        <f>IFERROR(Table_PrescriptLights_Input[[#This Row],[Gross measure cost]]-Table_PrescriptLights_Input[[#This Row],[Estimated incentive]], "")</f>
        <v/>
      </c>
      <c r="AA126" s="69" t="str">
        <f t="shared" si="3"/>
        <v/>
      </c>
      <c r="AB126" s="69" t="str">
        <f>IF(ISNUMBER(Table_PrescriptLights_Input[[#This Row],[Detailed Fixture Calculation Wattage]]), "Detailed", "General")</f>
        <v>General</v>
      </c>
      <c r="AC126" s="53" t="e">
        <f>INDEX(Table_IntExt_Match[Measure Selection List], MATCH(Table_PrescriptLights_Input[[#This Row],[Interior or exterior?]], Table_IntExt_Match[Inetrior or Exterior], 0))</f>
        <v>#N/A</v>
      </c>
      <c r="AD126" s="53" t="e">
        <f>INDEX(Table_Prescript_Meas[Unit], MATCH(C126, Table_Prescript_Meas[Measure Number], 0))</f>
        <v>#N/A</v>
      </c>
      <c r="AE126" s="53" t="e">
        <f>INDEX(Table_Prescript_Meas[Lighting Type Selection List], MATCH(C126, Table_Prescript_Meas[Measure Number], 0))</f>
        <v>#N/A</v>
      </c>
      <c r="AF126" s="53" t="e">
        <f>INDEX(Table_Prescript_Meas[AOH Type], MATCH(Table_PrescriptLights_Input[[#This Row],[Measure number]], Table_Prescript_Meas[Measure Number],0))</f>
        <v>#N/A</v>
      </c>
      <c r="AG126"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26" s="53" t="str">
        <f>_xlfn.CONCAT(Table_PrescriptLights_Input[[#This Row],[Existing lighting type]],":",Table_PrescriptLights_Input[[#This Row],[Existing lamps per fixture]], ":",Table_PrescriptLights_Input[[#This Row],[Existing lamp wattage]])</f>
        <v>::</v>
      </c>
      <c r="AI126" s="53" t="e">
        <f>INDEX(Table_TRM_Fixtures[Fixture Code], MATCH(Table_PrescriptLights_Input[[#This Row],[Detailed Baseline Fixture Lookup]], Table_TRM_Fixtures[Detailed Prescriptive Baseline Fixture Lookup], 0))</f>
        <v>#N/A</v>
      </c>
      <c r="AJ126" s="53" t="e">
        <f>INDEX(Table_TRM_Fixtures[Fixture Wattage for Baseline Calculations],MATCH(Table_PrescriptLights_Input[[#This Row],[Detailed Baseline Fixture Lookup]], Table_TRM_Fixtures[Detailed Prescriptive Baseline Fixture Lookup],0))</f>
        <v>#N/A</v>
      </c>
      <c r="AK126" s="127" t="e">
        <f>INDEX(Table_Bldg_IEFD_IEFC[IEFE], MATCH( Input_HVACType,Table_Bldg_IEFD_IEFC[List_HVAC], 0))</f>
        <v>#N/A</v>
      </c>
      <c r="AL126" s="127" t="e">
        <f>INDEX( Table_Bldg_IEFD_IEFC[IEFE],MATCH( Input_HVACType, Table_Bldg_IEFD_IEFC[List_HVAC],0 ))</f>
        <v>#N/A</v>
      </c>
      <c r="AM126" s="127" t="e">
        <f>INDEX(Table_Control_PAF[PAF], MATCH(Table_PrescriptLights_Input[[#This Row],[Existing controls]], Table_Control_PAF[List_Control_Types], 0 ) )</f>
        <v>#N/A</v>
      </c>
      <c r="AN126"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26"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26"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26" s="53">
        <f>IFERROR(LEFT(Table_PrescriptLights_Input[[#This Row],[Existing lighting type]], FIND(",",Table_PrescriptLights_Input[[#This Row],[Existing lighting type]])-1), Table_PrescriptLights_Input[[#This Row],[Existing lighting type]])</f>
        <v>0</v>
      </c>
      <c r="AR126" s="53" t="str">
        <f>_xlfn.CONCAT(Table_PrescriptLights_Input[[#This Row],[Generalized Fixture Type]], ":",Table_PrescriptLights_Input[[#This Row],[Existing lamps per fixture]],":",Table_PrescriptLights_Input[[#This Row],[Existing lamp wattage]])</f>
        <v>0::</v>
      </c>
      <c r="AS126" s="53" t="e">
        <f>INDEX(Table_TRM_Fixtures[Fixture Code], MATCH(Table_PrescriptLights_Input[[#This Row],[Generalized Fixture Baseline Lookup]], Table_TRM_Fixtures[Generalized Baseline Fixture Lookup], 0))</f>
        <v>#N/A</v>
      </c>
      <c r="AT126"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26"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26"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26"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26"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26" s="53" t="e">
        <f>IFERROR(Table_PrescriptLights_Input[[#This Row],[Detailed Baseline Fixture Code]],Table_PrescriptLights_Input[[#This Row],[Generalized Baseline Fixture Code]])</f>
        <v>#N/A</v>
      </c>
      <c r="AZ126" s="4"/>
      <c r="BA126" s="4"/>
      <c r="BB126" s="4"/>
      <c r="BC126" s="4"/>
      <c r="BD126" s="4"/>
      <c r="BE126" s="4"/>
      <c r="BF126" s="4"/>
      <c r="BG126" s="4"/>
      <c r="BH126" s="4"/>
      <c r="BI126" s="4"/>
      <c r="BJ126" s="4"/>
      <c r="BK126" s="4"/>
      <c r="BL126" s="4"/>
      <c r="BM126" s="4"/>
      <c r="BN126" s="4"/>
      <c r="BO126" s="4"/>
      <c r="BP126" s="4"/>
      <c r="BQ126" s="4"/>
    </row>
    <row r="127" spans="1:69" x14ac:dyDescent="0.2">
      <c r="A127" s="4"/>
      <c r="B127" s="189">
        <v>123</v>
      </c>
      <c r="C127" s="61" t="str">
        <f>IFERROR(INDEX(Table_Prescript_Meas[Measure Number], MATCH(Table_PrescriptLights_Input[[#This Row],[Prescriptive lighting measure]], Table_Prescript_Meas[Measure Description], 0)), "")</f>
        <v/>
      </c>
      <c r="D127" s="192"/>
      <c r="E127" s="179"/>
      <c r="F127" s="179"/>
      <c r="G127" s="61" t="str">
        <f>IFERROR(INDEX(Table_Prescript_Meas[Unit], MATCH(Table_PrescriptLights_Input[[#This Row],[Measure number]], Table_Prescript_Meas[Measure Number], 0)), "")</f>
        <v/>
      </c>
      <c r="H127" s="180"/>
      <c r="I127" s="179"/>
      <c r="J127" s="179"/>
      <c r="K127" s="180"/>
      <c r="L127" s="179"/>
      <c r="M127" s="180"/>
      <c r="N127" s="180"/>
      <c r="O127" s="180"/>
      <c r="P127" s="180"/>
      <c r="Q127" s="180"/>
      <c r="R127" s="181"/>
      <c r="S127" s="181"/>
      <c r="T127"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27"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27" s="69" t="str">
        <f>IF(Table_PrescriptLights_Input[[#This Row],[Prescriptive lighting measure]]="","",Table_PrescriptLights_Input[[#This Row],[Calculated Energy Savings]])</f>
        <v/>
      </c>
      <c r="W127" s="73" t="str">
        <f>IF(Table_PrescriptLights_Input[[#This Row],[Prescriptive lighting measure]]="","",Table_PrescriptLights_Input[[#This Row],[Calculated Demand Savings]])</f>
        <v/>
      </c>
      <c r="X127" s="67" t="str">
        <f>IFERROR(Table_PrescriptLights_Input[[#This Row],[Energy savings (kWh)]]*Input_AvgkWhRate, "")</f>
        <v/>
      </c>
      <c r="Y127" s="67" t="str">
        <f>IF(Table_PrescriptLights_Input[[#This Row],[Prescriptive lighting measure]]="", "",Table_PrescriptLights_Input[[#This Row],[Material cost per fixture]]*Table_PrescriptLights_Input[[#This Row],[Number of proposed fixtures]]+Table_PrescriptLights_Input[[#This Row],[Total labor cost]])</f>
        <v/>
      </c>
      <c r="Z127" s="67" t="str">
        <f>IFERROR(Table_PrescriptLights_Input[[#This Row],[Gross measure cost]]-Table_PrescriptLights_Input[[#This Row],[Estimated incentive]], "")</f>
        <v/>
      </c>
      <c r="AA127" s="69" t="str">
        <f t="shared" si="3"/>
        <v/>
      </c>
      <c r="AB127" s="69" t="str">
        <f>IF(ISNUMBER(Table_PrescriptLights_Input[[#This Row],[Detailed Fixture Calculation Wattage]]), "Detailed", "General")</f>
        <v>General</v>
      </c>
      <c r="AC127" s="53" t="e">
        <f>INDEX(Table_IntExt_Match[Measure Selection List], MATCH(Table_PrescriptLights_Input[[#This Row],[Interior or exterior?]], Table_IntExt_Match[Inetrior or Exterior], 0))</f>
        <v>#N/A</v>
      </c>
      <c r="AD127" s="53" t="e">
        <f>INDEX(Table_Prescript_Meas[Unit], MATCH(C127, Table_Prescript_Meas[Measure Number], 0))</f>
        <v>#N/A</v>
      </c>
      <c r="AE127" s="53" t="e">
        <f>INDEX(Table_Prescript_Meas[Lighting Type Selection List], MATCH(C127, Table_Prescript_Meas[Measure Number], 0))</f>
        <v>#N/A</v>
      </c>
      <c r="AF127" s="53" t="e">
        <f>INDEX(Table_Prescript_Meas[AOH Type], MATCH(Table_PrescriptLights_Input[[#This Row],[Measure number]], Table_Prescript_Meas[Measure Number],0))</f>
        <v>#N/A</v>
      </c>
      <c r="AG127"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27" s="53" t="str">
        <f>_xlfn.CONCAT(Table_PrescriptLights_Input[[#This Row],[Existing lighting type]],":",Table_PrescriptLights_Input[[#This Row],[Existing lamps per fixture]], ":",Table_PrescriptLights_Input[[#This Row],[Existing lamp wattage]])</f>
        <v>::</v>
      </c>
      <c r="AI127" s="53" t="e">
        <f>INDEX(Table_TRM_Fixtures[Fixture Code], MATCH(Table_PrescriptLights_Input[[#This Row],[Detailed Baseline Fixture Lookup]], Table_TRM_Fixtures[Detailed Prescriptive Baseline Fixture Lookup], 0))</f>
        <v>#N/A</v>
      </c>
      <c r="AJ127" s="53" t="e">
        <f>INDEX(Table_TRM_Fixtures[Fixture Wattage for Baseline Calculations],MATCH(Table_PrescriptLights_Input[[#This Row],[Detailed Baseline Fixture Lookup]], Table_TRM_Fixtures[Detailed Prescriptive Baseline Fixture Lookup],0))</f>
        <v>#N/A</v>
      </c>
      <c r="AK127" s="127" t="e">
        <f>INDEX(Table_Bldg_IEFD_IEFC[IEFE], MATCH( Input_HVACType,Table_Bldg_IEFD_IEFC[List_HVAC], 0))</f>
        <v>#N/A</v>
      </c>
      <c r="AL127" s="127" t="e">
        <f>INDEX( Table_Bldg_IEFD_IEFC[IEFE],MATCH( Input_HVACType, Table_Bldg_IEFD_IEFC[List_HVAC],0 ))</f>
        <v>#N/A</v>
      </c>
      <c r="AM127" s="127" t="e">
        <f>INDEX(Table_Control_PAF[PAF], MATCH(Table_PrescriptLights_Input[[#This Row],[Existing controls]], Table_Control_PAF[List_Control_Types], 0 ) )</f>
        <v>#N/A</v>
      </c>
      <c r="AN127"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27"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27"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27" s="53">
        <f>IFERROR(LEFT(Table_PrescriptLights_Input[[#This Row],[Existing lighting type]], FIND(",",Table_PrescriptLights_Input[[#This Row],[Existing lighting type]])-1), Table_PrescriptLights_Input[[#This Row],[Existing lighting type]])</f>
        <v>0</v>
      </c>
      <c r="AR127" s="53" t="str">
        <f>_xlfn.CONCAT(Table_PrescriptLights_Input[[#This Row],[Generalized Fixture Type]], ":",Table_PrescriptLights_Input[[#This Row],[Existing lamps per fixture]],":",Table_PrescriptLights_Input[[#This Row],[Existing lamp wattage]])</f>
        <v>0::</v>
      </c>
      <c r="AS127" s="53" t="e">
        <f>INDEX(Table_TRM_Fixtures[Fixture Code], MATCH(Table_PrescriptLights_Input[[#This Row],[Generalized Fixture Baseline Lookup]], Table_TRM_Fixtures[Generalized Baseline Fixture Lookup], 0))</f>
        <v>#N/A</v>
      </c>
      <c r="AT127"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27"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27"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27"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27"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27" s="53" t="e">
        <f>IFERROR(Table_PrescriptLights_Input[[#This Row],[Detailed Baseline Fixture Code]],Table_PrescriptLights_Input[[#This Row],[Generalized Baseline Fixture Code]])</f>
        <v>#N/A</v>
      </c>
      <c r="AZ127" s="4"/>
      <c r="BA127" s="4"/>
      <c r="BB127" s="4"/>
      <c r="BC127" s="4"/>
      <c r="BD127" s="4"/>
      <c r="BE127" s="4"/>
      <c r="BF127" s="4"/>
      <c r="BG127" s="4"/>
      <c r="BH127" s="4"/>
      <c r="BI127" s="4"/>
      <c r="BJ127" s="4"/>
      <c r="BK127" s="4"/>
      <c r="BL127" s="4"/>
      <c r="BM127" s="4"/>
      <c r="BN127" s="4"/>
      <c r="BO127" s="4"/>
      <c r="BP127" s="4"/>
      <c r="BQ127" s="4"/>
    </row>
    <row r="128" spans="1:69" x14ac:dyDescent="0.2">
      <c r="A128" s="4"/>
      <c r="B128" s="189">
        <v>124</v>
      </c>
      <c r="C128" s="61" t="str">
        <f>IFERROR(INDEX(Table_Prescript_Meas[Measure Number], MATCH(Table_PrescriptLights_Input[[#This Row],[Prescriptive lighting measure]], Table_Prescript_Meas[Measure Description], 0)), "")</f>
        <v/>
      </c>
      <c r="D128" s="192"/>
      <c r="E128" s="179"/>
      <c r="F128" s="179"/>
      <c r="G128" s="61" t="str">
        <f>IFERROR(INDEX(Table_Prescript_Meas[Unit], MATCH(Table_PrescriptLights_Input[[#This Row],[Measure number]], Table_Prescript_Meas[Measure Number], 0)), "")</f>
        <v/>
      </c>
      <c r="H128" s="180"/>
      <c r="I128" s="179"/>
      <c r="J128" s="179"/>
      <c r="K128" s="180"/>
      <c r="L128" s="179"/>
      <c r="M128" s="180"/>
      <c r="N128" s="180"/>
      <c r="O128" s="180"/>
      <c r="P128" s="180"/>
      <c r="Q128" s="180"/>
      <c r="R128" s="181"/>
      <c r="S128" s="181"/>
      <c r="T128"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28"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28" s="69" t="str">
        <f>IF(Table_PrescriptLights_Input[[#This Row],[Prescriptive lighting measure]]="","",Table_PrescriptLights_Input[[#This Row],[Calculated Energy Savings]])</f>
        <v/>
      </c>
      <c r="W128" s="73" t="str">
        <f>IF(Table_PrescriptLights_Input[[#This Row],[Prescriptive lighting measure]]="","",Table_PrescriptLights_Input[[#This Row],[Calculated Demand Savings]])</f>
        <v/>
      </c>
      <c r="X128" s="67" t="str">
        <f>IFERROR(Table_PrescriptLights_Input[[#This Row],[Energy savings (kWh)]]*Input_AvgkWhRate, "")</f>
        <v/>
      </c>
      <c r="Y128" s="67" t="str">
        <f>IF(Table_PrescriptLights_Input[[#This Row],[Prescriptive lighting measure]]="", "",Table_PrescriptLights_Input[[#This Row],[Material cost per fixture]]*Table_PrescriptLights_Input[[#This Row],[Number of proposed fixtures]]+Table_PrescriptLights_Input[[#This Row],[Total labor cost]])</f>
        <v/>
      </c>
      <c r="Z128" s="67" t="str">
        <f>IFERROR(Table_PrescriptLights_Input[[#This Row],[Gross measure cost]]-Table_PrescriptLights_Input[[#This Row],[Estimated incentive]], "")</f>
        <v/>
      </c>
      <c r="AA128" s="69" t="str">
        <f t="shared" si="3"/>
        <v/>
      </c>
      <c r="AB128" s="69" t="str">
        <f>IF(ISNUMBER(Table_PrescriptLights_Input[[#This Row],[Detailed Fixture Calculation Wattage]]), "Detailed", "General")</f>
        <v>General</v>
      </c>
      <c r="AC128" s="53" t="e">
        <f>INDEX(Table_IntExt_Match[Measure Selection List], MATCH(Table_PrescriptLights_Input[[#This Row],[Interior or exterior?]], Table_IntExt_Match[Inetrior or Exterior], 0))</f>
        <v>#N/A</v>
      </c>
      <c r="AD128" s="53" t="e">
        <f>INDEX(Table_Prescript_Meas[Unit], MATCH(C128, Table_Prescript_Meas[Measure Number], 0))</f>
        <v>#N/A</v>
      </c>
      <c r="AE128" s="53" t="e">
        <f>INDEX(Table_Prescript_Meas[Lighting Type Selection List], MATCH(C128, Table_Prescript_Meas[Measure Number], 0))</f>
        <v>#N/A</v>
      </c>
      <c r="AF128" s="53" t="e">
        <f>INDEX(Table_Prescript_Meas[AOH Type], MATCH(Table_PrescriptLights_Input[[#This Row],[Measure number]], Table_Prescript_Meas[Measure Number],0))</f>
        <v>#N/A</v>
      </c>
      <c r="AG128"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28" s="53" t="str">
        <f>_xlfn.CONCAT(Table_PrescriptLights_Input[[#This Row],[Existing lighting type]],":",Table_PrescriptLights_Input[[#This Row],[Existing lamps per fixture]], ":",Table_PrescriptLights_Input[[#This Row],[Existing lamp wattage]])</f>
        <v>::</v>
      </c>
      <c r="AI128" s="53" t="e">
        <f>INDEX(Table_TRM_Fixtures[Fixture Code], MATCH(Table_PrescriptLights_Input[[#This Row],[Detailed Baseline Fixture Lookup]], Table_TRM_Fixtures[Detailed Prescriptive Baseline Fixture Lookup], 0))</f>
        <v>#N/A</v>
      </c>
      <c r="AJ128" s="53" t="e">
        <f>INDEX(Table_TRM_Fixtures[Fixture Wattage for Baseline Calculations],MATCH(Table_PrescriptLights_Input[[#This Row],[Detailed Baseline Fixture Lookup]], Table_TRM_Fixtures[Detailed Prescriptive Baseline Fixture Lookup],0))</f>
        <v>#N/A</v>
      </c>
      <c r="AK128" s="127" t="e">
        <f>INDEX(Table_Bldg_IEFD_IEFC[IEFE], MATCH( Input_HVACType,Table_Bldg_IEFD_IEFC[List_HVAC], 0))</f>
        <v>#N/A</v>
      </c>
      <c r="AL128" s="127" t="e">
        <f>INDEX( Table_Bldg_IEFD_IEFC[IEFE],MATCH( Input_HVACType, Table_Bldg_IEFD_IEFC[List_HVAC],0 ))</f>
        <v>#N/A</v>
      </c>
      <c r="AM128" s="127" t="e">
        <f>INDEX(Table_Control_PAF[PAF], MATCH(Table_PrescriptLights_Input[[#This Row],[Existing controls]], Table_Control_PAF[List_Control_Types], 0 ) )</f>
        <v>#N/A</v>
      </c>
      <c r="AN128"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28"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28"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28" s="53">
        <f>IFERROR(LEFT(Table_PrescriptLights_Input[[#This Row],[Existing lighting type]], FIND(",",Table_PrescriptLights_Input[[#This Row],[Existing lighting type]])-1), Table_PrescriptLights_Input[[#This Row],[Existing lighting type]])</f>
        <v>0</v>
      </c>
      <c r="AR128" s="53" t="str">
        <f>_xlfn.CONCAT(Table_PrescriptLights_Input[[#This Row],[Generalized Fixture Type]], ":",Table_PrescriptLights_Input[[#This Row],[Existing lamps per fixture]],":",Table_PrescriptLights_Input[[#This Row],[Existing lamp wattage]])</f>
        <v>0::</v>
      </c>
      <c r="AS128" s="53" t="e">
        <f>INDEX(Table_TRM_Fixtures[Fixture Code], MATCH(Table_PrescriptLights_Input[[#This Row],[Generalized Fixture Baseline Lookup]], Table_TRM_Fixtures[Generalized Baseline Fixture Lookup], 0))</f>
        <v>#N/A</v>
      </c>
      <c r="AT128"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28"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28"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28"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28"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28" s="53" t="e">
        <f>IFERROR(Table_PrescriptLights_Input[[#This Row],[Detailed Baseline Fixture Code]],Table_PrescriptLights_Input[[#This Row],[Generalized Baseline Fixture Code]])</f>
        <v>#N/A</v>
      </c>
      <c r="AZ128" s="4"/>
      <c r="BA128" s="4"/>
      <c r="BB128" s="4"/>
      <c r="BC128" s="4"/>
      <c r="BD128" s="4"/>
      <c r="BE128" s="4"/>
      <c r="BF128" s="4"/>
      <c r="BG128" s="4"/>
      <c r="BH128" s="4"/>
      <c r="BI128" s="4"/>
      <c r="BJ128" s="4"/>
      <c r="BK128" s="4"/>
      <c r="BL128" s="4"/>
      <c r="BM128" s="4"/>
      <c r="BN128" s="4"/>
      <c r="BO128" s="4"/>
      <c r="BP128" s="4"/>
      <c r="BQ128" s="4"/>
    </row>
    <row r="129" spans="1:69" x14ac:dyDescent="0.2">
      <c r="A129" s="4"/>
      <c r="B129" s="189">
        <v>125</v>
      </c>
      <c r="C129" s="61" t="str">
        <f>IFERROR(INDEX(Table_Prescript_Meas[Measure Number], MATCH(Table_PrescriptLights_Input[[#This Row],[Prescriptive lighting measure]], Table_Prescript_Meas[Measure Description], 0)), "")</f>
        <v/>
      </c>
      <c r="D129" s="192"/>
      <c r="E129" s="179"/>
      <c r="F129" s="179"/>
      <c r="G129" s="61" t="str">
        <f>IFERROR(INDEX(Table_Prescript_Meas[Unit], MATCH(Table_PrescriptLights_Input[[#This Row],[Measure number]], Table_Prescript_Meas[Measure Number], 0)), "")</f>
        <v/>
      </c>
      <c r="H129" s="180"/>
      <c r="I129" s="179"/>
      <c r="J129" s="179"/>
      <c r="K129" s="180"/>
      <c r="L129" s="179"/>
      <c r="M129" s="180"/>
      <c r="N129" s="180"/>
      <c r="O129" s="180"/>
      <c r="P129" s="180"/>
      <c r="Q129" s="180"/>
      <c r="R129" s="181"/>
      <c r="S129" s="181"/>
      <c r="T129"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29"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29" s="69" t="str">
        <f>IF(Table_PrescriptLights_Input[[#This Row],[Prescriptive lighting measure]]="","",Table_PrescriptLights_Input[[#This Row],[Calculated Energy Savings]])</f>
        <v/>
      </c>
      <c r="W129" s="73" t="str">
        <f>IF(Table_PrescriptLights_Input[[#This Row],[Prescriptive lighting measure]]="","",Table_PrescriptLights_Input[[#This Row],[Calculated Demand Savings]])</f>
        <v/>
      </c>
      <c r="X129" s="67" t="str">
        <f>IFERROR(Table_PrescriptLights_Input[[#This Row],[Energy savings (kWh)]]*Input_AvgkWhRate, "")</f>
        <v/>
      </c>
      <c r="Y129" s="67" t="str">
        <f>IF(Table_PrescriptLights_Input[[#This Row],[Prescriptive lighting measure]]="", "",Table_PrescriptLights_Input[[#This Row],[Material cost per fixture]]*Table_PrescriptLights_Input[[#This Row],[Number of proposed fixtures]]+Table_PrescriptLights_Input[[#This Row],[Total labor cost]])</f>
        <v/>
      </c>
      <c r="Z129" s="67" t="str">
        <f>IFERROR(Table_PrescriptLights_Input[[#This Row],[Gross measure cost]]-Table_PrescriptLights_Input[[#This Row],[Estimated incentive]], "")</f>
        <v/>
      </c>
      <c r="AA129" s="69" t="str">
        <f t="shared" si="3"/>
        <v/>
      </c>
      <c r="AB129" s="69" t="str">
        <f>IF(ISNUMBER(Table_PrescriptLights_Input[[#This Row],[Detailed Fixture Calculation Wattage]]), "Detailed", "General")</f>
        <v>General</v>
      </c>
      <c r="AC129" s="53" t="e">
        <f>INDEX(Table_IntExt_Match[Measure Selection List], MATCH(Table_PrescriptLights_Input[[#This Row],[Interior or exterior?]], Table_IntExt_Match[Inetrior or Exterior], 0))</f>
        <v>#N/A</v>
      </c>
      <c r="AD129" s="53" t="e">
        <f>INDEX(Table_Prescript_Meas[Unit], MATCH(C129, Table_Prescript_Meas[Measure Number], 0))</f>
        <v>#N/A</v>
      </c>
      <c r="AE129" s="53" t="e">
        <f>INDEX(Table_Prescript_Meas[Lighting Type Selection List], MATCH(C129, Table_Prescript_Meas[Measure Number], 0))</f>
        <v>#N/A</v>
      </c>
      <c r="AF129" s="53" t="e">
        <f>INDEX(Table_Prescript_Meas[AOH Type], MATCH(Table_PrescriptLights_Input[[#This Row],[Measure number]], Table_Prescript_Meas[Measure Number],0))</f>
        <v>#N/A</v>
      </c>
      <c r="AG129"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29" s="53" t="str">
        <f>_xlfn.CONCAT(Table_PrescriptLights_Input[[#This Row],[Existing lighting type]],":",Table_PrescriptLights_Input[[#This Row],[Existing lamps per fixture]], ":",Table_PrescriptLights_Input[[#This Row],[Existing lamp wattage]])</f>
        <v>::</v>
      </c>
      <c r="AI129" s="53" t="e">
        <f>INDEX(Table_TRM_Fixtures[Fixture Code], MATCH(Table_PrescriptLights_Input[[#This Row],[Detailed Baseline Fixture Lookup]], Table_TRM_Fixtures[Detailed Prescriptive Baseline Fixture Lookup], 0))</f>
        <v>#N/A</v>
      </c>
      <c r="AJ129" s="53" t="e">
        <f>INDEX(Table_TRM_Fixtures[Fixture Wattage for Baseline Calculations],MATCH(Table_PrescriptLights_Input[[#This Row],[Detailed Baseline Fixture Lookup]], Table_TRM_Fixtures[Detailed Prescriptive Baseline Fixture Lookup],0))</f>
        <v>#N/A</v>
      </c>
      <c r="AK129" s="127" t="e">
        <f>INDEX(Table_Bldg_IEFD_IEFC[IEFE], MATCH( Input_HVACType,Table_Bldg_IEFD_IEFC[List_HVAC], 0))</f>
        <v>#N/A</v>
      </c>
      <c r="AL129" s="127" t="e">
        <f>INDEX( Table_Bldg_IEFD_IEFC[IEFE],MATCH( Input_HVACType, Table_Bldg_IEFD_IEFC[List_HVAC],0 ))</f>
        <v>#N/A</v>
      </c>
      <c r="AM129" s="127" t="e">
        <f>INDEX(Table_Control_PAF[PAF], MATCH(Table_PrescriptLights_Input[[#This Row],[Existing controls]], Table_Control_PAF[List_Control_Types], 0 ) )</f>
        <v>#N/A</v>
      </c>
      <c r="AN129"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29"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29"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29" s="53">
        <f>IFERROR(LEFT(Table_PrescriptLights_Input[[#This Row],[Existing lighting type]], FIND(",",Table_PrescriptLights_Input[[#This Row],[Existing lighting type]])-1), Table_PrescriptLights_Input[[#This Row],[Existing lighting type]])</f>
        <v>0</v>
      </c>
      <c r="AR129" s="53" t="str">
        <f>_xlfn.CONCAT(Table_PrescriptLights_Input[[#This Row],[Generalized Fixture Type]], ":",Table_PrescriptLights_Input[[#This Row],[Existing lamps per fixture]],":",Table_PrescriptLights_Input[[#This Row],[Existing lamp wattage]])</f>
        <v>0::</v>
      </c>
      <c r="AS129" s="53" t="e">
        <f>INDEX(Table_TRM_Fixtures[Fixture Code], MATCH(Table_PrescriptLights_Input[[#This Row],[Generalized Fixture Baseline Lookup]], Table_TRM_Fixtures[Generalized Baseline Fixture Lookup], 0))</f>
        <v>#N/A</v>
      </c>
      <c r="AT129"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29"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29"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29"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29"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29" s="53" t="e">
        <f>IFERROR(Table_PrescriptLights_Input[[#This Row],[Detailed Baseline Fixture Code]],Table_PrescriptLights_Input[[#This Row],[Generalized Baseline Fixture Code]])</f>
        <v>#N/A</v>
      </c>
      <c r="AZ129" s="4"/>
      <c r="BA129" s="4"/>
      <c r="BB129" s="4"/>
      <c r="BC129" s="4"/>
      <c r="BD129" s="4"/>
      <c r="BE129" s="4"/>
      <c r="BF129" s="4"/>
      <c r="BG129" s="4"/>
      <c r="BH129" s="4"/>
      <c r="BI129" s="4"/>
      <c r="BJ129" s="4"/>
      <c r="BK129" s="4"/>
      <c r="BL129" s="4"/>
      <c r="BM129" s="4"/>
      <c r="BN129" s="4"/>
      <c r="BO129" s="4"/>
      <c r="BP129" s="4"/>
      <c r="BQ129" s="4"/>
    </row>
    <row r="130" spans="1:69" x14ac:dyDescent="0.2">
      <c r="A130" s="4"/>
      <c r="B130" s="189">
        <v>126</v>
      </c>
      <c r="C130" s="61" t="str">
        <f>IFERROR(INDEX(Table_Prescript_Meas[Measure Number], MATCH(Table_PrescriptLights_Input[[#This Row],[Prescriptive lighting measure]], Table_Prescript_Meas[Measure Description], 0)), "")</f>
        <v/>
      </c>
      <c r="D130" s="192"/>
      <c r="E130" s="179"/>
      <c r="F130" s="179"/>
      <c r="G130" s="61" t="str">
        <f>IFERROR(INDEX(Table_Prescript_Meas[Unit], MATCH(Table_PrescriptLights_Input[[#This Row],[Measure number]], Table_Prescript_Meas[Measure Number], 0)), "")</f>
        <v/>
      </c>
      <c r="H130" s="180"/>
      <c r="I130" s="179"/>
      <c r="J130" s="179"/>
      <c r="K130" s="180"/>
      <c r="L130" s="179"/>
      <c r="M130" s="180"/>
      <c r="N130" s="180"/>
      <c r="O130" s="180"/>
      <c r="P130" s="180"/>
      <c r="Q130" s="180"/>
      <c r="R130" s="181"/>
      <c r="S130" s="181"/>
      <c r="T130"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30"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30" s="69" t="str">
        <f>IF(Table_PrescriptLights_Input[[#This Row],[Prescriptive lighting measure]]="","",Table_PrescriptLights_Input[[#This Row],[Calculated Energy Savings]])</f>
        <v/>
      </c>
      <c r="W130" s="73" t="str">
        <f>IF(Table_PrescriptLights_Input[[#This Row],[Prescriptive lighting measure]]="","",Table_PrescriptLights_Input[[#This Row],[Calculated Demand Savings]])</f>
        <v/>
      </c>
      <c r="X130" s="67" t="str">
        <f>IFERROR(Table_PrescriptLights_Input[[#This Row],[Energy savings (kWh)]]*Input_AvgkWhRate, "")</f>
        <v/>
      </c>
      <c r="Y130" s="67" t="str">
        <f>IF(Table_PrescriptLights_Input[[#This Row],[Prescriptive lighting measure]]="", "",Table_PrescriptLights_Input[[#This Row],[Material cost per fixture]]*Table_PrescriptLights_Input[[#This Row],[Number of proposed fixtures]]+Table_PrescriptLights_Input[[#This Row],[Total labor cost]])</f>
        <v/>
      </c>
      <c r="Z130" s="67" t="str">
        <f>IFERROR(Table_PrescriptLights_Input[[#This Row],[Gross measure cost]]-Table_PrescriptLights_Input[[#This Row],[Estimated incentive]], "")</f>
        <v/>
      </c>
      <c r="AA130" s="69" t="str">
        <f t="shared" si="3"/>
        <v/>
      </c>
      <c r="AB130" s="69" t="str">
        <f>IF(ISNUMBER(Table_PrescriptLights_Input[[#This Row],[Detailed Fixture Calculation Wattage]]), "Detailed", "General")</f>
        <v>General</v>
      </c>
      <c r="AC130" s="53" t="e">
        <f>INDEX(Table_IntExt_Match[Measure Selection List], MATCH(Table_PrescriptLights_Input[[#This Row],[Interior or exterior?]], Table_IntExt_Match[Inetrior or Exterior], 0))</f>
        <v>#N/A</v>
      </c>
      <c r="AD130" s="53" t="e">
        <f>INDEX(Table_Prescript_Meas[Unit], MATCH(C130, Table_Prescript_Meas[Measure Number], 0))</f>
        <v>#N/A</v>
      </c>
      <c r="AE130" s="53" t="e">
        <f>INDEX(Table_Prescript_Meas[Lighting Type Selection List], MATCH(C130, Table_Prescript_Meas[Measure Number], 0))</f>
        <v>#N/A</v>
      </c>
      <c r="AF130" s="53" t="e">
        <f>INDEX(Table_Prescript_Meas[AOH Type], MATCH(Table_PrescriptLights_Input[[#This Row],[Measure number]], Table_Prescript_Meas[Measure Number],0))</f>
        <v>#N/A</v>
      </c>
      <c r="AG130"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30" s="53" t="str">
        <f>_xlfn.CONCAT(Table_PrescriptLights_Input[[#This Row],[Existing lighting type]],":",Table_PrescriptLights_Input[[#This Row],[Existing lamps per fixture]], ":",Table_PrescriptLights_Input[[#This Row],[Existing lamp wattage]])</f>
        <v>::</v>
      </c>
      <c r="AI130" s="53" t="e">
        <f>INDEX(Table_TRM_Fixtures[Fixture Code], MATCH(Table_PrescriptLights_Input[[#This Row],[Detailed Baseline Fixture Lookup]], Table_TRM_Fixtures[Detailed Prescriptive Baseline Fixture Lookup], 0))</f>
        <v>#N/A</v>
      </c>
      <c r="AJ130" s="53" t="e">
        <f>INDEX(Table_TRM_Fixtures[Fixture Wattage for Baseline Calculations],MATCH(Table_PrescriptLights_Input[[#This Row],[Detailed Baseline Fixture Lookup]], Table_TRM_Fixtures[Detailed Prescriptive Baseline Fixture Lookup],0))</f>
        <v>#N/A</v>
      </c>
      <c r="AK130" s="127" t="e">
        <f>INDEX(Table_Bldg_IEFD_IEFC[IEFE], MATCH( Input_HVACType,Table_Bldg_IEFD_IEFC[List_HVAC], 0))</f>
        <v>#N/A</v>
      </c>
      <c r="AL130" s="127" t="e">
        <f>INDEX( Table_Bldg_IEFD_IEFC[IEFE],MATCH( Input_HVACType, Table_Bldg_IEFD_IEFC[List_HVAC],0 ))</f>
        <v>#N/A</v>
      </c>
      <c r="AM130" s="127" t="e">
        <f>INDEX(Table_Control_PAF[PAF], MATCH(Table_PrescriptLights_Input[[#This Row],[Existing controls]], Table_Control_PAF[List_Control_Types], 0 ) )</f>
        <v>#N/A</v>
      </c>
      <c r="AN130"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30"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30"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30" s="53">
        <f>IFERROR(LEFT(Table_PrescriptLights_Input[[#This Row],[Existing lighting type]], FIND(",",Table_PrescriptLights_Input[[#This Row],[Existing lighting type]])-1), Table_PrescriptLights_Input[[#This Row],[Existing lighting type]])</f>
        <v>0</v>
      </c>
      <c r="AR130" s="53" t="str">
        <f>_xlfn.CONCAT(Table_PrescriptLights_Input[[#This Row],[Generalized Fixture Type]], ":",Table_PrescriptLights_Input[[#This Row],[Existing lamps per fixture]],":",Table_PrescriptLights_Input[[#This Row],[Existing lamp wattage]])</f>
        <v>0::</v>
      </c>
      <c r="AS130" s="53" t="e">
        <f>INDEX(Table_TRM_Fixtures[Fixture Code], MATCH(Table_PrescriptLights_Input[[#This Row],[Generalized Fixture Baseline Lookup]], Table_TRM_Fixtures[Generalized Baseline Fixture Lookup], 0))</f>
        <v>#N/A</v>
      </c>
      <c r="AT130"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30"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30"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30"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30"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30" s="53" t="e">
        <f>IFERROR(Table_PrescriptLights_Input[[#This Row],[Detailed Baseline Fixture Code]],Table_PrescriptLights_Input[[#This Row],[Generalized Baseline Fixture Code]])</f>
        <v>#N/A</v>
      </c>
      <c r="AZ130" s="4"/>
      <c r="BA130" s="4"/>
      <c r="BB130" s="4"/>
      <c r="BC130" s="4"/>
      <c r="BD130" s="4"/>
      <c r="BE130" s="4"/>
      <c r="BF130" s="4"/>
      <c r="BG130" s="4"/>
      <c r="BH130" s="4"/>
      <c r="BI130" s="4"/>
      <c r="BJ130" s="4"/>
      <c r="BK130" s="4"/>
      <c r="BL130" s="4"/>
      <c r="BM130" s="4"/>
      <c r="BN130" s="4"/>
      <c r="BO130" s="4"/>
      <c r="BP130" s="4"/>
      <c r="BQ130" s="4"/>
    </row>
    <row r="131" spans="1:69" x14ac:dyDescent="0.2">
      <c r="A131" s="4"/>
      <c r="B131" s="189">
        <v>127</v>
      </c>
      <c r="C131" s="61" t="str">
        <f>IFERROR(INDEX(Table_Prescript_Meas[Measure Number], MATCH(Table_PrescriptLights_Input[[#This Row],[Prescriptive lighting measure]], Table_Prescript_Meas[Measure Description], 0)), "")</f>
        <v/>
      </c>
      <c r="D131" s="192"/>
      <c r="E131" s="179"/>
      <c r="F131" s="179"/>
      <c r="G131" s="61" t="str">
        <f>IFERROR(INDEX(Table_Prescript_Meas[Unit], MATCH(Table_PrescriptLights_Input[[#This Row],[Measure number]], Table_Prescript_Meas[Measure Number], 0)), "")</f>
        <v/>
      </c>
      <c r="H131" s="180"/>
      <c r="I131" s="179"/>
      <c r="J131" s="179"/>
      <c r="K131" s="180"/>
      <c r="L131" s="179"/>
      <c r="M131" s="180"/>
      <c r="N131" s="180"/>
      <c r="O131" s="180"/>
      <c r="P131" s="180"/>
      <c r="Q131" s="180"/>
      <c r="R131" s="181"/>
      <c r="S131" s="181"/>
      <c r="T131"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31"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31" s="69" t="str">
        <f>IF(Table_PrescriptLights_Input[[#This Row],[Prescriptive lighting measure]]="","",Table_PrescriptLights_Input[[#This Row],[Calculated Energy Savings]])</f>
        <v/>
      </c>
      <c r="W131" s="73" t="str">
        <f>IF(Table_PrescriptLights_Input[[#This Row],[Prescriptive lighting measure]]="","",Table_PrescriptLights_Input[[#This Row],[Calculated Demand Savings]])</f>
        <v/>
      </c>
      <c r="X131" s="67" t="str">
        <f>IFERROR(Table_PrescriptLights_Input[[#This Row],[Energy savings (kWh)]]*Input_AvgkWhRate, "")</f>
        <v/>
      </c>
      <c r="Y131" s="67" t="str">
        <f>IF(Table_PrescriptLights_Input[[#This Row],[Prescriptive lighting measure]]="", "",Table_PrescriptLights_Input[[#This Row],[Material cost per fixture]]*Table_PrescriptLights_Input[[#This Row],[Number of proposed fixtures]]+Table_PrescriptLights_Input[[#This Row],[Total labor cost]])</f>
        <v/>
      </c>
      <c r="Z131" s="67" t="str">
        <f>IFERROR(Table_PrescriptLights_Input[[#This Row],[Gross measure cost]]-Table_PrescriptLights_Input[[#This Row],[Estimated incentive]], "")</f>
        <v/>
      </c>
      <c r="AA131" s="69" t="str">
        <f t="shared" si="3"/>
        <v/>
      </c>
      <c r="AB131" s="69" t="str">
        <f>IF(ISNUMBER(Table_PrescriptLights_Input[[#This Row],[Detailed Fixture Calculation Wattage]]), "Detailed", "General")</f>
        <v>General</v>
      </c>
      <c r="AC131" s="53" t="e">
        <f>INDEX(Table_IntExt_Match[Measure Selection List], MATCH(Table_PrescriptLights_Input[[#This Row],[Interior or exterior?]], Table_IntExt_Match[Inetrior or Exterior], 0))</f>
        <v>#N/A</v>
      </c>
      <c r="AD131" s="53" t="e">
        <f>INDEX(Table_Prescript_Meas[Unit], MATCH(C131, Table_Prescript_Meas[Measure Number], 0))</f>
        <v>#N/A</v>
      </c>
      <c r="AE131" s="53" t="e">
        <f>INDEX(Table_Prescript_Meas[Lighting Type Selection List], MATCH(C131, Table_Prescript_Meas[Measure Number], 0))</f>
        <v>#N/A</v>
      </c>
      <c r="AF131" s="53" t="e">
        <f>INDEX(Table_Prescript_Meas[AOH Type], MATCH(Table_PrescriptLights_Input[[#This Row],[Measure number]], Table_Prescript_Meas[Measure Number],0))</f>
        <v>#N/A</v>
      </c>
      <c r="AG131"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31" s="53" t="str">
        <f>_xlfn.CONCAT(Table_PrescriptLights_Input[[#This Row],[Existing lighting type]],":",Table_PrescriptLights_Input[[#This Row],[Existing lamps per fixture]], ":",Table_PrescriptLights_Input[[#This Row],[Existing lamp wattage]])</f>
        <v>::</v>
      </c>
      <c r="AI131" s="53" t="e">
        <f>INDEX(Table_TRM_Fixtures[Fixture Code], MATCH(Table_PrescriptLights_Input[[#This Row],[Detailed Baseline Fixture Lookup]], Table_TRM_Fixtures[Detailed Prescriptive Baseline Fixture Lookup], 0))</f>
        <v>#N/A</v>
      </c>
      <c r="AJ131" s="53" t="e">
        <f>INDEX(Table_TRM_Fixtures[Fixture Wattage for Baseline Calculations],MATCH(Table_PrescriptLights_Input[[#This Row],[Detailed Baseline Fixture Lookup]], Table_TRM_Fixtures[Detailed Prescriptive Baseline Fixture Lookup],0))</f>
        <v>#N/A</v>
      </c>
      <c r="AK131" s="127" t="e">
        <f>INDEX(Table_Bldg_IEFD_IEFC[IEFE], MATCH( Input_HVACType,Table_Bldg_IEFD_IEFC[List_HVAC], 0))</f>
        <v>#N/A</v>
      </c>
      <c r="AL131" s="127" t="e">
        <f>INDEX( Table_Bldg_IEFD_IEFC[IEFE],MATCH( Input_HVACType, Table_Bldg_IEFD_IEFC[List_HVAC],0 ))</f>
        <v>#N/A</v>
      </c>
      <c r="AM131" s="127" t="e">
        <f>INDEX(Table_Control_PAF[PAF], MATCH(Table_PrescriptLights_Input[[#This Row],[Existing controls]], Table_Control_PAF[List_Control_Types], 0 ) )</f>
        <v>#N/A</v>
      </c>
      <c r="AN131"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31"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31"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31" s="53">
        <f>IFERROR(LEFT(Table_PrescriptLights_Input[[#This Row],[Existing lighting type]], FIND(",",Table_PrescriptLights_Input[[#This Row],[Existing lighting type]])-1), Table_PrescriptLights_Input[[#This Row],[Existing lighting type]])</f>
        <v>0</v>
      </c>
      <c r="AR131" s="53" t="str">
        <f>_xlfn.CONCAT(Table_PrescriptLights_Input[[#This Row],[Generalized Fixture Type]], ":",Table_PrescriptLights_Input[[#This Row],[Existing lamps per fixture]],":",Table_PrescriptLights_Input[[#This Row],[Existing lamp wattage]])</f>
        <v>0::</v>
      </c>
      <c r="AS131" s="53" t="e">
        <f>INDEX(Table_TRM_Fixtures[Fixture Code], MATCH(Table_PrescriptLights_Input[[#This Row],[Generalized Fixture Baseline Lookup]], Table_TRM_Fixtures[Generalized Baseline Fixture Lookup], 0))</f>
        <v>#N/A</v>
      </c>
      <c r="AT131"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31"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31"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31"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31"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31" s="53" t="e">
        <f>IFERROR(Table_PrescriptLights_Input[[#This Row],[Detailed Baseline Fixture Code]],Table_PrescriptLights_Input[[#This Row],[Generalized Baseline Fixture Code]])</f>
        <v>#N/A</v>
      </c>
      <c r="AZ131" s="4"/>
      <c r="BA131" s="4"/>
      <c r="BB131" s="4"/>
      <c r="BC131" s="4"/>
      <c r="BD131" s="4"/>
      <c r="BE131" s="4"/>
      <c r="BF131" s="4"/>
      <c r="BG131" s="4"/>
      <c r="BH131" s="4"/>
      <c r="BI131" s="4"/>
      <c r="BJ131" s="4"/>
      <c r="BK131" s="4"/>
      <c r="BL131" s="4"/>
      <c r="BM131" s="4"/>
      <c r="BN131" s="4"/>
      <c r="BO131" s="4"/>
      <c r="BP131" s="4"/>
      <c r="BQ131" s="4"/>
    </row>
    <row r="132" spans="1:69" x14ac:dyDescent="0.2">
      <c r="A132" s="4"/>
      <c r="B132" s="189">
        <v>128</v>
      </c>
      <c r="C132" s="61" t="str">
        <f>IFERROR(INDEX(Table_Prescript_Meas[Measure Number], MATCH(Table_PrescriptLights_Input[[#This Row],[Prescriptive lighting measure]], Table_Prescript_Meas[Measure Description], 0)), "")</f>
        <v/>
      </c>
      <c r="D132" s="192"/>
      <c r="E132" s="179"/>
      <c r="F132" s="179"/>
      <c r="G132" s="61" t="str">
        <f>IFERROR(INDEX(Table_Prescript_Meas[Unit], MATCH(Table_PrescriptLights_Input[[#This Row],[Measure number]], Table_Prescript_Meas[Measure Number], 0)), "")</f>
        <v/>
      </c>
      <c r="H132" s="180"/>
      <c r="I132" s="179"/>
      <c r="J132" s="179"/>
      <c r="K132" s="180"/>
      <c r="L132" s="179"/>
      <c r="M132" s="180"/>
      <c r="N132" s="180"/>
      <c r="O132" s="180"/>
      <c r="P132" s="180"/>
      <c r="Q132" s="180"/>
      <c r="R132" s="181"/>
      <c r="S132" s="181"/>
      <c r="T132"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32"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32" s="69" t="str">
        <f>IF(Table_PrescriptLights_Input[[#This Row],[Prescriptive lighting measure]]="","",Table_PrescriptLights_Input[[#This Row],[Calculated Energy Savings]])</f>
        <v/>
      </c>
      <c r="W132" s="73" t="str">
        <f>IF(Table_PrescriptLights_Input[[#This Row],[Prescriptive lighting measure]]="","",Table_PrescriptLights_Input[[#This Row],[Calculated Demand Savings]])</f>
        <v/>
      </c>
      <c r="X132" s="67" t="str">
        <f>IFERROR(Table_PrescriptLights_Input[[#This Row],[Energy savings (kWh)]]*Input_AvgkWhRate, "")</f>
        <v/>
      </c>
      <c r="Y132" s="67" t="str">
        <f>IF(Table_PrescriptLights_Input[[#This Row],[Prescriptive lighting measure]]="", "",Table_PrescriptLights_Input[[#This Row],[Material cost per fixture]]*Table_PrescriptLights_Input[[#This Row],[Number of proposed fixtures]]+Table_PrescriptLights_Input[[#This Row],[Total labor cost]])</f>
        <v/>
      </c>
      <c r="Z132" s="67" t="str">
        <f>IFERROR(Table_PrescriptLights_Input[[#This Row],[Gross measure cost]]-Table_PrescriptLights_Input[[#This Row],[Estimated incentive]], "")</f>
        <v/>
      </c>
      <c r="AA132" s="69" t="str">
        <f t="shared" si="3"/>
        <v/>
      </c>
      <c r="AB132" s="69" t="str">
        <f>IF(ISNUMBER(Table_PrescriptLights_Input[[#This Row],[Detailed Fixture Calculation Wattage]]), "Detailed", "General")</f>
        <v>General</v>
      </c>
      <c r="AC132" s="53" t="e">
        <f>INDEX(Table_IntExt_Match[Measure Selection List], MATCH(Table_PrescriptLights_Input[[#This Row],[Interior or exterior?]], Table_IntExt_Match[Inetrior or Exterior], 0))</f>
        <v>#N/A</v>
      </c>
      <c r="AD132" s="53" t="e">
        <f>INDEX(Table_Prescript_Meas[Unit], MATCH(C132, Table_Prescript_Meas[Measure Number], 0))</f>
        <v>#N/A</v>
      </c>
      <c r="AE132" s="53" t="e">
        <f>INDEX(Table_Prescript_Meas[Lighting Type Selection List], MATCH(C132, Table_Prescript_Meas[Measure Number], 0))</f>
        <v>#N/A</v>
      </c>
      <c r="AF132" s="53" t="e">
        <f>INDEX(Table_Prescript_Meas[AOH Type], MATCH(Table_PrescriptLights_Input[[#This Row],[Measure number]], Table_Prescript_Meas[Measure Number],0))</f>
        <v>#N/A</v>
      </c>
      <c r="AG132"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32" s="53" t="str">
        <f>_xlfn.CONCAT(Table_PrescriptLights_Input[[#This Row],[Existing lighting type]],":",Table_PrescriptLights_Input[[#This Row],[Existing lamps per fixture]], ":",Table_PrescriptLights_Input[[#This Row],[Existing lamp wattage]])</f>
        <v>::</v>
      </c>
      <c r="AI132" s="53" t="e">
        <f>INDEX(Table_TRM_Fixtures[Fixture Code], MATCH(Table_PrescriptLights_Input[[#This Row],[Detailed Baseline Fixture Lookup]], Table_TRM_Fixtures[Detailed Prescriptive Baseline Fixture Lookup], 0))</f>
        <v>#N/A</v>
      </c>
      <c r="AJ132" s="53" t="e">
        <f>INDEX(Table_TRM_Fixtures[Fixture Wattage for Baseline Calculations],MATCH(Table_PrescriptLights_Input[[#This Row],[Detailed Baseline Fixture Lookup]], Table_TRM_Fixtures[Detailed Prescriptive Baseline Fixture Lookup],0))</f>
        <v>#N/A</v>
      </c>
      <c r="AK132" s="127" t="e">
        <f>INDEX(Table_Bldg_IEFD_IEFC[IEFE], MATCH( Input_HVACType,Table_Bldg_IEFD_IEFC[List_HVAC], 0))</f>
        <v>#N/A</v>
      </c>
      <c r="AL132" s="127" t="e">
        <f>INDEX( Table_Bldg_IEFD_IEFC[IEFE],MATCH( Input_HVACType, Table_Bldg_IEFD_IEFC[List_HVAC],0 ))</f>
        <v>#N/A</v>
      </c>
      <c r="AM132" s="127" t="e">
        <f>INDEX(Table_Control_PAF[PAF], MATCH(Table_PrescriptLights_Input[[#This Row],[Existing controls]], Table_Control_PAF[List_Control_Types], 0 ) )</f>
        <v>#N/A</v>
      </c>
      <c r="AN132"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32"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32"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32" s="53">
        <f>IFERROR(LEFT(Table_PrescriptLights_Input[[#This Row],[Existing lighting type]], FIND(",",Table_PrescriptLights_Input[[#This Row],[Existing lighting type]])-1), Table_PrescriptLights_Input[[#This Row],[Existing lighting type]])</f>
        <v>0</v>
      </c>
      <c r="AR132" s="53" t="str">
        <f>_xlfn.CONCAT(Table_PrescriptLights_Input[[#This Row],[Generalized Fixture Type]], ":",Table_PrescriptLights_Input[[#This Row],[Existing lamps per fixture]],":",Table_PrescriptLights_Input[[#This Row],[Existing lamp wattage]])</f>
        <v>0::</v>
      </c>
      <c r="AS132" s="53" t="e">
        <f>INDEX(Table_TRM_Fixtures[Fixture Code], MATCH(Table_PrescriptLights_Input[[#This Row],[Generalized Fixture Baseline Lookup]], Table_TRM_Fixtures[Generalized Baseline Fixture Lookup], 0))</f>
        <v>#N/A</v>
      </c>
      <c r="AT132"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32"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32"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32"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32"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32" s="53" t="e">
        <f>IFERROR(Table_PrescriptLights_Input[[#This Row],[Detailed Baseline Fixture Code]],Table_PrescriptLights_Input[[#This Row],[Generalized Baseline Fixture Code]])</f>
        <v>#N/A</v>
      </c>
      <c r="AZ132" s="4"/>
      <c r="BA132" s="4"/>
      <c r="BB132" s="4"/>
      <c r="BC132" s="4"/>
      <c r="BD132" s="4"/>
      <c r="BE132" s="4"/>
      <c r="BF132" s="4"/>
      <c r="BG132" s="4"/>
      <c r="BH132" s="4"/>
      <c r="BI132" s="4"/>
      <c r="BJ132" s="4"/>
      <c r="BK132" s="4"/>
      <c r="BL132" s="4"/>
      <c r="BM132" s="4"/>
      <c r="BN132" s="4"/>
      <c r="BO132" s="4"/>
      <c r="BP132" s="4"/>
      <c r="BQ132" s="4"/>
    </row>
    <row r="133" spans="1:69" x14ac:dyDescent="0.2">
      <c r="A133" s="4"/>
      <c r="B133" s="189">
        <v>129</v>
      </c>
      <c r="C133" s="61" t="str">
        <f>IFERROR(INDEX(Table_Prescript_Meas[Measure Number], MATCH(Table_PrescriptLights_Input[[#This Row],[Prescriptive lighting measure]], Table_Prescript_Meas[Measure Description], 0)), "")</f>
        <v/>
      </c>
      <c r="D133" s="192"/>
      <c r="E133" s="179"/>
      <c r="F133" s="179"/>
      <c r="G133" s="61" t="str">
        <f>IFERROR(INDEX(Table_Prescript_Meas[Unit], MATCH(Table_PrescriptLights_Input[[#This Row],[Measure number]], Table_Prescript_Meas[Measure Number], 0)), "")</f>
        <v/>
      </c>
      <c r="H133" s="180"/>
      <c r="I133" s="179"/>
      <c r="J133" s="179"/>
      <c r="K133" s="180"/>
      <c r="L133" s="179"/>
      <c r="M133" s="180"/>
      <c r="N133" s="180"/>
      <c r="O133" s="180"/>
      <c r="P133" s="180"/>
      <c r="Q133" s="180"/>
      <c r="R133" s="181"/>
      <c r="S133" s="181"/>
      <c r="T133"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33"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33" s="69" t="str">
        <f>IF(Table_PrescriptLights_Input[[#This Row],[Prescriptive lighting measure]]="","",Table_PrescriptLights_Input[[#This Row],[Calculated Energy Savings]])</f>
        <v/>
      </c>
      <c r="W133" s="73" t="str">
        <f>IF(Table_PrescriptLights_Input[[#This Row],[Prescriptive lighting measure]]="","",Table_PrescriptLights_Input[[#This Row],[Calculated Demand Savings]])</f>
        <v/>
      </c>
      <c r="X133" s="67" t="str">
        <f>IFERROR(Table_PrescriptLights_Input[[#This Row],[Energy savings (kWh)]]*Input_AvgkWhRate, "")</f>
        <v/>
      </c>
      <c r="Y133" s="67" t="str">
        <f>IF(Table_PrescriptLights_Input[[#This Row],[Prescriptive lighting measure]]="", "",Table_PrescriptLights_Input[[#This Row],[Material cost per fixture]]*Table_PrescriptLights_Input[[#This Row],[Number of proposed fixtures]]+Table_PrescriptLights_Input[[#This Row],[Total labor cost]])</f>
        <v/>
      </c>
      <c r="Z133" s="67" t="str">
        <f>IFERROR(Table_PrescriptLights_Input[[#This Row],[Gross measure cost]]-Table_PrescriptLights_Input[[#This Row],[Estimated incentive]], "")</f>
        <v/>
      </c>
      <c r="AA133" s="69" t="str">
        <f t="shared" ref="AA133:AA164" si="4">IFERROR($Z133/$X133,"")</f>
        <v/>
      </c>
      <c r="AB133" s="69" t="str">
        <f>IF(ISNUMBER(Table_PrescriptLights_Input[[#This Row],[Detailed Fixture Calculation Wattage]]), "Detailed", "General")</f>
        <v>General</v>
      </c>
      <c r="AC133" s="53" t="e">
        <f>INDEX(Table_IntExt_Match[Measure Selection List], MATCH(Table_PrescriptLights_Input[[#This Row],[Interior or exterior?]], Table_IntExt_Match[Inetrior or Exterior], 0))</f>
        <v>#N/A</v>
      </c>
      <c r="AD133" s="53" t="e">
        <f>INDEX(Table_Prescript_Meas[Unit], MATCH(C133, Table_Prescript_Meas[Measure Number], 0))</f>
        <v>#N/A</v>
      </c>
      <c r="AE133" s="53" t="e">
        <f>INDEX(Table_Prescript_Meas[Lighting Type Selection List], MATCH(C133, Table_Prescript_Meas[Measure Number], 0))</f>
        <v>#N/A</v>
      </c>
      <c r="AF133" s="53" t="e">
        <f>INDEX(Table_Prescript_Meas[AOH Type], MATCH(Table_PrescriptLights_Input[[#This Row],[Measure number]], Table_Prescript_Meas[Measure Number],0))</f>
        <v>#N/A</v>
      </c>
      <c r="AG133"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33" s="53" t="str">
        <f>_xlfn.CONCAT(Table_PrescriptLights_Input[[#This Row],[Existing lighting type]],":",Table_PrescriptLights_Input[[#This Row],[Existing lamps per fixture]], ":",Table_PrescriptLights_Input[[#This Row],[Existing lamp wattage]])</f>
        <v>::</v>
      </c>
      <c r="AI133" s="53" t="e">
        <f>INDEX(Table_TRM_Fixtures[Fixture Code], MATCH(Table_PrescriptLights_Input[[#This Row],[Detailed Baseline Fixture Lookup]], Table_TRM_Fixtures[Detailed Prescriptive Baseline Fixture Lookup], 0))</f>
        <v>#N/A</v>
      </c>
      <c r="AJ133" s="53" t="e">
        <f>INDEX(Table_TRM_Fixtures[Fixture Wattage for Baseline Calculations],MATCH(Table_PrescriptLights_Input[[#This Row],[Detailed Baseline Fixture Lookup]], Table_TRM_Fixtures[Detailed Prescriptive Baseline Fixture Lookup],0))</f>
        <v>#N/A</v>
      </c>
      <c r="AK133" s="127" t="e">
        <f>INDEX(Table_Bldg_IEFD_IEFC[IEFE], MATCH( Input_HVACType,Table_Bldg_IEFD_IEFC[List_HVAC], 0))</f>
        <v>#N/A</v>
      </c>
      <c r="AL133" s="127" t="e">
        <f>INDEX( Table_Bldg_IEFD_IEFC[IEFE],MATCH( Input_HVACType, Table_Bldg_IEFD_IEFC[List_HVAC],0 ))</f>
        <v>#N/A</v>
      </c>
      <c r="AM133" s="127" t="e">
        <f>INDEX(Table_Control_PAF[PAF], MATCH(Table_PrescriptLights_Input[[#This Row],[Existing controls]], Table_Control_PAF[List_Control_Types], 0 ) )</f>
        <v>#N/A</v>
      </c>
      <c r="AN133"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33"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33"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33" s="53">
        <f>IFERROR(LEFT(Table_PrescriptLights_Input[[#This Row],[Existing lighting type]], FIND(",",Table_PrescriptLights_Input[[#This Row],[Existing lighting type]])-1), Table_PrescriptLights_Input[[#This Row],[Existing lighting type]])</f>
        <v>0</v>
      </c>
      <c r="AR133" s="53" t="str">
        <f>_xlfn.CONCAT(Table_PrescriptLights_Input[[#This Row],[Generalized Fixture Type]], ":",Table_PrescriptLights_Input[[#This Row],[Existing lamps per fixture]],":",Table_PrescriptLights_Input[[#This Row],[Existing lamp wattage]])</f>
        <v>0::</v>
      </c>
      <c r="AS133" s="53" t="e">
        <f>INDEX(Table_TRM_Fixtures[Fixture Code], MATCH(Table_PrescriptLights_Input[[#This Row],[Generalized Fixture Baseline Lookup]], Table_TRM_Fixtures[Generalized Baseline Fixture Lookup], 0))</f>
        <v>#N/A</v>
      </c>
      <c r="AT133"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33"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33"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33"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33"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33" s="53" t="e">
        <f>IFERROR(Table_PrescriptLights_Input[[#This Row],[Detailed Baseline Fixture Code]],Table_PrescriptLights_Input[[#This Row],[Generalized Baseline Fixture Code]])</f>
        <v>#N/A</v>
      </c>
      <c r="AZ133" s="4"/>
      <c r="BA133" s="4"/>
      <c r="BB133" s="4"/>
      <c r="BC133" s="4"/>
      <c r="BD133" s="4"/>
      <c r="BE133" s="4"/>
      <c r="BF133" s="4"/>
      <c r="BG133" s="4"/>
      <c r="BH133" s="4"/>
      <c r="BI133" s="4"/>
      <c r="BJ133" s="4"/>
      <c r="BK133" s="4"/>
      <c r="BL133" s="4"/>
      <c r="BM133" s="4"/>
      <c r="BN133" s="4"/>
      <c r="BO133" s="4"/>
      <c r="BP133" s="4"/>
      <c r="BQ133" s="4"/>
    </row>
    <row r="134" spans="1:69" x14ac:dyDescent="0.2">
      <c r="A134" s="4"/>
      <c r="B134" s="189">
        <v>130</v>
      </c>
      <c r="C134" s="61" t="str">
        <f>IFERROR(INDEX(Table_Prescript_Meas[Measure Number], MATCH(Table_PrescriptLights_Input[[#This Row],[Prescriptive lighting measure]], Table_Prescript_Meas[Measure Description], 0)), "")</f>
        <v/>
      </c>
      <c r="D134" s="192"/>
      <c r="E134" s="179"/>
      <c r="F134" s="179"/>
      <c r="G134" s="61" t="str">
        <f>IFERROR(INDEX(Table_Prescript_Meas[Unit], MATCH(Table_PrescriptLights_Input[[#This Row],[Measure number]], Table_Prescript_Meas[Measure Number], 0)), "")</f>
        <v/>
      </c>
      <c r="H134" s="180"/>
      <c r="I134" s="179"/>
      <c r="J134" s="179"/>
      <c r="K134" s="180"/>
      <c r="L134" s="179"/>
      <c r="M134" s="180"/>
      <c r="N134" s="180"/>
      <c r="O134" s="180"/>
      <c r="P134" s="180"/>
      <c r="Q134" s="180"/>
      <c r="R134" s="181"/>
      <c r="S134" s="181"/>
      <c r="T134"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34"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34" s="69" t="str">
        <f>IF(Table_PrescriptLights_Input[[#This Row],[Prescriptive lighting measure]]="","",Table_PrescriptLights_Input[[#This Row],[Calculated Energy Savings]])</f>
        <v/>
      </c>
      <c r="W134" s="73" t="str">
        <f>IF(Table_PrescriptLights_Input[[#This Row],[Prescriptive lighting measure]]="","",Table_PrescriptLights_Input[[#This Row],[Calculated Demand Savings]])</f>
        <v/>
      </c>
      <c r="X134" s="67" t="str">
        <f>IFERROR(Table_PrescriptLights_Input[[#This Row],[Energy savings (kWh)]]*Input_AvgkWhRate, "")</f>
        <v/>
      </c>
      <c r="Y134" s="67" t="str">
        <f>IF(Table_PrescriptLights_Input[[#This Row],[Prescriptive lighting measure]]="", "",Table_PrescriptLights_Input[[#This Row],[Material cost per fixture]]*Table_PrescriptLights_Input[[#This Row],[Number of proposed fixtures]]+Table_PrescriptLights_Input[[#This Row],[Total labor cost]])</f>
        <v/>
      </c>
      <c r="Z134" s="67" t="str">
        <f>IFERROR(Table_PrescriptLights_Input[[#This Row],[Gross measure cost]]-Table_PrescriptLights_Input[[#This Row],[Estimated incentive]], "")</f>
        <v/>
      </c>
      <c r="AA134" s="69" t="str">
        <f t="shared" si="4"/>
        <v/>
      </c>
      <c r="AB134" s="69" t="str">
        <f>IF(ISNUMBER(Table_PrescriptLights_Input[[#This Row],[Detailed Fixture Calculation Wattage]]), "Detailed", "General")</f>
        <v>General</v>
      </c>
      <c r="AC134" s="53" t="e">
        <f>INDEX(Table_IntExt_Match[Measure Selection List], MATCH(Table_PrescriptLights_Input[[#This Row],[Interior or exterior?]], Table_IntExt_Match[Inetrior or Exterior], 0))</f>
        <v>#N/A</v>
      </c>
      <c r="AD134" s="53" t="e">
        <f>INDEX(Table_Prescript_Meas[Unit], MATCH(C134, Table_Prescript_Meas[Measure Number], 0))</f>
        <v>#N/A</v>
      </c>
      <c r="AE134" s="53" t="e">
        <f>INDEX(Table_Prescript_Meas[Lighting Type Selection List], MATCH(C134, Table_Prescript_Meas[Measure Number], 0))</f>
        <v>#N/A</v>
      </c>
      <c r="AF134" s="53" t="e">
        <f>INDEX(Table_Prescript_Meas[AOH Type], MATCH(Table_PrescriptLights_Input[[#This Row],[Measure number]], Table_Prescript_Meas[Measure Number],0))</f>
        <v>#N/A</v>
      </c>
      <c r="AG134"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34" s="53" t="str">
        <f>_xlfn.CONCAT(Table_PrescriptLights_Input[[#This Row],[Existing lighting type]],":",Table_PrescriptLights_Input[[#This Row],[Existing lamps per fixture]], ":",Table_PrescriptLights_Input[[#This Row],[Existing lamp wattage]])</f>
        <v>::</v>
      </c>
      <c r="AI134" s="53" t="e">
        <f>INDEX(Table_TRM_Fixtures[Fixture Code], MATCH(Table_PrescriptLights_Input[[#This Row],[Detailed Baseline Fixture Lookup]], Table_TRM_Fixtures[Detailed Prescriptive Baseline Fixture Lookup], 0))</f>
        <v>#N/A</v>
      </c>
      <c r="AJ134" s="53" t="e">
        <f>INDEX(Table_TRM_Fixtures[Fixture Wattage for Baseline Calculations],MATCH(Table_PrescriptLights_Input[[#This Row],[Detailed Baseline Fixture Lookup]], Table_TRM_Fixtures[Detailed Prescriptive Baseline Fixture Lookup],0))</f>
        <v>#N/A</v>
      </c>
      <c r="AK134" s="127" t="e">
        <f>INDEX(Table_Bldg_IEFD_IEFC[IEFE], MATCH( Input_HVACType,Table_Bldg_IEFD_IEFC[List_HVAC], 0))</f>
        <v>#N/A</v>
      </c>
      <c r="AL134" s="127" t="e">
        <f>INDEX( Table_Bldg_IEFD_IEFC[IEFE],MATCH( Input_HVACType, Table_Bldg_IEFD_IEFC[List_HVAC],0 ))</f>
        <v>#N/A</v>
      </c>
      <c r="AM134" s="127" t="e">
        <f>INDEX(Table_Control_PAF[PAF], MATCH(Table_PrescriptLights_Input[[#This Row],[Existing controls]], Table_Control_PAF[List_Control_Types], 0 ) )</f>
        <v>#N/A</v>
      </c>
      <c r="AN134"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34"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34"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34" s="53">
        <f>IFERROR(LEFT(Table_PrescriptLights_Input[[#This Row],[Existing lighting type]], FIND(",",Table_PrescriptLights_Input[[#This Row],[Existing lighting type]])-1), Table_PrescriptLights_Input[[#This Row],[Existing lighting type]])</f>
        <v>0</v>
      </c>
      <c r="AR134" s="53" t="str">
        <f>_xlfn.CONCAT(Table_PrescriptLights_Input[[#This Row],[Generalized Fixture Type]], ":",Table_PrescriptLights_Input[[#This Row],[Existing lamps per fixture]],":",Table_PrescriptLights_Input[[#This Row],[Existing lamp wattage]])</f>
        <v>0::</v>
      </c>
      <c r="AS134" s="53" t="e">
        <f>INDEX(Table_TRM_Fixtures[Fixture Code], MATCH(Table_PrescriptLights_Input[[#This Row],[Generalized Fixture Baseline Lookup]], Table_TRM_Fixtures[Generalized Baseline Fixture Lookup], 0))</f>
        <v>#N/A</v>
      </c>
      <c r="AT134"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34"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34"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34"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34"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34" s="53" t="e">
        <f>IFERROR(Table_PrescriptLights_Input[[#This Row],[Detailed Baseline Fixture Code]],Table_PrescriptLights_Input[[#This Row],[Generalized Baseline Fixture Code]])</f>
        <v>#N/A</v>
      </c>
      <c r="AZ134" s="4"/>
      <c r="BA134" s="4"/>
      <c r="BB134" s="4"/>
      <c r="BC134" s="4"/>
      <c r="BD134" s="4"/>
      <c r="BE134" s="4"/>
      <c r="BF134" s="4"/>
      <c r="BG134" s="4"/>
      <c r="BH134" s="4"/>
      <c r="BI134" s="4"/>
      <c r="BJ134" s="4"/>
      <c r="BK134" s="4"/>
      <c r="BL134" s="4"/>
      <c r="BM134" s="4"/>
      <c r="BN134" s="4"/>
      <c r="BO134" s="4"/>
      <c r="BP134" s="4"/>
      <c r="BQ134" s="4"/>
    </row>
    <row r="135" spans="1:69" x14ac:dyDescent="0.2">
      <c r="A135" s="4"/>
      <c r="B135" s="189">
        <v>131</v>
      </c>
      <c r="C135" s="61" t="str">
        <f>IFERROR(INDEX(Table_Prescript_Meas[Measure Number], MATCH(Table_PrescriptLights_Input[[#This Row],[Prescriptive lighting measure]], Table_Prescript_Meas[Measure Description], 0)), "")</f>
        <v/>
      </c>
      <c r="D135" s="192"/>
      <c r="E135" s="179"/>
      <c r="F135" s="179"/>
      <c r="G135" s="61" t="str">
        <f>IFERROR(INDEX(Table_Prescript_Meas[Unit], MATCH(Table_PrescriptLights_Input[[#This Row],[Measure number]], Table_Prescript_Meas[Measure Number], 0)), "")</f>
        <v/>
      </c>
      <c r="H135" s="180"/>
      <c r="I135" s="179"/>
      <c r="J135" s="179"/>
      <c r="K135" s="180"/>
      <c r="L135" s="179"/>
      <c r="M135" s="180"/>
      <c r="N135" s="180"/>
      <c r="O135" s="180"/>
      <c r="P135" s="180"/>
      <c r="Q135" s="180"/>
      <c r="R135" s="181"/>
      <c r="S135" s="181"/>
      <c r="T135"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35"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35" s="69" t="str">
        <f>IF(Table_PrescriptLights_Input[[#This Row],[Prescriptive lighting measure]]="","",Table_PrescriptLights_Input[[#This Row],[Calculated Energy Savings]])</f>
        <v/>
      </c>
      <c r="W135" s="73" t="str">
        <f>IF(Table_PrescriptLights_Input[[#This Row],[Prescriptive lighting measure]]="","",Table_PrescriptLights_Input[[#This Row],[Calculated Demand Savings]])</f>
        <v/>
      </c>
      <c r="X135" s="67" t="str">
        <f>IFERROR(Table_PrescriptLights_Input[[#This Row],[Energy savings (kWh)]]*Input_AvgkWhRate, "")</f>
        <v/>
      </c>
      <c r="Y135" s="67" t="str">
        <f>IF(Table_PrescriptLights_Input[[#This Row],[Prescriptive lighting measure]]="", "",Table_PrescriptLights_Input[[#This Row],[Material cost per fixture]]*Table_PrescriptLights_Input[[#This Row],[Number of proposed fixtures]]+Table_PrescriptLights_Input[[#This Row],[Total labor cost]])</f>
        <v/>
      </c>
      <c r="Z135" s="67" t="str">
        <f>IFERROR(Table_PrescriptLights_Input[[#This Row],[Gross measure cost]]-Table_PrescriptLights_Input[[#This Row],[Estimated incentive]], "")</f>
        <v/>
      </c>
      <c r="AA135" s="69" t="str">
        <f t="shared" si="4"/>
        <v/>
      </c>
      <c r="AB135" s="69" t="str">
        <f>IF(ISNUMBER(Table_PrescriptLights_Input[[#This Row],[Detailed Fixture Calculation Wattage]]), "Detailed", "General")</f>
        <v>General</v>
      </c>
      <c r="AC135" s="53" t="e">
        <f>INDEX(Table_IntExt_Match[Measure Selection List], MATCH(Table_PrescriptLights_Input[[#This Row],[Interior or exterior?]], Table_IntExt_Match[Inetrior or Exterior], 0))</f>
        <v>#N/A</v>
      </c>
      <c r="AD135" s="53" t="e">
        <f>INDEX(Table_Prescript_Meas[Unit], MATCH(C135, Table_Prescript_Meas[Measure Number], 0))</f>
        <v>#N/A</v>
      </c>
      <c r="AE135" s="53" t="e">
        <f>INDEX(Table_Prescript_Meas[Lighting Type Selection List], MATCH(C135, Table_Prescript_Meas[Measure Number], 0))</f>
        <v>#N/A</v>
      </c>
      <c r="AF135" s="53" t="e">
        <f>INDEX(Table_Prescript_Meas[AOH Type], MATCH(Table_PrescriptLights_Input[[#This Row],[Measure number]], Table_Prescript_Meas[Measure Number],0))</f>
        <v>#N/A</v>
      </c>
      <c r="AG135"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35" s="53" t="str">
        <f>_xlfn.CONCAT(Table_PrescriptLights_Input[[#This Row],[Existing lighting type]],":",Table_PrescriptLights_Input[[#This Row],[Existing lamps per fixture]], ":",Table_PrescriptLights_Input[[#This Row],[Existing lamp wattage]])</f>
        <v>::</v>
      </c>
      <c r="AI135" s="53" t="e">
        <f>INDEX(Table_TRM_Fixtures[Fixture Code], MATCH(Table_PrescriptLights_Input[[#This Row],[Detailed Baseline Fixture Lookup]], Table_TRM_Fixtures[Detailed Prescriptive Baseline Fixture Lookup], 0))</f>
        <v>#N/A</v>
      </c>
      <c r="AJ135" s="53" t="e">
        <f>INDEX(Table_TRM_Fixtures[Fixture Wattage for Baseline Calculations],MATCH(Table_PrescriptLights_Input[[#This Row],[Detailed Baseline Fixture Lookup]], Table_TRM_Fixtures[Detailed Prescriptive Baseline Fixture Lookup],0))</f>
        <v>#N/A</v>
      </c>
      <c r="AK135" s="127" t="e">
        <f>INDEX(Table_Bldg_IEFD_IEFC[IEFE], MATCH( Input_HVACType,Table_Bldg_IEFD_IEFC[List_HVAC], 0))</f>
        <v>#N/A</v>
      </c>
      <c r="AL135" s="127" t="e">
        <f>INDEX( Table_Bldg_IEFD_IEFC[IEFE],MATCH( Input_HVACType, Table_Bldg_IEFD_IEFC[List_HVAC],0 ))</f>
        <v>#N/A</v>
      </c>
      <c r="AM135" s="127" t="e">
        <f>INDEX(Table_Control_PAF[PAF], MATCH(Table_PrescriptLights_Input[[#This Row],[Existing controls]], Table_Control_PAF[List_Control_Types], 0 ) )</f>
        <v>#N/A</v>
      </c>
      <c r="AN135"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35"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35"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35" s="53">
        <f>IFERROR(LEFT(Table_PrescriptLights_Input[[#This Row],[Existing lighting type]], FIND(",",Table_PrescriptLights_Input[[#This Row],[Existing lighting type]])-1), Table_PrescriptLights_Input[[#This Row],[Existing lighting type]])</f>
        <v>0</v>
      </c>
      <c r="AR135" s="53" t="str">
        <f>_xlfn.CONCAT(Table_PrescriptLights_Input[[#This Row],[Generalized Fixture Type]], ":",Table_PrescriptLights_Input[[#This Row],[Existing lamps per fixture]],":",Table_PrescriptLights_Input[[#This Row],[Existing lamp wattage]])</f>
        <v>0::</v>
      </c>
      <c r="AS135" s="53" t="e">
        <f>INDEX(Table_TRM_Fixtures[Fixture Code], MATCH(Table_PrescriptLights_Input[[#This Row],[Generalized Fixture Baseline Lookup]], Table_TRM_Fixtures[Generalized Baseline Fixture Lookup], 0))</f>
        <v>#N/A</v>
      </c>
      <c r="AT135"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35"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35"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35"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35"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35" s="53" t="e">
        <f>IFERROR(Table_PrescriptLights_Input[[#This Row],[Detailed Baseline Fixture Code]],Table_PrescriptLights_Input[[#This Row],[Generalized Baseline Fixture Code]])</f>
        <v>#N/A</v>
      </c>
      <c r="AZ135" s="4"/>
      <c r="BA135" s="4"/>
      <c r="BB135" s="4"/>
      <c r="BC135" s="4"/>
      <c r="BD135" s="4"/>
      <c r="BE135" s="4"/>
      <c r="BF135" s="4"/>
      <c r="BG135" s="4"/>
      <c r="BH135" s="4"/>
      <c r="BI135" s="4"/>
      <c r="BJ135" s="4"/>
      <c r="BK135" s="4"/>
      <c r="BL135" s="4"/>
      <c r="BM135" s="4"/>
      <c r="BN135" s="4"/>
      <c r="BO135" s="4"/>
      <c r="BP135" s="4"/>
      <c r="BQ135" s="4"/>
    </row>
    <row r="136" spans="1:69" x14ac:dyDescent="0.2">
      <c r="A136" s="4"/>
      <c r="B136" s="189">
        <v>132</v>
      </c>
      <c r="C136" s="61" t="str">
        <f>IFERROR(INDEX(Table_Prescript_Meas[Measure Number], MATCH(Table_PrescriptLights_Input[[#This Row],[Prescriptive lighting measure]], Table_Prescript_Meas[Measure Description], 0)), "")</f>
        <v/>
      </c>
      <c r="D136" s="192"/>
      <c r="E136" s="179"/>
      <c r="F136" s="179"/>
      <c r="G136" s="61" t="str">
        <f>IFERROR(INDEX(Table_Prescript_Meas[Unit], MATCH(Table_PrescriptLights_Input[[#This Row],[Measure number]], Table_Prescript_Meas[Measure Number], 0)), "")</f>
        <v/>
      </c>
      <c r="H136" s="180"/>
      <c r="I136" s="179"/>
      <c r="J136" s="179"/>
      <c r="K136" s="180"/>
      <c r="L136" s="179"/>
      <c r="M136" s="180"/>
      <c r="N136" s="180"/>
      <c r="O136" s="180"/>
      <c r="P136" s="180"/>
      <c r="Q136" s="180"/>
      <c r="R136" s="181"/>
      <c r="S136" s="181"/>
      <c r="T136"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36"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36" s="69" t="str">
        <f>IF(Table_PrescriptLights_Input[[#This Row],[Prescriptive lighting measure]]="","",Table_PrescriptLights_Input[[#This Row],[Calculated Energy Savings]])</f>
        <v/>
      </c>
      <c r="W136" s="73" t="str">
        <f>IF(Table_PrescriptLights_Input[[#This Row],[Prescriptive lighting measure]]="","",Table_PrescriptLights_Input[[#This Row],[Calculated Demand Savings]])</f>
        <v/>
      </c>
      <c r="X136" s="67" t="str">
        <f>IFERROR(Table_PrescriptLights_Input[[#This Row],[Energy savings (kWh)]]*Input_AvgkWhRate, "")</f>
        <v/>
      </c>
      <c r="Y136" s="67" t="str">
        <f>IF(Table_PrescriptLights_Input[[#This Row],[Prescriptive lighting measure]]="", "",Table_PrescriptLights_Input[[#This Row],[Material cost per fixture]]*Table_PrescriptLights_Input[[#This Row],[Number of proposed fixtures]]+Table_PrescriptLights_Input[[#This Row],[Total labor cost]])</f>
        <v/>
      </c>
      <c r="Z136" s="67" t="str">
        <f>IFERROR(Table_PrescriptLights_Input[[#This Row],[Gross measure cost]]-Table_PrescriptLights_Input[[#This Row],[Estimated incentive]], "")</f>
        <v/>
      </c>
      <c r="AA136" s="69" t="str">
        <f t="shared" si="4"/>
        <v/>
      </c>
      <c r="AB136" s="69" t="str">
        <f>IF(ISNUMBER(Table_PrescriptLights_Input[[#This Row],[Detailed Fixture Calculation Wattage]]), "Detailed", "General")</f>
        <v>General</v>
      </c>
      <c r="AC136" s="53" t="e">
        <f>INDEX(Table_IntExt_Match[Measure Selection List], MATCH(Table_PrescriptLights_Input[[#This Row],[Interior or exterior?]], Table_IntExt_Match[Inetrior or Exterior], 0))</f>
        <v>#N/A</v>
      </c>
      <c r="AD136" s="53" t="e">
        <f>INDEX(Table_Prescript_Meas[Unit], MATCH(C136, Table_Prescript_Meas[Measure Number], 0))</f>
        <v>#N/A</v>
      </c>
      <c r="AE136" s="53" t="e">
        <f>INDEX(Table_Prescript_Meas[Lighting Type Selection List], MATCH(C136, Table_Prescript_Meas[Measure Number], 0))</f>
        <v>#N/A</v>
      </c>
      <c r="AF136" s="53" t="e">
        <f>INDEX(Table_Prescript_Meas[AOH Type], MATCH(Table_PrescriptLights_Input[[#This Row],[Measure number]], Table_Prescript_Meas[Measure Number],0))</f>
        <v>#N/A</v>
      </c>
      <c r="AG136"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36" s="53" t="str">
        <f>_xlfn.CONCAT(Table_PrescriptLights_Input[[#This Row],[Existing lighting type]],":",Table_PrescriptLights_Input[[#This Row],[Existing lamps per fixture]], ":",Table_PrescriptLights_Input[[#This Row],[Existing lamp wattage]])</f>
        <v>::</v>
      </c>
      <c r="AI136" s="53" t="e">
        <f>INDEX(Table_TRM_Fixtures[Fixture Code], MATCH(Table_PrescriptLights_Input[[#This Row],[Detailed Baseline Fixture Lookup]], Table_TRM_Fixtures[Detailed Prescriptive Baseline Fixture Lookup], 0))</f>
        <v>#N/A</v>
      </c>
      <c r="AJ136" s="53" t="e">
        <f>INDEX(Table_TRM_Fixtures[Fixture Wattage for Baseline Calculations],MATCH(Table_PrescriptLights_Input[[#This Row],[Detailed Baseline Fixture Lookup]], Table_TRM_Fixtures[Detailed Prescriptive Baseline Fixture Lookup],0))</f>
        <v>#N/A</v>
      </c>
      <c r="AK136" s="127" t="e">
        <f>INDEX(Table_Bldg_IEFD_IEFC[IEFE], MATCH( Input_HVACType,Table_Bldg_IEFD_IEFC[List_HVAC], 0))</f>
        <v>#N/A</v>
      </c>
      <c r="AL136" s="127" t="e">
        <f>INDEX( Table_Bldg_IEFD_IEFC[IEFE],MATCH( Input_HVACType, Table_Bldg_IEFD_IEFC[List_HVAC],0 ))</f>
        <v>#N/A</v>
      </c>
      <c r="AM136" s="127" t="e">
        <f>INDEX(Table_Control_PAF[PAF], MATCH(Table_PrescriptLights_Input[[#This Row],[Existing controls]], Table_Control_PAF[List_Control_Types], 0 ) )</f>
        <v>#N/A</v>
      </c>
      <c r="AN136"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36"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36"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36" s="53">
        <f>IFERROR(LEFT(Table_PrescriptLights_Input[[#This Row],[Existing lighting type]], FIND(",",Table_PrescriptLights_Input[[#This Row],[Existing lighting type]])-1), Table_PrescriptLights_Input[[#This Row],[Existing lighting type]])</f>
        <v>0</v>
      </c>
      <c r="AR136" s="53" t="str">
        <f>_xlfn.CONCAT(Table_PrescriptLights_Input[[#This Row],[Generalized Fixture Type]], ":",Table_PrescriptLights_Input[[#This Row],[Existing lamps per fixture]],":",Table_PrescriptLights_Input[[#This Row],[Existing lamp wattage]])</f>
        <v>0::</v>
      </c>
      <c r="AS136" s="53" t="e">
        <f>INDEX(Table_TRM_Fixtures[Fixture Code], MATCH(Table_PrescriptLights_Input[[#This Row],[Generalized Fixture Baseline Lookup]], Table_TRM_Fixtures[Generalized Baseline Fixture Lookup], 0))</f>
        <v>#N/A</v>
      </c>
      <c r="AT136"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36"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36"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36"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36"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36" s="53" t="e">
        <f>IFERROR(Table_PrescriptLights_Input[[#This Row],[Detailed Baseline Fixture Code]],Table_PrescriptLights_Input[[#This Row],[Generalized Baseline Fixture Code]])</f>
        <v>#N/A</v>
      </c>
      <c r="AZ136" s="4"/>
      <c r="BA136" s="4"/>
      <c r="BB136" s="4"/>
      <c r="BC136" s="4"/>
      <c r="BD136" s="4"/>
      <c r="BE136" s="4"/>
      <c r="BF136" s="4"/>
      <c r="BG136" s="4"/>
      <c r="BH136" s="4"/>
      <c r="BI136" s="4"/>
      <c r="BJ136" s="4"/>
      <c r="BK136" s="4"/>
      <c r="BL136" s="4"/>
      <c r="BM136" s="4"/>
      <c r="BN136" s="4"/>
      <c r="BO136" s="4"/>
      <c r="BP136" s="4"/>
      <c r="BQ136" s="4"/>
    </row>
    <row r="137" spans="1:69" x14ac:dyDescent="0.2">
      <c r="A137" s="4"/>
      <c r="B137" s="189">
        <v>133</v>
      </c>
      <c r="C137" s="61" t="str">
        <f>IFERROR(INDEX(Table_Prescript_Meas[Measure Number], MATCH(Table_PrescriptLights_Input[[#This Row],[Prescriptive lighting measure]], Table_Prescript_Meas[Measure Description], 0)), "")</f>
        <v/>
      </c>
      <c r="D137" s="192"/>
      <c r="E137" s="179"/>
      <c r="F137" s="179"/>
      <c r="G137" s="61" t="str">
        <f>IFERROR(INDEX(Table_Prescript_Meas[Unit], MATCH(Table_PrescriptLights_Input[[#This Row],[Measure number]], Table_Prescript_Meas[Measure Number], 0)), "")</f>
        <v/>
      </c>
      <c r="H137" s="180"/>
      <c r="I137" s="179"/>
      <c r="J137" s="179"/>
      <c r="K137" s="180"/>
      <c r="L137" s="179"/>
      <c r="M137" s="180"/>
      <c r="N137" s="180"/>
      <c r="O137" s="180"/>
      <c r="P137" s="180"/>
      <c r="Q137" s="180"/>
      <c r="R137" s="181"/>
      <c r="S137" s="181"/>
      <c r="T137"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37"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37" s="69" t="str">
        <f>IF(Table_PrescriptLights_Input[[#This Row],[Prescriptive lighting measure]]="","",Table_PrescriptLights_Input[[#This Row],[Calculated Energy Savings]])</f>
        <v/>
      </c>
      <c r="W137" s="73" t="str">
        <f>IF(Table_PrescriptLights_Input[[#This Row],[Prescriptive lighting measure]]="","",Table_PrescriptLights_Input[[#This Row],[Calculated Demand Savings]])</f>
        <v/>
      </c>
      <c r="X137" s="67" t="str">
        <f>IFERROR(Table_PrescriptLights_Input[[#This Row],[Energy savings (kWh)]]*Input_AvgkWhRate, "")</f>
        <v/>
      </c>
      <c r="Y137" s="67" t="str">
        <f>IF(Table_PrescriptLights_Input[[#This Row],[Prescriptive lighting measure]]="", "",Table_PrescriptLights_Input[[#This Row],[Material cost per fixture]]*Table_PrescriptLights_Input[[#This Row],[Number of proposed fixtures]]+Table_PrescriptLights_Input[[#This Row],[Total labor cost]])</f>
        <v/>
      </c>
      <c r="Z137" s="67" t="str">
        <f>IFERROR(Table_PrescriptLights_Input[[#This Row],[Gross measure cost]]-Table_PrescriptLights_Input[[#This Row],[Estimated incentive]], "")</f>
        <v/>
      </c>
      <c r="AA137" s="69" t="str">
        <f t="shared" si="4"/>
        <v/>
      </c>
      <c r="AB137" s="69" t="str">
        <f>IF(ISNUMBER(Table_PrescriptLights_Input[[#This Row],[Detailed Fixture Calculation Wattage]]), "Detailed", "General")</f>
        <v>General</v>
      </c>
      <c r="AC137" s="53" t="e">
        <f>INDEX(Table_IntExt_Match[Measure Selection List], MATCH(Table_PrescriptLights_Input[[#This Row],[Interior or exterior?]], Table_IntExt_Match[Inetrior or Exterior], 0))</f>
        <v>#N/A</v>
      </c>
      <c r="AD137" s="53" t="e">
        <f>INDEX(Table_Prescript_Meas[Unit], MATCH(C137, Table_Prescript_Meas[Measure Number], 0))</f>
        <v>#N/A</v>
      </c>
      <c r="AE137" s="53" t="e">
        <f>INDEX(Table_Prescript_Meas[Lighting Type Selection List], MATCH(C137, Table_Prescript_Meas[Measure Number], 0))</f>
        <v>#N/A</v>
      </c>
      <c r="AF137" s="53" t="e">
        <f>INDEX(Table_Prescript_Meas[AOH Type], MATCH(Table_PrescriptLights_Input[[#This Row],[Measure number]], Table_Prescript_Meas[Measure Number],0))</f>
        <v>#N/A</v>
      </c>
      <c r="AG137"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37" s="53" t="str">
        <f>_xlfn.CONCAT(Table_PrescriptLights_Input[[#This Row],[Existing lighting type]],":",Table_PrescriptLights_Input[[#This Row],[Existing lamps per fixture]], ":",Table_PrescriptLights_Input[[#This Row],[Existing lamp wattage]])</f>
        <v>::</v>
      </c>
      <c r="AI137" s="53" t="e">
        <f>INDEX(Table_TRM_Fixtures[Fixture Code], MATCH(Table_PrescriptLights_Input[[#This Row],[Detailed Baseline Fixture Lookup]], Table_TRM_Fixtures[Detailed Prescriptive Baseline Fixture Lookup], 0))</f>
        <v>#N/A</v>
      </c>
      <c r="AJ137" s="53" t="e">
        <f>INDEX(Table_TRM_Fixtures[Fixture Wattage for Baseline Calculations],MATCH(Table_PrescriptLights_Input[[#This Row],[Detailed Baseline Fixture Lookup]], Table_TRM_Fixtures[Detailed Prescriptive Baseline Fixture Lookup],0))</f>
        <v>#N/A</v>
      </c>
      <c r="AK137" s="127" t="e">
        <f>INDEX(Table_Bldg_IEFD_IEFC[IEFE], MATCH( Input_HVACType,Table_Bldg_IEFD_IEFC[List_HVAC], 0))</f>
        <v>#N/A</v>
      </c>
      <c r="AL137" s="127" t="e">
        <f>INDEX( Table_Bldg_IEFD_IEFC[IEFE],MATCH( Input_HVACType, Table_Bldg_IEFD_IEFC[List_HVAC],0 ))</f>
        <v>#N/A</v>
      </c>
      <c r="AM137" s="127" t="e">
        <f>INDEX(Table_Control_PAF[PAF], MATCH(Table_PrescriptLights_Input[[#This Row],[Existing controls]], Table_Control_PAF[List_Control_Types], 0 ) )</f>
        <v>#N/A</v>
      </c>
      <c r="AN137"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37"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37"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37" s="53">
        <f>IFERROR(LEFT(Table_PrescriptLights_Input[[#This Row],[Existing lighting type]], FIND(",",Table_PrescriptLights_Input[[#This Row],[Existing lighting type]])-1), Table_PrescriptLights_Input[[#This Row],[Existing lighting type]])</f>
        <v>0</v>
      </c>
      <c r="AR137" s="53" t="str">
        <f>_xlfn.CONCAT(Table_PrescriptLights_Input[[#This Row],[Generalized Fixture Type]], ":",Table_PrescriptLights_Input[[#This Row],[Existing lamps per fixture]],":",Table_PrescriptLights_Input[[#This Row],[Existing lamp wattage]])</f>
        <v>0::</v>
      </c>
      <c r="AS137" s="53" t="e">
        <f>INDEX(Table_TRM_Fixtures[Fixture Code], MATCH(Table_PrescriptLights_Input[[#This Row],[Generalized Fixture Baseline Lookup]], Table_TRM_Fixtures[Generalized Baseline Fixture Lookup], 0))</f>
        <v>#N/A</v>
      </c>
      <c r="AT137"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37"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37"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37"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37"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37" s="53" t="e">
        <f>IFERROR(Table_PrescriptLights_Input[[#This Row],[Detailed Baseline Fixture Code]],Table_PrescriptLights_Input[[#This Row],[Generalized Baseline Fixture Code]])</f>
        <v>#N/A</v>
      </c>
      <c r="AZ137" s="4"/>
      <c r="BA137" s="4"/>
      <c r="BB137" s="4"/>
      <c r="BC137" s="4"/>
      <c r="BD137" s="4"/>
      <c r="BE137" s="4"/>
      <c r="BF137" s="4"/>
      <c r="BG137" s="4"/>
      <c r="BH137" s="4"/>
      <c r="BI137" s="4"/>
      <c r="BJ137" s="4"/>
      <c r="BK137" s="4"/>
      <c r="BL137" s="4"/>
      <c r="BM137" s="4"/>
      <c r="BN137" s="4"/>
      <c r="BO137" s="4"/>
      <c r="BP137" s="4"/>
      <c r="BQ137" s="4"/>
    </row>
    <row r="138" spans="1:69" x14ac:dyDescent="0.2">
      <c r="A138" s="4"/>
      <c r="B138" s="189">
        <v>134</v>
      </c>
      <c r="C138" s="61" t="str">
        <f>IFERROR(INDEX(Table_Prescript_Meas[Measure Number], MATCH(Table_PrescriptLights_Input[[#This Row],[Prescriptive lighting measure]], Table_Prescript_Meas[Measure Description], 0)), "")</f>
        <v/>
      </c>
      <c r="D138" s="192"/>
      <c r="E138" s="179"/>
      <c r="F138" s="179"/>
      <c r="G138" s="61" t="str">
        <f>IFERROR(INDEX(Table_Prescript_Meas[Unit], MATCH(Table_PrescriptLights_Input[[#This Row],[Measure number]], Table_Prescript_Meas[Measure Number], 0)), "")</f>
        <v/>
      </c>
      <c r="H138" s="180"/>
      <c r="I138" s="179"/>
      <c r="J138" s="179"/>
      <c r="K138" s="180"/>
      <c r="L138" s="179"/>
      <c r="M138" s="180"/>
      <c r="N138" s="180"/>
      <c r="O138" s="180"/>
      <c r="P138" s="180"/>
      <c r="Q138" s="180"/>
      <c r="R138" s="181"/>
      <c r="S138" s="181"/>
      <c r="T138"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38"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38" s="69" t="str">
        <f>IF(Table_PrescriptLights_Input[[#This Row],[Prescriptive lighting measure]]="","",Table_PrescriptLights_Input[[#This Row],[Calculated Energy Savings]])</f>
        <v/>
      </c>
      <c r="W138" s="73" t="str">
        <f>IF(Table_PrescriptLights_Input[[#This Row],[Prescriptive lighting measure]]="","",Table_PrescriptLights_Input[[#This Row],[Calculated Demand Savings]])</f>
        <v/>
      </c>
      <c r="X138" s="67" t="str">
        <f>IFERROR(Table_PrescriptLights_Input[[#This Row],[Energy savings (kWh)]]*Input_AvgkWhRate, "")</f>
        <v/>
      </c>
      <c r="Y138" s="67" t="str">
        <f>IF(Table_PrescriptLights_Input[[#This Row],[Prescriptive lighting measure]]="", "",Table_PrescriptLights_Input[[#This Row],[Material cost per fixture]]*Table_PrescriptLights_Input[[#This Row],[Number of proposed fixtures]]+Table_PrescriptLights_Input[[#This Row],[Total labor cost]])</f>
        <v/>
      </c>
      <c r="Z138" s="67" t="str">
        <f>IFERROR(Table_PrescriptLights_Input[[#This Row],[Gross measure cost]]-Table_PrescriptLights_Input[[#This Row],[Estimated incentive]], "")</f>
        <v/>
      </c>
      <c r="AA138" s="69" t="str">
        <f t="shared" si="4"/>
        <v/>
      </c>
      <c r="AB138" s="69" t="str">
        <f>IF(ISNUMBER(Table_PrescriptLights_Input[[#This Row],[Detailed Fixture Calculation Wattage]]), "Detailed", "General")</f>
        <v>General</v>
      </c>
      <c r="AC138" s="53" t="e">
        <f>INDEX(Table_IntExt_Match[Measure Selection List], MATCH(Table_PrescriptLights_Input[[#This Row],[Interior or exterior?]], Table_IntExt_Match[Inetrior or Exterior], 0))</f>
        <v>#N/A</v>
      </c>
      <c r="AD138" s="53" t="e">
        <f>INDEX(Table_Prescript_Meas[Unit], MATCH(C138, Table_Prescript_Meas[Measure Number], 0))</f>
        <v>#N/A</v>
      </c>
      <c r="AE138" s="53" t="e">
        <f>INDEX(Table_Prescript_Meas[Lighting Type Selection List], MATCH(C138, Table_Prescript_Meas[Measure Number], 0))</f>
        <v>#N/A</v>
      </c>
      <c r="AF138" s="53" t="e">
        <f>INDEX(Table_Prescript_Meas[AOH Type], MATCH(Table_PrescriptLights_Input[[#This Row],[Measure number]], Table_Prescript_Meas[Measure Number],0))</f>
        <v>#N/A</v>
      </c>
      <c r="AG138"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38" s="53" t="str">
        <f>_xlfn.CONCAT(Table_PrescriptLights_Input[[#This Row],[Existing lighting type]],":",Table_PrescriptLights_Input[[#This Row],[Existing lamps per fixture]], ":",Table_PrescriptLights_Input[[#This Row],[Existing lamp wattage]])</f>
        <v>::</v>
      </c>
      <c r="AI138" s="53" t="e">
        <f>INDEX(Table_TRM_Fixtures[Fixture Code], MATCH(Table_PrescriptLights_Input[[#This Row],[Detailed Baseline Fixture Lookup]], Table_TRM_Fixtures[Detailed Prescriptive Baseline Fixture Lookup], 0))</f>
        <v>#N/A</v>
      </c>
      <c r="AJ138" s="53" t="e">
        <f>INDEX(Table_TRM_Fixtures[Fixture Wattage for Baseline Calculations],MATCH(Table_PrescriptLights_Input[[#This Row],[Detailed Baseline Fixture Lookup]], Table_TRM_Fixtures[Detailed Prescriptive Baseline Fixture Lookup],0))</f>
        <v>#N/A</v>
      </c>
      <c r="AK138" s="127" t="e">
        <f>INDEX(Table_Bldg_IEFD_IEFC[IEFE], MATCH( Input_HVACType,Table_Bldg_IEFD_IEFC[List_HVAC], 0))</f>
        <v>#N/A</v>
      </c>
      <c r="AL138" s="127" t="e">
        <f>INDEX( Table_Bldg_IEFD_IEFC[IEFE],MATCH( Input_HVACType, Table_Bldg_IEFD_IEFC[List_HVAC],0 ))</f>
        <v>#N/A</v>
      </c>
      <c r="AM138" s="127" t="e">
        <f>INDEX(Table_Control_PAF[PAF], MATCH(Table_PrescriptLights_Input[[#This Row],[Existing controls]], Table_Control_PAF[List_Control_Types], 0 ) )</f>
        <v>#N/A</v>
      </c>
      <c r="AN138"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38"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38"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38" s="53">
        <f>IFERROR(LEFT(Table_PrescriptLights_Input[[#This Row],[Existing lighting type]], FIND(",",Table_PrescriptLights_Input[[#This Row],[Existing lighting type]])-1), Table_PrescriptLights_Input[[#This Row],[Existing lighting type]])</f>
        <v>0</v>
      </c>
      <c r="AR138" s="53" t="str">
        <f>_xlfn.CONCAT(Table_PrescriptLights_Input[[#This Row],[Generalized Fixture Type]], ":",Table_PrescriptLights_Input[[#This Row],[Existing lamps per fixture]],":",Table_PrescriptLights_Input[[#This Row],[Existing lamp wattage]])</f>
        <v>0::</v>
      </c>
      <c r="AS138" s="53" t="e">
        <f>INDEX(Table_TRM_Fixtures[Fixture Code], MATCH(Table_PrescriptLights_Input[[#This Row],[Generalized Fixture Baseline Lookup]], Table_TRM_Fixtures[Generalized Baseline Fixture Lookup], 0))</f>
        <v>#N/A</v>
      </c>
      <c r="AT138"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38"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38"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38"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38"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38" s="53" t="e">
        <f>IFERROR(Table_PrescriptLights_Input[[#This Row],[Detailed Baseline Fixture Code]],Table_PrescriptLights_Input[[#This Row],[Generalized Baseline Fixture Code]])</f>
        <v>#N/A</v>
      </c>
      <c r="AZ138" s="4"/>
      <c r="BA138" s="4"/>
      <c r="BB138" s="4"/>
      <c r="BC138" s="4"/>
      <c r="BD138" s="4"/>
      <c r="BE138" s="4"/>
      <c r="BF138" s="4"/>
      <c r="BG138" s="4"/>
      <c r="BH138" s="4"/>
      <c r="BI138" s="4"/>
      <c r="BJ138" s="4"/>
      <c r="BK138" s="4"/>
      <c r="BL138" s="4"/>
      <c r="BM138" s="4"/>
      <c r="BN138" s="4"/>
      <c r="BO138" s="4"/>
      <c r="BP138" s="4"/>
      <c r="BQ138" s="4"/>
    </row>
    <row r="139" spans="1:69" x14ac:dyDescent="0.2">
      <c r="A139" s="4"/>
      <c r="B139" s="189">
        <v>135</v>
      </c>
      <c r="C139" s="61" t="str">
        <f>IFERROR(INDEX(Table_Prescript_Meas[Measure Number], MATCH(Table_PrescriptLights_Input[[#This Row],[Prescriptive lighting measure]], Table_Prescript_Meas[Measure Description], 0)), "")</f>
        <v/>
      </c>
      <c r="D139" s="192"/>
      <c r="E139" s="179"/>
      <c r="F139" s="179"/>
      <c r="G139" s="61" t="str">
        <f>IFERROR(INDEX(Table_Prescript_Meas[Unit], MATCH(Table_PrescriptLights_Input[[#This Row],[Measure number]], Table_Prescript_Meas[Measure Number], 0)), "")</f>
        <v/>
      </c>
      <c r="H139" s="180"/>
      <c r="I139" s="179"/>
      <c r="J139" s="179"/>
      <c r="K139" s="180"/>
      <c r="L139" s="179"/>
      <c r="M139" s="180"/>
      <c r="N139" s="180"/>
      <c r="O139" s="180"/>
      <c r="P139" s="180"/>
      <c r="Q139" s="180"/>
      <c r="R139" s="181"/>
      <c r="S139" s="181"/>
      <c r="T139"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39"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39" s="69" t="str">
        <f>IF(Table_PrescriptLights_Input[[#This Row],[Prescriptive lighting measure]]="","",Table_PrescriptLights_Input[[#This Row],[Calculated Energy Savings]])</f>
        <v/>
      </c>
      <c r="W139" s="73" t="str">
        <f>IF(Table_PrescriptLights_Input[[#This Row],[Prescriptive lighting measure]]="","",Table_PrescriptLights_Input[[#This Row],[Calculated Demand Savings]])</f>
        <v/>
      </c>
      <c r="X139" s="67" t="str">
        <f>IFERROR(Table_PrescriptLights_Input[[#This Row],[Energy savings (kWh)]]*Input_AvgkWhRate, "")</f>
        <v/>
      </c>
      <c r="Y139" s="67" t="str">
        <f>IF(Table_PrescriptLights_Input[[#This Row],[Prescriptive lighting measure]]="", "",Table_PrescriptLights_Input[[#This Row],[Material cost per fixture]]*Table_PrescriptLights_Input[[#This Row],[Number of proposed fixtures]]+Table_PrescriptLights_Input[[#This Row],[Total labor cost]])</f>
        <v/>
      </c>
      <c r="Z139" s="67" t="str">
        <f>IFERROR(Table_PrescriptLights_Input[[#This Row],[Gross measure cost]]-Table_PrescriptLights_Input[[#This Row],[Estimated incentive]], "")</f>
        <v/>
      </c>
      <c r="AA139" s="69" t="str">
        <f t="shared" si="4"/>
        <v/>
      </c>
      <c r="AB139" s="69" t="str">
        <f>IF(ISNUMBER(Table_PrescriptLights_Input[[#This Row],[Detailed Fixture Calculation Wattage]]), "Detailed", "General")</f>
        <v>General</v>
      </c>
      <c r="AC139" s="53" t="e">
        <f>INDEX(Table_IntExt_Match[Measure Selection List], MATCH(Table_PrescriptLights_Input[[#This Row],[Interior or exterior?]], Table_IntExt_Match[Inetrior or Exterior], 0))</f>
        <v>#N/A</v>
      </c>
      <c r="AD139" s="53" t="e">
        <f>INDEX(Table_Prescript_Meas[Unit], MATCH(C139, Table_Prescript_Meas[Measure Number], 0))</f>
        <v>#N/A</v>
      </c>
      <c r="AE139" s="53" t="e">
        <f>INDEX(Table_Prescript_Meas[Lighting Type Selection List], MATCH(C139, Table_Prescript_Meas[Measure Number], 0))</f>
        <v>#N/A</v>
      </c>
      <c r="AF139" s="53" t="e">
        <f>INDEX(Table_Prescript_Meas[AOH Type], MATCH(Table_PrescriptLights_Input[[#This Row],[Measure number]], Table_Prescript_Meas[Measure Number],0))</f>
        <v>#N/A</v>
      </c>
      <c r="AG139"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39" s="53" t="str">
        <f>_xlfn.CONCAT(Table_PrescriptLights_Input[[#This Row],[Existing lighting type]],":",Table_PrescriptLights_Input[[#This Row],[Existing lamps per fixture]], ":",Table_PrescriptLights_Input[[#This Row],[Existing lamp wattage]])</f>
        <v>::</v>
      </c>
      <c r="AI139" s="53" t="e">
        <f>INDEX(Table_TRM_Fixtures[Fixture Code], MATCH(Table_PrescriptLights_Input[[#This Row],[Detailed Baseline Fixture Lookup]], Table_TRM_Fixtures[Detailed Prescriptive Baseline Fixture Lookup], 0))</f>
        <v>#N/A</v>
      </c>
      <c r="AJ139" s="53" t="e">
        <f>INDEX(Table_TRM_Fixtures[Fixture Wattage for Baseline Calculations],MATCH(Table_PrescriptLights_Input[[#This Row],[Detailed Baseline Fixture Lookup]], Table_TRM_Fixtures[Detailed Prescriptive Baseline Fixture Lookup],0))</f>
        <v>#N/A</v>
      </c>
      <c r="AK139" s="127" t="e">
        <f>INDEX(Table_Bldg_IEFD_IEFC[IEFE], MATCH( Input_HVACType,Table_Bldg_IEFD_IEFC[List_HVAC], 0))</f>
        <v>#N/A</v>
      </c>
      <c r="AL139" s="127" t="e">
        <f>INDEX( Table_Bldg_IEFD_IEFC[IEFE],MATCH( Input_HVACType, Table_Bldg_IEFD_IEFC[List_HVAC],0 ))</f>
        <v>#N/A</v>
      </c>
      <c r="AM139" s="127" t="e">
        <f>INDEX(Table_Control_PAF[PAF], MATCH(Table_PrescriptLights_Input[[#This Row],[Existing controls]], Table_Control_PAF[List_Control_Types], 0 ) )</f>
        <v>#N/A</v>
      </c>
      <c r="AN139"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39"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39"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39" s="53">
        <f>IFERROR(LEFT(Table_PrescriptLights_Input[[#This Row],[Existing lighting type]], FIND(",",Table_PrescriptLights_Input[[#This Row],[Existing lighting type]])-1), Table_PrescriptLights_Input[[#This Row],[Existing lighting type]])</f>
        <v>0</v>
      </c>
      <c r="AR139" s="53" t="str">
        <f>_xlfn.CONCAT(Table_PrescriptLights_Input[[#This Row],[Generalized Fixture Type]], ":",Table_PrescriptLights_Input[[#This Row],[Existing lamps per fixture]],":",Table_PrescriptLights_Input[[#This Row],[Existing lamp wattage]])</f>
        <v>0::</v>
      </c>
      <c r="AS139" s="53" t="e">
        <f>INDEX(Table_TRM_Fixtures[Fixture Code], MATCH(Table_PrescriptLights_Input[[#This Row],[Generalized Fixture Baseline Lookup]], Table_TRM_Fixtures[Generalized Baseline Fixture Lookup], 0))</f>
        <v>#N/A</v>
      </c>
      <c r="AT139"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39"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39"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39"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39"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39" s="53" t="e">
        <f>IFERROR(Table_PrescriptLights_Input[[#This Row],[Detailed Baseline Fixture Code]],Table_PrescriptLights_Input[[#This Row],[Generalized Baseline Fixture Code]])</f>
        <v>#N/A</v>
      </c>
      <c r="AZ139" s="4"/>
      <c r="BA139" s="4"/>
      <c r="BB139" s="4"/>
      <c r="BC139" s="4"/>
      <c r="BD139" s="4"/>
      <c r="BE139" s="4"/>
      <c r="BF139" s="4"/>
      <c r="BG139" s="4"/>
      <c r="BH139" s="4"/>
      <c r="BI139" s="4"/>
      <c r="BJ139" s="4"/>
      <c r="BK139" s="4"/>
      <c r="BL139" s="4"/>
      <c r="BM139" s="4"/>
      <c r="BN139" s="4"/>
      <c r="BO139" s="4"/>
      <c r="BP139" s="4"/>
      <c r="BQ139" s="4"/>
    </row>
    <row r="140" spans="1:69" x14ac:dyDescent="0.2">
      <c r="A140" s="4"/>
      <c r="B140" s="189">
        <v>136</v>
      </c>
      <c r="C140" s="61" t="str">
        <f>IFERROR(INDEX(Table_Prescript_Meas[Measure Number], MATCH(Table_PrescriptLights_Input[[#This Row],[Prescriptive lighting measure]], Table_Prescript_Meas[Measure Description], 0)), "")</f>
        <v/>
      </c>
      <c r="D140" s="192"/>
      <c r="E140" s="179"/>
      <c r="F140" s="179"/>
      <c r="G140" s="61" t="str">
        <f>IFERROR(INDEX(Table_Prescript_Meas[Unit], MATCH(Table_PrescriptLights_Input[[#This Row],[Measure number]], Table_Prescript_Meas[Measure Number], 0)), "")</f>
        <v/>
      </c>
      <c r="H140" s="180"/>
      <c r="I140" s="179"/>
      <c r="J140" s="179"/>
      <c r="K140" s="180"/>
      <c r="L140" s="179"/>
      <c r="M140" s="180"/>
      <c r="N140" s="180"/>
      <c r="O140" s="180"/>
      <c r="P140" s="180"/>
      <c r="Q140" s="180"/>
      <c r="R140" s="181"/>
      <c r="S140" s="181"/>
      <c r="T140"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40"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40" s="69" t="str">
        <f>IF(Table_PrescriptLights_Input[[#This Row],[Prescriptive lighting measure]]="","",Table_PrescriptLights_Input[[#This Row],[Calculated Energy Savings]])</f>
        <v/>
      </c>
      <c r="W140" s="73" t="str">
        <f>IF(Table_PrescriptLights_Input[[#This Row],[Prescriptive lighting measure]]="","",Table_PrescriptLights_Input[[#This Row],[Calculated Demand Savings]])</f>
        <v/>
      </c>
      <c r="X140" s="67" t="str">
        <f>IFERROR(Table_PrescriptLights_Input[[#This Row],[Energy savings (kWh)]]*Input_AvgkWhRate, "")</f>
        <v/>
      </c>
      <c r="Y140" s="67" t="str">
        <f>IF(Table_PrescriptLights_Input[[#This Row],[Prescriptive lighting measure]]="", "",Table_PrescriptLights_Input[[#This Row],[Material cost per fixture]]*Table_PrescriptLights_Input[[#This Row],[Number of proposed fixtures]]+Table_PrescriptLights_Input[[#This Row],[Total labor cost]])</f>
        <v/>
      </c>
      <c r="Z140" s="67" t="str">
        <f>IFERROR(Table_PrescriptLights_Input[[#This Row],[Gross measure cost]]-Table_PrescriptLights_Input[[#This Row],[Estimated incentive]], "")</f>
        <v/>
      </c>
      <c r="AA140" s="69" t="str">
        <f t="shared" si="4"/>
        <v/>
      </c>
      <c r="AB140" s="69" t="str">
        <f>IF(ISNUMBER(Table_PrescriptLights_Input[[#This Row],[Detailed Fixture Calculation Wattage]]), "Detailed", "General")</f>
        <v>General</v>
      </c>
      <c r="AC140" s="53" t="e">
        <f>INDEX(Table_IntExt_Match[Measure Selection List], MATCH(Table_PrescriptLights_Input[[#This Row],[Interior or exterior?]], Table_IntExt_Match[Inetrior or Exterior], 0))</f>
        <v>#N/A</v>
      </c>
      <c r="AD140" s="53" t="e">
        <f>INDEX(Table_Prescript_Meas[Unit], MATCH(C140, Table_Prescript_Meas[Measure Number], 0))</f>
        <v>#N/A</v>
      </c>
      <c r="AE140" s="53" t="e">
        <f>INDEX(Table_Prescript_Meas[Lighting Type Selection List], MATCH(C140, Table_Prescript_Meas[Measure Number], 0))</f>
        <v>#N/A</v>
      </c>
      <c r="AF140" s="53" t="e">
        <f>INDEX(Table_Prescript_Meas[AOH Type], MATCH(Table_PrescriptLights_Input[[#This Row],[Measure number]], Table_Prescript_Meas[Measure Number],0))</f>
        <v>#N/A</v>
      </c>
      <c r="AG140"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40" s="53" t="str">
        <f>_xlfn.CONCAT(Table_PrescriptLights_Input[[#This Row],[Existing lighting type]],":",Table_PrescriptLights_Input[[#This Row],[Existing lamps per fixture]], ":",Table_PrescriptLights_Input[[#This Row],[Existing lamp wattage]])</f>
        <v>::</v>
      </c>
      <c r="AI140" s="53" t="e">
        <f>INDEX(Table_TRM_Fixtures[Fixture Code], MATCH(Table_PrescriptLights_Input[[#This Row],[Detailed Baseline Fixture Lookup]], Table_TRM_Fixtures[Detailed Prescriptive Baseline Fixture Lookup], 0))</f>
        <v>#N/A</v>
      </c>
      <c r="AJ140" s="53" t="e">
        <f>INDEX(Table_TRM_Fixtures[Fixture Wattage for Baseline Calculations],MATCH(Table_PrescriptLights_Input[[#This Row],[Detailed Baseline Fixture Lookup]], Table_TRM_Fixtures[Detailed Prescriptive Baseline Fixture Lookup],0))</f>
        <v>#N/A</v>
      </c>
      <c r="AK140" s="127" t="e">
        <f>INDEX(Table_Bldg_IEFD_IEFC[IEFE], MATCH( Input_HVACType,Table_Bldg_IEFD_IEFC[List_HVAC], 0))</f>
        <v>#N/A</v>
      </c>
      <c r="AL140" s="127" t="e">
        <f>INDEX( Table_Bldg_IEFD_IEFC[IEFE],MATCH( Input_HVACType, Table_Bldg_IEFD_IEFC[List_HVAC],0 ))</f>
        <v>#N/A</v>
      </c>
      <c r="AM140" s="127" t="e">
        <f>INDEX(Table_Control_PAF[PAF], MATCH(Table_PrescriptLights_Input[[#This Row],[Existing controls]], Table_Control_PAF[List_Control_Types], 0 ) )</f>
        <v>#N/A</v>
      </c>
      <c r="AN140"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40"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40"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40" s="53">
        <f>IFERROR(LEFT(Table_PrescriptLights_Input[[#This Row],[Existing lighting type]], FIND(",",Table_PrescriptLights_Input[[#This Row],[Existing lighting type]])-1), Table_PrescriptLights_Input[[#This Row],[Existing lighting type]])</f>
        <v>0</v>
      </c>
      <c r="AR140" s="53" t="str">
        <f>_xlfn.CONCAT(Table_PrescriptLights_Input[[#This Row],[Generalized Fixture Type]], ":",Table_PrescriptLights_Input[[#This Row],[Existing lamps per fixture]],":",Table_PrescriptLights_Input[[#This Row],[Existing lamp wattage]])</f>
        <v>0::</v>
      </c>
      <c r="AS140" s="53" t="e">
        <f>INDEX(Table_TRM_Fixtures[Fixture Code], MATCH(Table_PrescriptLights_Input[[#This Row],[Generalized Fixture Baseline Lookup]], Table_TRM_Fixtures[Generalized Baseline Fixture Lookup], 0))</f>
        <v>#N/A</v>
      </c>
      <c r="AT140"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40"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40"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40"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40"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40" s="53" t="e">
        <f>IFERROR(Table_PrescriptLights_Input[[#This Row],[Detailed Baseline Fixture Code]],Table_PrescriptLights_Input[[#This Row],[Generalized Baseline Fixture Code]])</f>
        <v>#N/A</v>
      </c>
      <c r="AZ140" s="4"/>
      <c r="BA140" s="4"/>
      <c r="BB140" s="4"/>
      <c r="BC140" s="4"/>
      <c r="BD140" s="4"/>
      <c r="BE140" s="4"/>
      <c r="BF140" s="4"/>
      <c r="BG140" s="4"/>
      <c r="BH140" s="4"/>
      <c r="BI140" s="4"/>
      <c r="BJ140" s="4"/>
      <c r="BK140" s="4"/>
      <c r="BL140" s="4"/>
      <c r="BM140" s="4"/>
      <c r="BN140" s="4"/>
      <c r="BO140" s="4"/>
      <c r="BP140" s="4"/>
      <c r="BQ140" s="4"/>
    </row>
    <row r="141" spans="1:69" x14ac:dyDescent="0.2">
      <c r="A141" s="4"/>
      <c r="B141" s="189">
        <v>137</v>
      </c>
      <c r="C141" s="61" t="str">
        <f>IFERROR(INDEX(Table_Prescript_Meas[Measure Number], MATCH(Table_PrescriptLights_Input[[#This Row],[Prescriptive lighting measure]], Table_Prescript_Meas[Measure Description], 0)), "")</f>
        <v/>
      </c>
      <c r="D141" s="192"/>
      <c r="E141" s="179"/>
      <c r="F141" s="179"/>
      <c r="G141" s="61" t="str">
        <f>IFERROR(INDEX(Table_Prescript_Meas[Unit], MATCH(Table_PrescriptLights_Input[[#This Row],[Measure number]], Table_Prescript_Meas[Measure Number], 0)), "")</f>
        <v/>
      </c>
      <c r="H141" s="180"/>
      <c r="I141" s="179"/>
      <c r="J141" s="179"/>
      <c r="K141" s="180"/>
      <c r="L141" s="179"/>
      <c r="M141" s="180"/>
      <c r="N141" s="180"/>
      <c r="O141" s="180"/>
      <c r="P141" s="180"/>
      <c r="Q141" s="180"/>
      <c r="R141" s="181"/>
      <c r="S141" s="181"/>
      <c r="T141"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41"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41" s="69" t="str">
        <f>IF(Table_PrescriptLights_Input[[#This Row],[Prescriptive lighting measure]]="","",Table_PrescriptLights_Input[[#This Row],[Calculated Energy Savings]])</f>
        <v/>
      </c>
      <c r="W141" s="73" t="str">
        <f>IF(Table_PrescriptLights_Input[[#This Row],[Prescriptive lighting measure]]="","",Table_PrescriptLights_Input[[#This Row],[Calculated Demand Savings]])</f>
        <v/>
      </c>
      <c r="X141" s="67" t="str">
        <f>IFERROR(Table_PrescriptLights_Input[[#This Row],[Energy savings (kWh)]]*Input_AvgkWhRate, "")</f>
        <v/>
      </c>
      <c r="Y141" s="67" t="str">
        <f>IF(Table_PrescriptLights_Input[[#This Row],[Prescriptive lighting measure]]="", "",Table_PrescriptLights_Input[[#This Row],[Material cost per fixture]]*Table_PrescriptLights_Input[[#This Row],[Number of proposed fixtures]]+Table_PrescriptLights_Input[[#This Row],[Total labor cost]])</f>
        <v/>
      </c>
      <c r="Z141" s="67" t="str">
        <f>IFERROR(Table_PrescriptLights_Input[[#This Row],[Gross measure cost]]-Table_PrescriptLights_Input[[#This Row],[Estimated incentive]], "")</f>
        <v/>
      </c>
      <c r="AA141" s="69" t="str">
        <f t="shared" si="4"/>
        <v/>
      </c>
      <c r="AB141" s="69" t="str">
        <f>IF(ISNUMBER(Table_PrescriptLights_Input[[#This Row],[Detailed Fixture Calculation Wattage]]), "Detailed", "General")</f>
        <v>General</v>
      </c>
      <c r="AC141" s="53" t="e">
        <f>INDEX(Table_IntExt_Match[Measure Selection List], MATCH(Table_PrescriptLights_Input[[#This Row],[Interior or exterior?]], Table_IntExt_Match[Inetrior or Exterior], 0))</f>
        <v>#N/A</v>
      </c>
      <c r="AD141" s="53" t="e">
        <f>INDEX(Table_Prescript_Meas[Unit], MATCH(C141, Table_Prescript_Meas[Measure Number], 0))</f>
        <v>#N/A</v>
      </c>
      <c r="AE141" s="53" t="e">
        <f>INDEX(Table_Prescript_Meas[Lighting Type Selection List], MATCH(C141, Table_Prescript_Meas[Measure Number], 0))</f>
        <v>#N/A</v>
      </c>
      <c r="AF141" s="53" t="e">
        <f>INDEX(Table_Prescript_Meas[AOH Type], MATCH(Table_PrescriptLights_Input[[#This Row],[Measure number]], Table_Prescript_Meas[Measure Number],0))</f>
        <v>#N/A</v>
      </c>
      <c r="AG141"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41" s="53" t="str">
        <f>_xlfn.CONCAT(Table_PrescriptLights_Input[[#This Row],[Existing lighting type]],":",Table_PrescriptLights_Input[[#This Row],[Existing lamps per fixture]], ":",Table_PrescriptLights_Input[[#This Row],[Existing lamp wattage]])</f>
        <v>::</v>
      </c>
      <c r="AI141" s="53" t="e">
        <f>INDEX(Table_TRM_Fixtures[Fixture Code], MATCH(Table_PrescriptLights_Input[[#This Row],[Detailed Baseline Fixture Lookup]], Table_TRM_Fixtures[Detailed Prescriptive Baseline Fixture Lookup], 0))</f>
        <v>#N/A</v>
      </c>
      <c r="AJ141" s="53" t="e">
        <f>INDEX(Table_TRM_Fixtures[Fixture Wattage for Baseline Calculations],MATCH(Table_PrescriptLights_Input[[#This Row],[Detailed Baseline Fixture Lookup]], Table_TRM_Fixtures[Detailed Prescriptive Baseline Fixture Lookup],0))</f>
        <v>#N/A</v>
      </c>
      <c r="AK141" s="127" t="e">
        <f>INDEX(Table_Bldg_IEFD_IEFC[IEFE], MATCH( Input_HVACType,Table_Bldg_IEFD_IEFC[List_HVAC], 0))</f>
        <v>#N/A</v>
      </c>
      <c r="AL141" s="127" t="e">
        <f>INDEX( Table_Bldg_IEFD_IEFC[IEFE],MATCH( Input_HVACType, Table_Bldg_IEFD_IEFC[List_HVAC],0 ))</f>
        <v>#N/A</v>
      </c>
      <c r="AM141" s="127" t="e">
        <f>INDEX(Table_Control_PAF[PAF], MATCH(Table_PrescriptLights_Input[[#This Row],[Existing controls]], Table_Control_PAF[List_Control_Types], 0 ) )</f>
        <v>#N/A</v>
      </c>
      <c r="AN141"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41"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41"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41" s="53">
        <f>IFERROR(LEFT(Table_PrescriptLights_Input[[#This Row],[Existing lighting type]], FIND(",",Table_PrescriptLights_Input[[#This Row],[Existing lighting type]])-1), Table_PrescriptLights_Input[[#This Row],[Existing lighting type]])</f>
        <v>0</v>
      </c>
      <c r="AR141" s="53" t="str">
        <f>_xlfn.CONCAT(Table_PrescriptLights_Input[[#This Row],[Generalized Fixture Type]], ":",Table_PrescriptLights_Input[[#This Row],[Existing lamps per fixture]],":",Table_PrescriptLights_Input[[#This Row],[Existing lamp wattage]])</f>
        <v>0::</v>
      </c>
      <c r="AS141" s="53" t="e">
        <f>INDEX(Table_TRM_Fixtures[Fixture Code], MATCH(Table_PrescriptLights_Input[[#This Row],[Generalized Fixture Baseline Lookup]], Table_TRM_Fixtures[Generalized Baseline Fixture Lookup], 0))</f>
        <v>#N/A</v>
      </c>
      <c r="AT141"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41"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41"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41"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41"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41" s="53" t="e">
        <f>IFERROR(Table_PrescriptLights_Input[[#This Row],[Detailed Baseline Fixture Code]],Table_PrescriptLights_Input[[#This Row],[Generalized Baseline Fixture Code]])</f>
        <v>#N/A</v>
      </c>
      <c r="AZ141" s="4"/>
      <c r="BA141" s="4"/>
      <c r="BB141" s="4"/>
      <c r="BC141" s="4"/>
      <c r="BD141" s="4"/>
      <c r="BE141" s="4"/>
      <c r="BF141" s="4"/>
      <c r="BG141" s="4"/>
      <c r="BH141" s="4"/>
      <c r="BI141" s="4"/>
      <c r="BJ141" s="4"/>
      <c r="BK141" s="4"/>
      <c r="BL141" s="4"/>
      <c r="BM141" s="4"/>
      <c r="BN141" s="4"/>
      <c r="BO141" s="4"/>
      <c r="BP141" s="4"/>
      <c r="BQ141" s="4"/>
    </row>
    <row r="142" spans="1:69" x14ac:dyDescent="0.2">
      <c r="A142" s="4"/>
      <c r="B142" s="189">
        <v>138</v>
      </c>
      <c r="C142" s="61" t="str">
        <f>IFERROR(INDEX(Table_Prescript_Meas[Measure Number], MATCH(Table_PrescriptLights_Input[[#This Row],[Prescriptive lighting measure]], Table_Prescript_Meas[Measure Description], 0)), "")</f>
        <v/>
      </c>
      <c r="D142" s="192"/>
      <c r="E142" s="179"/>
      <c r="F142" s="179"/>
      <c r="G142" s="61" t="str">
        <f>IFERROR(INDEX(Table_Prescript_Meas[Unit], MATCH(Table_PrescriptLights_Input[[#This Row],[Measure number]], Table_Prescript_Meas[Measure Number], 0)), "")</f>
        <v/>
      </c>
      <c r="H142" s="180"/>
      <c r="I142" s="179"/>
      <c r="J142" s="179"/>
      <c r="K142" s="180"/>
      <c r="L142" s="179"/>
      <c r="M142" s="180"/>
      <c r="N142" s="180"/>
      <c r="O142" s="180"/>
      <c r="P142" s="180"/>
      <c r="Q142" s="180"/>
      <c r="R142" s="181"/>
      <c r="S142" s="181"/>
      <c r="T142"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42"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42" s="69" t="str">
        <f>IF(Table_PrescriptLights_Input[[#This Row],[Prescriptive lighting measure]]="","",Table_PrescriptLights_Input[[#This Row],[Calculated Energy Savings]])</f>
        <v/>
      </c>
      <c r="W142" s="73" t="str">
        <f>IF(Table_PrescriptLights_Input[[#This Row],[Prescriptive lighting measure]]="","",Table_PrescriptLights_Input[[#This Row],[Calculated Demand Savings]])</f>
        <v/>
      </c>
      <c r="X142" s="67" t="str">
        <f>IFERROR(Table_PrescriptLights_Input[[#This Row],[Energy savings (kWh)]]*Input_AvgkWhRate, "")</f>
        <v/>
      </c>
      <c r="Y142" s="67" t="str">
        <f>IF(Table_PrescriptLights_Input[[#This Row],[Prescriptive lighting measure]]="", "",Table_PrescriptLights_Input[[#This Row],[Material cost per fixture]]*Table_PrescriptLights_Input[[#This Row],[Number of proposed fixtures]]+Table_PrescriptLights_Input[[#This Row],[Total labor cost]])</f>
        <v/>
      </c>
      <c r="Z142" s="67" t="str">
        <f>IFERROR(Table_PrescriptLights_Input[[#This Row],[Gross measure cost]]-Table_PrescriptLights_Input[[#This Row],[Estimated incentive]], "")</f>
        <v/>
      </c>
      <c r="AA142" s="69" t="str">
        <f t="shared" si="4"/>
        <v/>
      </c>
      <c r="AB142" s="69" t="str">
        <f>IF(ISNUMBER(Table_PrescriptLights_Input[[#This Row],[Detailed Fixture Calculation Wattage]]), "Detailed", "General")</f>
        <v>General</v>
      </c>
      <c r="AC142" s="53" t="e">
        <f>INDEX(Table_IntExt_Match[Measure Selection List], MATCH(Table_PrescriptLights_Input[[#This Row],[Interior or exterior?]], Table_IntExt_Match[Inetrior or Exterior], 0))</f>
        <v>#N/A</v>
      </c>
      <c r="AD142" s="53" t="e">
        <f>INDEX(Table_Prescript_Meas[Unit], MATCH(C142, Table_Prescript_Meas[Measure Number], 0))</f>
        <v>#N/A</v>
      </c>
      <c r="AE142" s="53" t="e">
        <f>INDEX(Table_Prescript_Meas[Lighting Type Selection List], MATCH(C142, Table_Prescript_Meas[Measure Number], 0))</f>
        <v>#N/A</v>
      </c>
      <c r="AF142" s="53" t="e">
        <f>INDEX(Table_Prescript_Meas[AOH Type], MATCH(Table_PrescriptLights_Input[[#This Row],[Measure number]], Table_Prescript_Meas[Measure Number],0))</f>
        <v>#N/A</v>
      </c>
      <c r="AG142"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42" s="53" t="str">
        <f>_xlfn.CONCAT(Table_PrescriptLights_Input[[#This Row],[Existing lighting type]],":",Table_PrescriptLights_Input[[#This Row],[Existing lamps per fixture]], ":",Table_PrescriptLights_Input[[#This Row],[Existing lamp wattage]])</f>
        <v>::</v>
      </c>
      <c r="AI142" s="53" t="e">
        <f>INDEX(Table_TRM_Fixtures[Fixture Code], MATCH(Table_PrescriptLights_Input[[#This Row],[Detailed Baseline Fixture Lookup]], Table_TRM_Fixtures[Detailed Prescriptive Baseline Fixture Lookup], 0))</f>
        <v>#N/A</v>
      </c>
      <c r="AJ142" s="53" t="e">
        <f>INDEX(Table_TRM_Fixtures[Fixture Wattage for Baseline Calculations],MATCH(Table_PrescriptLights_Input[[#This Row],[Detailed Baseline Fixture Lookup]], Table_TRM_Fixtures[Detailed Prescriptive Baseline Fixture Lookup],0))</f>
        <v>#N/A</v>
      </c>
      <c r="AK142" s="127" t="e">
        <f>INDEX(Table_Bldg_IEFD_IEFC[IEFE], MATCH( Input_HVACType,Table_Bldg_IEFD_IEFC[List_HVAC], 0))</f>
        <v>#N/A</v>
      </c>
      <c r="AL142" s="127" t="e">
        <f>INDEX( Table_Bldg_IEFD_IEFC[IEFE],MATCH( Input_HVACType, Table_Bldg_IEFD_IEFC[List_HVAC],0 ))</f>
        <v>#N/A</v>
      </c>
      <c r="AM142" s="127" t="e">
        <f>INDEX(Table_Control_PAF[PAF], MATCH(Table_PrescriptLights_Input[[#This Row],[Existing controls]], Table_Control_PAF[List_Control_Types], 0 ) )</f>
        <v>#N/A</v>
      </c>
      <c r="AN142"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42"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42"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42" s="53">
        <f>IFERROR(LEFT(Table_PrescriptLights_Input[[#This Row],[Existing lighting type]], FIND(",",Table_PrescriptLights_Input[[#This Row],[Existing lighting type]])-1), Table_PrescriptLights_Input[[#This Row],[Existing lighting type]])</f>
        <v>0</v>
      </c>
      <c r="AR142" s="53" t="str">
        <f>_xlfn.CONCAT(Table_PrescriptLights_Input[[#This Row],[Generalized Fixture Type]], ":",Table_PrescriptLights_Input[[#This Row],[Existing lamps per fixture]],":",Table_PrescriptLights_Input[[#This Row],[Existing lamp wattage]])</f>
        <v>0::</v>
      </c>
      <c r="AS142" s="53" t="e">
        <f>INDEX(Table_TRM_Fixtures[Fixture Code], MATCH(Table_PrescriptLights_Input[[#This Row],[Generalized Fixture Baseline Lookup]], Table_TRM_Fixtures[Generalized Baseline Fixture Lookup], 0))</f>
        <v>#N/A</v>
      </c>
      <c r="AT142"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42"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42"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42"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42"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42" s="53" t="e">
        <f>IFERROR(Table_PrescriptLights_Input[[#This Row],[Detailed Baseline Fixture Code]],Table_PrescriptLights_Input[[#This Row],[Generalized Baseline Fixture Code]])</f>
        <v>#N/A</v>
      </c>
      <c r="AZ142" s="4"/>
      <c r="BA142" s="4"/>
      <c r="BB142" s="4"/>
      <c r="BC142" s="4"/>
      <c r="BD142" s="4"/>
      <c r="BE142" s="4"/>
      <c r="BF142" s="4"/>
      <c r="BG142" s="4"/>
      <c r="BH142" s="4"/>
      <c r="BI142" s="4"/>
      <c r="BJ142" s="4"/>
      <c r="BK142" s="4"/>
      <c r="BL142" s="4"/>
      <c r="BM142" s="4"/>
      <c r="BN142" s="4"/>
      <c r="BO142" s="4"/>
      <c r="BP142" s="4"/>
      <c r="BQ142" s="4"/>
    </row>
    <row r="143" spans="1:69" x14ac:dyDescent="0.2">
      <c r="A143" s="4"/>
      <c r="B143" s="189">
        <v>139</v>
      </c>
      <c r="C143" s="61" t="str">
        <f>IFERROR(INDEX(Table_Prescript_Meas[Measure Number], MATCH(Table_PrescriptLights_Input[[#This Row],[Prescriptive lighting measure]], Table_Prescript_Meas[Measure Description], 0)), "")</f>
        <v/>
      </c>
      <c r="D143" s="192"/>
      <c r="E143" s="179"/>
      <c r="F143" s="179"/>
      <c r="G143" s="61" t="str">
        <f>IFERROR(INDEX(Table_Prescript_Meas[Unit], MATCH(Table_PrescriptLights_Input[[#This Row],[Measure number]], Table_Prescript_Meas[Measure Number], 0)), "")</f>
        <v/>
      </c>
      <c r="H143" s="180"/>
      <c r="I143" s="179"/>
      <c r="J143" s="179"/>
      <c r="K143" s="180"/>
      <c r="L143" s="179"/>
      <c r="M143" s="180"/>
      <c r="N143" s="180"/>
      <c r="O143" s="180"/>
      <c r="P143" s="180"/>
      <c r="Q143" s="180"/>
      <c r="R143" s="181"/>
      <c r="S143" s="181"/>
      <c r="T143"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43"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43" s="69" t="str">
        <f>IF(Table_PrescriptLights_Input[[#This Row],[Prescriptive lighting measure]]="","",Table_PrescriptLights_Input[[#This Row],[Calculated Energy Savings]])</f>
        <v/>
      </c>
      <c r="W143" s="73" t="str">
        <f>IF(Table_PrescriptLights_Input[[#This Row],[Prescriptive lighting measure]]="","",Table_PrescriptLights_Input[[#This Row],[Calculated Demand Savings]])</f>
        <v/>
      </c>
      <c r="X143" s="67" t="str">
        <f>IFERROR(Table_PrescriptLights_Input[[#This Row],[Energy savings (kWh)]]*Input_AvgkWhRate, "")</f>
        <v/>
      </c>
      <c r="Y143" s="67" t="str">
        <f>IF(Table_PrescriptLights_Input[[#This Row],[Prescriptive lighting measure]]="", "",Table_PrescriptLights_Input[[#This Row],[Material cost per fixture]]*Table_PrescriptLights_Input[[#This Row],[Number of proposed fixtures]]+Table_PrescriptLights_Input[[#This Row],[Total labor cost]])</f>
        <v/>
      </c>
      <c r="Z143" s="67" t="str">
        <f>IFERROR(Table_PrescriptLights_Input[[#This Row],[Gross measure cost]]-Table_PrescriptLights_Input[[#This Row],[Estimated incentive]], "")</f>
        <v/>
      </c>
      <c r="AA143" s="69" t="str">
        <f t="shared" si="4"/>
        <v/>
      </c>
      <c r="AB143" s="69" t="str">
        <f>IF(ISNUMBER(Table_PrescriptLights_Input[[#This Row],[Detailed Fixture Calculation Wattage]]), "Detailed", "General")</f>
        <v>General</v>
      </c>
      <c r="AC143" s="53" t="e">
        <f>INDEX(Table_IntExt_Match[Measure Selection List], MATCH(Table_PrescriptLights_Input[[#This Row],[Interior or exterior?]], Table_IntExt_Match[Inetrior or Exterior], 0))</f>
        <v>#N/A</v>
      </c>
      <c r="AD143" s="53" t="e">
        <f>INDEX(Table_Prescript_Meas[Unit], MATCH(C143, Table_Prescript_Meas[Measure Number], 0))</f>
        <v>#N/A</v>
      </c>
      <c r="AE143" s="53" t="e">
        <f>INDEX(Table_Prescript_Meas[Lighting Type Selection List], MATCH(C143, Table_Prescript_Meas[Measure Number], 0))</f>
        <v>#N/A</v>
      </c>
      <c r="AF143" s="53" t="e">
        <f>INDEX(Table_Prescript_Meas[AOH Type], MATCH(Table_PrescriptLights_Input[[#This Row],[Measure number]], Table_Prescript_Meas[Measure Number],0))</f>
        <v>#N/A</v>
      </c>
      <c r="AG143"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43" s="53" t="str">
        <f>_xlfn.CONCAT(Table_PrescriptLights_Input[[#This Row],[Existing lighting type]],":",Table_PrescriptLights_Input[[#This Row],[Existing lamps per fixture]], ":",Table_PrescriptLights_Input[[#This Row],[Existing lamp wattage]])</f>
        <v>::</v>
      </c>
      <c r="AI143" s="53" t="e">
        <f>INDEX(Table_TRM_Fixtures[Fixture Code], MATCH(Table_PrescriptLights_Input[[#This Row],[Detailed Baseline Fixture Lookup]], Table_TRM_Fixtures[Detailed Prescriptive Baseline Fixture Lookup], 0))</f>
        <v>#N/A</v>
      </c>
      <c r="AJ143" s="53" t="e">
        <f>INDEX(Table_TRM_Fixtures[Fixture Wattage for Baseline Calculations],MATCH(Table_PrescriptLights_Input[[#This Row],[Detailed Baseline Fixture Lookup]], Table_TRM_Fixtures[Detailed Prescriptive Baseline Fixture Lookup],0))</f>
        <v>#N/A</v>
      </c>
      <c r="AK143" s="127" t="e">
        <f>INDEX(Table_Bldg_IEFD_IEFC[IEFE], MATCH( Input_HVACType,Table_Bldg_IEFD_IEFC[List_HVAC], 0))</f>
        <v>#N/A</v>
      </c>
      <c r="AL143" s="127" t="e">
        <f>INDEX( Table_Bldg_IEFD_IEFC[IEFE],MATCH( Input_HVACType, Table_Bldg_IEFD_IEFC[List_HVAC],0 ))</f>
        <v>#N/A</v>
      </c>
      <c r="AM143" s="127" t="e">
        <f>INDEX(Table_Control_PAF[PAF], MATCH(Table_PrescriptLights_Input[[#This Row],[Existing controls]], Table_Control_PAF[List_Control_Types], 0 ) )</f>
        <v>#N/A</v>
      </c>
      <c r="AN143"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43"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43"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43" s="53">
        <f>IFERROR(LEFT(Table_PrescriptLights_Input[[#This Row],[Existing lighting type]], FIND(",",Table_PrescriptLights_Input[[#This Row],[Existing lighting type]])-1), Table_PrescriptLights_Input[[#This Row],[Existing lighting type]])</f>
        <v>0</v>
      </c>
      <c r="AR143" s="53" t="str">
        <f>_xlfn.CONCAT(Table_PrescriptLights_Input[[#This Row],[Generalized Fixture Type]], ":",Table_PrescriptLights_Input[[#This Row],[Existing lamps per fixture]],":",Table_PrescriptLights_Input[[#This Row],[Existing lamp wattage]])</f>
        <v>0::</v>
      </c>
      <c r="AS143" s="53" t="e">
        <f>INDEX(Table_TRM_Fixtures[Fixture Code], MATCH(Table_PrescriptLights_Input[[#This Row],[Generalized Fixture Baseline Lookup]], Table_TRM_Fixtures[Generalized Baseline Fixture Lookup], 0))</f>
        <v>#N/A</v>
      </c>
      <c r="AT143"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43"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43"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43"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43"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43" s="53" t="e">
        <f>IFERROR(Table_PrescriptLights_Input[[#This Row],[Detailed Baseline Fixture Code]],Table_PrescriptLights_Input[[#This Row],[Generalized Baseline Fixture Code]])</f>
        <v>#N/A</v>
      </c>
      <c r="AZ143" s="4"/>
      <c r="BA143" s="4"/>
      <c r="BB143" s="4"/>
      <c r="BC143" s="4"/>
      <c r="BD143" s="4"/>
      <c r="BE143" s="4"/>
      <c r="BF143" s="4"/>
      <c r="BG143" s="4"/>
      <c r="BH143" s="4"/>
      <c r="BI143" s="4"/>
      <c r="BJ143" s="4"/>
      <c r="BK143" s="4"/>
      <c r="BL143" s="4"/>
      <c r="BM143" s="4"/>
      <c r="BN143" s="4"/>
      <c r="BO143" s="4"/>
      <c r="BP143" s="4"/>
      <c r="BQ143" s="4"/>
    </row>
    <row r="144" spans="1:69" x14ac:dyDescent="0.2">
      <c r="A144" s="4"/>
      <c r="B144" s="189">
        <v>140</v>
      </c>
      <c r="C144" s="61" t="str">
        <f>IFERROR(INDEX(Table_Prescript_Meas[Measure Number], MATCH(Table_PrescriptLights_Input[[#This Row],[Prescriptive lighting measure]], Table_Prescript_Meas[Measure Description], 0)), "")</f>
        <v/>
      </c>
      <c r="D144" s="192"/>
      <c r="E144" s="179"/>
      <c r="F144" s="179"/>
      <c r="G144" s="61" t="str">
        <f>IFERROR(INDEX(Table_Prescript_Meas[Unit], MATCH(Table_PrescriptLights_Input[[#This Row],[Measure number]], Table_Prescript_Meas[Measure Number], 0)), "")</f>
        <v/>
      </c>
      <c r="H144" s="180"/>
      <c r="I144" s="179"/>
      <c r="J144" s="179"/>
      <c r="K144" s="180"/>
      <c r="L144" s="179"/>
      <c r="M144" s="180"/>
      <c r="N144" s="180"/>
      <c r="O144" s="180"/>
      <c r="P144" s="180"/>
      <c r="Q144" s="180"/>
      <c r="R144" s="181"/>
      <c r="S144" s="181"/>
      <c r="T144"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44"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44" s="69" t="str">
        <f>IF(Table_PrescriptLights_Input[[#This Row],[Prescriptive lighting measure]]="","",Table_PrescriptLights_Input[[#This Row],[Calculated Energy Savings]])</f>
        <v/>
      </c>
      <c r="W144" s="73" t="str">
        <f>IF(Table_PrescriptLights_Input[[#This Row],[Prescriptive lighting measure]]="","",Table_PrescriptLights_Input[[#This Row],[Calculated Demand Savings]])</f>
        <v/>
      </c>
      <c r="X144" s="67" t="str">
        <f>IFERROR(Table_PrescriptLights_Input[[#This Row],[Energy savings (kWh)]]*Input_AvgkWhRate, "")</f>
        <v/>
      </c>
      <c r="Y144" s="67" t="str">
        <f>IF(Table_PrescriptLights_Input[[#This Row],[Prescriptive lighting measure]]="", "",Table_PrescriptLights_Input[[#This Row],[Material cost per fixture]]*Table_PrescriptLights_Input[[#This Row],[Number of proposed fixtures]]+Table_PrescriptLights_Input[[#This Row],[Total labor cost]])</f>
        <v/>
      </c>
      <c r="Z144" s="67" t="str">
        <f>IFERROR(Table_PrescriptLights_Input[[#This Row],[Gross measure cost]]-Table_PrescriptLights_Input[[#This Row],[Estimated incentive]], "")</f>
        <v/>
      </c>
      <c r="AA144" s="69" t="str">
        <f t="shared" si="4"/>
        <v/>
      </c>
      <c r="AB144" s="69" t="str">
        <f>IF(ISNUMBER(Table_PrescriptLights_Input[[#This Row],[Detailed Fixture Calculation Wattage]]), "Detailed", "General")</f>
        <v>General</v>
      </c>
      <c r="AC144" s="53" t="e">
        <f>INDEX(Table_IntExt_Match[Measure Selection List], MATCH(Table_PrescriptLights_Input[[#This Row],[Interior or exterior?]], Table_IntExt_Match[Inetrior or Exterior], 0))</f>
        <v>#N/A</v>
      </c>
      <c r="AD144" s="53" t="e">
        <f>INDEX(Table_Prescript_Meas[Unit], MATCH(C144, Table_Prescript_Meas[Measure Number], 0))</f>
        <v>#N/A</v>
      </c>
      <c r="AE144" s="53" t="e">
        <f>INDEX(Table_Prescript_Meas[Lighting Type Selection List], MATCH(C144, Table_Prescript_Meas[Measure Number], 0))</f>
        <v>#N/A</v>
      </c>
      <c r="AF144" s="53" t="e">
        <f>INDEX(Table_Prescript_Meas[AOH Type], MATCH(Table_PrescriptLights_Input[[#This Row],[Measure number]], Table_Prescript_Meas[Measure Number],0))</f>
        <v>#N/A</v>
      </c>
      <c r="AG144"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44" s="53" t="str">
        <f>_xlfn.CONCAT(Table_PrescriptLights_Input[[#This Row],[Existing lighting type]],":",Table_PrescriptLights_Input[[#This Row],[Existing lamps per fixture]], ":",Table_PrescriptLights_Input[[#This Row],[Existing lamp wattage]])</f>
        <v>::</v>
      </c>
      <c r="AI144" s="53" t="e">
        <f>INDEX(Table_TRM_Fixtures[Fixture Code], MATCH(Table_PrescriptLights_Input[[#This Row],[Detailed Baseline Fixture Lookup]], Table_TRM_Fixtures[Detailed Prescriptive Baseline Fixture Lookup], 0))</f>
        <v>#N/A</v>
      </c>
      <c r="AJ144" s="53" t="e">
        <f>INDEX(Table_TRM_Fixtures[Fixture Wattage for Baseline Calculations],MATCH(Table_PrescriptLights_Input[[#This Row],[Detailed Baseline Fixture Lookup]], Table_TRM_Fixtures[Detailed Prescriptive Baseline Fixture Lookup],0))</f>
        <v>#N/A</v>
      </c>
      <c r="AK144" s="127" t="e">
        <f>INDEX(Table_Bldg_IEFD_IEFC[IEFE], MATCH( Input_HVACType,Table_Bldg_IEFD_IEFC[List_HVAC], 0))</f>
        <v>#N/A</v>
      </c>
      <c r="AL144" s="127" t="e">
        <f>INDEX( Table_Bldg_IEFD_IEFC[IEFE],MATCH( Input_HVACType, Table_Bldg_IEFD_IEFC[List_HVAC],0 ))</f>
        <v>#N/A</v>
      </c>
      <c r="AM144" s="127" t="e">
        <f>INDEX(Table_Control_PAF[PAF], MATCH(Table_PrescriptLights_Input[[#This Row],[Existing controls]], Table_Control_PAF[List_Control_Types], 0 ) )</f>
        <v>#N/A</v>
      </c>
      <c r="AN144"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44"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44"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44" s="53">
        <f>IFERROR(LEFT(Table_PrescriptLights_Input[[#This Row],[Existing lighting type]], FIND(",",Table_PrescriptLights_Input[[#This Row],[Existing lighting type]])-1), Table_PrescriptLights_Input[[#This Row],[Existing lighting type]])</f>
        <v>0</v>
      </c>
      <c r="AR144" s="53" t="str">
        <f>_xlfn.CONCAT(Table_PrescriptLights_Input[[#This Row],[Generalized Fixture Type]], ":",Table_PrescriptLights_Input[[#This Row],[Existing lamps per fixture]],":",Table_PrescriptLights_Input[[#This Row],[Existing lamp wattage]])</f>
        <v>0::</v>
      </c>
      <c r="AS144" s="53" t="e">
        <f>INDEX(Table_TRM_Fixtures[Fixture Code], MATCH(Table_PrescriptLights_Input[[#This Row],[Generalized Fixture Baseline Lookup]], Table_TRM_Fixtures[Generalized Baseline Fixture Lookup], 0))</f>
        <v>#N/A</v>
      </c>
      <c r="AT144"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44"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44"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44"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44"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44" s="53" t="e">
        <f>IFERROR(Table_PrescriptLights_Input[[#This Row],[Detailed Baseline Fixture Code]],Table_PrescriptLights_Input[[#This Row],[Generalized Baseline Fixture Code]])</f>
        <v>#N/A</v>
      </c>
      <c r="AZ144" s="4"/>
      <c r="BA144" s="4"/>
      <c r="BB144" s="4"/>
      <c r="BC144" s="4"/>
      <c r="BD144" s="4"/>
      <c r="BE144" s="4"/>
      <c r="BF144" s="4"/>
      <c r="BG144" s="4"/>
      <c r="BH144" s="4"/>
      <c r="BI144" s="4"/>
      <c r="BJ144" s="4"/>
      <c r="BK144" s="4"/>
      <c r="BL144" s="4"/>
      <c r="BM144" s="4"/>
      <c r="BN144" s="4"/>
      <c r="BO144" s="4"/>
      <c r="BP144" s="4"/>
      <c r="BQ144" s="4"/>
    </row>
    <row r="145" spans="1:69" x14ac:dyDescent="0.2">
      <c r="A145" s="4"/>
      <c r="B145" s="189">
        <v>141</v>
      </c>
      <c r="C145" s="61" t="str">
        <f>IFERROR(INDEX(Table_Prescript_Meas[Measure Number], MATCH(Table_PrescriptLights_Input[[#This Row],[Prescriptive lighting measure]], Table_Prescript_Meas[Measure Description], 0)), "")</f>
        <v/>
      </c>
      <c r="D145" s="192"/>
      <c r="E145" s="179"/>
      <c r="F145" s="179"/>
      <c r="G145" s="61" t="str">
        <f>IFERROR(INDEX(Table_Prescript_Meas[Unit], MATCH(Table_PrescriptLights_Input[[#This Row],[Measure number]], Table_Prescript_Meas[Measure Number], 0)), "")</f>
        <v/>
      </c>
      <c r="H145" s="180"/>
      <c r="I145" s="179"/>
      <c r="J145" s="179"/>
      <c r="K145" s="180"/>
      <c r="L145" s="179"/>
      <c r="M145" s="180"/>
      <c r="N145" s="180"/>
      <c r="O145" s="180"/>
      <c r="P145" s="180"/>
      <c r="Q145" s="180"/>
      <c r="R145" s="181"/>
      <c r="S145" s="181"/>
      <c r="T145"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45"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45" s="69" t="str">
        <f>IF(Table_PrescriptLights_Input[[#This Row],[Prescriptive lighting measure]]="","",Table_PrescriptLights_Input[[#This Row],[Calculated Energy Savings]])</f>
        <v/>
      </c>
      <c r="W145" s="73" t="str">
        <f>IF(Table_PrescriptLights_Input[[#This Row],[Prescriptive lighting measure]]="","",Table_PrescriptLights_Input[[#This Row],[Calculated Demand Savings]])</f>
        <v/>
      </c>
      <c r="X145" s="67" t="str">
        <f>IFERROR(Table_PrescriptLights_Input[[#This Row],[Energy savings (kWh)]]*Input_AvgkWhRate, "")</f>
        <v/>
      </c>
      <c r="Y145" s="67" t="str">
        <f>IF(Table_PrescriptLights_Input[[#This Row],[Prescriptive lighting measure]]="", "",Table_PrescriptLights_Input[[#This Row],[Material cost per fixture]]*Table_PrescriptLights_Input[[#This Row],[Number of proposed fixtures]]+Table_PrescriptLights_Input[[#This Row],[Total labor cost]])</f>
        <v/>
      </c>
      <c r="Z145" s="67" t="str">
        <f>IFERROR(Table_PrescriptLights_Input[[#This Row],[Gross measure cost]]-Table_PrescriptLights_Input[[#This Row],[Estimated incentive]], "")</f>
        <v/>
      </c>
      <c r="AA145" s="69" t="str">
        <f t="shared" si="4"/>
        <v/>
      </c>
      <c r="AB145" s="69" t="str">
        <f>IF(ISNUMBER(Table_PrescriptLights_Input[[#This Row],[Detailed Fixture Calculation Wattage]]), "Detailed", "General")</f>
        <v>General</v>
      </c>
      <c r="AC145" s="53" t="e">
        <f>INDEX(Table_IntExt_Match[Measure Selection List], MATCH(Table_PrescriptLights_Input[[#This Row],[Interior or exterior?]], Table_IntExt_Match[Inetrior or Exterior], 0))</f>
        <v>#N/A</v>
      </c>
      <c r="AD145" s="53" t="e">
        <f>INDEX(Table_Prescript_Meas[Unit], MATCH(C145, Table_Prescript_Meas[Measure Number], 0))</f>
        <v>#N/A</v>
      </c>
      <c r="AE145" s="53" t="e">
        <f>INDEX(Table_Prescript_Meas[Lighting Type Selection List], MATCH(C145, Table_Prescript_Meas[Measure Number], 0))</f>
        <v>#N/A</v>
      </c>
      <c r="AF145" s="53" t="e">
        <f>INDEX(Table_Prescript_Meas[AOH Type], MATCH(Table_PrescriptLights_Input[[#This Row],[Measure number]], Table_Prescript_Meas[Measure Number],0))</f>
        <v>#N/A</v>
      </c>
      <c r="AG145"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45" s="53" t="str">
        <f>_xlfn.CONCAT(Table_PrescriptLights_Input[[#This Row],[Existing lighting type]],":",Table_PrescriptLights_Input[[#This Row],[Existing lamps per fixture]], ":",Table_PrescriptLights_Input[[#This Row],[Existing lamp wattage]])</f>
        <v>::</v>
      </c>
      <c r="AI145" s="53" t="e">
        <f>INDEX(Table_TRM_Fixtures[Fixture Code], MATCH(Table_PrescriptLights_Input[[#This Row],[Detailed Baseline Fixture Lookup]], Table_TRM_Fixtures[Detailed Prescriptive Baseline Fixture Lookup], 0))</f>
        <v>#N/A</v>
      </c>
      <c r="AJ145" s="53" t="e">
        <f>INDEX(Table_TRM_Fixtures[Fixture Wattage for Baseline Calculations],MATCH(Table_PrescriptLights_Input[[#This Row],[Detailed Baseline Fixture Lookup]], Table_TRM_Fixtures[Detailed Prescriptive Baseline Fixture Lookup],0))</f>
        <v>#N/A</v>
      </c>
      <c r="AK145" s="127" t="e">
        <f>INDEX(Table_Bldg_IEFD_IEFC[IEFE], MATCH( Input_HVACType,Table_Bldg_IEFD_IEFC[List_HVAC], 0))</f>
        <v>#N/A</v>
      </c>
      <c r="AL145" s="127" t="e">
        <f>INDEX( Table_Bldg_IEFD_IEFC[IEFE],MATCH( Input_HVACType, Table_Bldg_IEFD_IEFC[List_HVAC],0 ))</f>
        <v>#N/A</v>
      </c>
      <c r="AM145" s="127" t="e">
        <f>INDEX(Table_Control_PAF[PAF], MATCH(Table_PrescriptLights_Input[[#This Row],[Existing controls]], Table_Control_PAF[List_Control_Types], 0 ) )</f>
        <v>#N/A</v>
      </c>
      <c r="AN145"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45"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45"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45" s="53">
        <f>IFERROR(LEFT(Table_PrescriptLights_Input[[#This Row],[Existing lighting type]], FIND(",",Table_PrescriptLights_Input[[#This Row],[Existing lighting type]])-1), Table_PrescriptLights_Input[[#This Row],[Existing lighting type]])</f>
        <v>0</v>
      </c>
      <c r="AR145" s="53" t="str">
        <f>_xlfn.CONCAT(Table_PrescriptLights_Input[[#This Row],[Generalized Fixture Type]], ":",Table_PrescriptLights_Input[[#This Row],[Existing lamps per fixture]],":",Table_PrescriptLights_Input[[#This Row],[Existing lamp wattage]])</f>
        <v>0::</v>
      </c>
      <c r="AS145" s="53" t="e">
        <f>INDEX(Table_TRM_Fixtures[Fixture Code], MATCH(Table_PrescriptLights_Input[[#This Row],[Generalized Fixture Baseline Lookup]], Table_TRM_Fixtures[Generalized Baseline Fixture Lookup], 0))</f>
        <v>#N/A</v>
      </c>
      <c r="AT145"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45"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45"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45"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45"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45" s="53" t="e">
        <f>IFERROR(Table_PrescriptLights_Input[[#This Row],[Detailed Baseline Fixture Code]],Table_PrescriptLights_Input[[#This Row],[Generalized Baseline Fixture Code]])</f>
        <v>#N/A</v>
      </c>
      <c r="AZ145" s="4"/>
      <c r="BA145" s="4"/>
      <c r="BB145" s="4"/>
      <c r="BC145" s="4"/>
      <c r="BD145" s="4"/>
      <c r="BE145" s="4"/>
      <c r="BF145" s="4"/>
      <c r="BG145" s="4"/>
      <c r="BH145" s="4"/>
      <c r="BI145" s="4"/>
      <c r="BJ145" s="4"/>
      <c r="BK145" s="4"/>
      <c r="BL145" s="4"/>
      <c r="BM145" s="4"/>
      <c r="BN145" s="4"/>
      <c r="BO145" s="4"/>
      <c r="BP145" s="4"/>
      <c r="BQ145" s="4"/>
    </row>
    <row r="146" spans="1:69" x14ac:dyDescent="0.2">
      <c r="A146" s="4"/>
      <c r="B146" s="189">
        <v>142</v>
      </c>
      <c r="C146" s="61" t="str">
        <f>IFERROR(INDEX(Table_Prescript_Meas[Measure Number], MATCH(Table_PrescriptLights_Input[[#This Row],[Prescriptive lighting measure]], Table_Prescript_Meas[Measure Description], 0)), "")</f>
        <v/>
      </c>
      <c r="D146" s="192"/>
      <c r="E146" s="179"/>
      <c r="F146" s="179"/>
      <c r="G146" s="61" t="str">
        <f>IFERROR(INDEX(Table_Prescript_Meas[Unit], MATCH(Table_PrescriptLights_Input[[#This Row],[Measure number]], Table_Prescript_Meas[Measure Number], 0)), "")</f>
        <v/>
      </c>
      <c r="H146" s="180"/>
      <c r="I146" s="179"/>
      <c r="J146" s="179"/>
      <c r="K146" s="180"/>
      <c r="L146" s="179"/>
      <c r="M146" s="180"/>
      <c r="N146" s="180"/>
      <c r="O146" s="180"/>
      <c r="P146" s="180"/>
      <c r="Q146" s="180"/>
      <c r="R146" s="181"/>
      <c r="S146" s="181"/>
      <c r="T146"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46"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46" s="69" t="str">
        <f>IF(Table_PrescriptLights_Input[[#This Row],[Prescriptive lighting measure]]="","",Table_PrescriptLights_Input[[#This Row],[Calculated Energy Savings]])</f>
        <v/>
      </c>
      <c r="W146" s="73" t="str">
        <f>IF(Table_PrescriptLights_Input[[#This Row],[Prescriptive lighting measure]]="","",Table_PrescriptLights_Input[[#This Row],[Calculated Demand Savings]])</f>
        <v/>
      </c>
      <c r="X146" s="67" t="str">
        <f>IFERROR(Table_PrescriptLights_Input[[#This Row],[Energy savings (kWh)]]*Input_AvgkWhRate, "")</f>
        <v/>
      </c>
      <c r="Y146" s="67" t="str">
        <f>IF(Table_PrescriptLights_Input[[#This Row],[Prescriptive lighting measure]]="", "",Table_PrescriptLights_Input[[#This Row],[Material cost per fixture]]*Table_PrescriptLights_Input[[#This Row],[Number of proposed fixtures]]+Table_PrescriptLights_Input[[#This Row],[Total labor cost]])</f>
        <v/>
      </c>
      <c r="Z146" s="67" t="str">
        <f>IFERROR(Table_PrescriptLights_Input[[#This Row],[Gross measure cost]]-Table_PrescriptLights_Input[[#This Row],[Estimated incentive]], "")</f>
        <v/>
      </c>
      <c r="AA146" s="69" t="str">
        <f t="shared" si="4"/>
        <v/>
      </c>
      <c r="AB146" s="69" t="str">
        <f>IF(ISNUMBER(Table_PrescriptLights_Input[[#This Row],[Detailed Fixture Calculation Wattage]]), "Detailed", "General")</f>
        <v>General</v>
      </c>
      <c r="AC146" s="53" t="e">
        <f>INDEX(Table_IntExt_Match[Measure Selection List], MATCH(Table_PrescriptLights_Input[[#This Row],[Interior or exterior?]], Table_IntExt_Match[Inetrior or Exterior], 0))</f>
        <v>#N/A</v>
      </c>
      <c r="AD146" s="53" t="e">
        <f>INDEX(Table_Prescript_Meas[Unit], MATCH(C146, Table_Prescript_Meas[Measure Number], 0))</f>
        <v>#N/A</v>
      </c>
      <c r="AE146" s="53" t="e">
        <f>INDEX(Table_Prescript_Meas[Lighting Type Selection List], MATCH(C146, Table_Prescript_Meas[Measure Number], 0))</f>
        <v>#N/A</v>
      </c>
      <c r="AF146" s="53" t="e">
        <f>INDEX(Table_Prescript_Meas[AOH Type], MATCH(Table_PrescriptLights_Input[[#This Row],[Measure number]], Table_Prescript_Meas[Measure Number],0))</f>
        <v>#N/A</v>
      </c>
      <c r="AG146"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46" s="53" t="str">
        <f>_xlfn.CONCAT(Table_PrescriptLights_Input[[#This Row],[Existing lighting type]],":",Table_PrescriptLights_Input[[#This Row],[Existing lamps per fixture]], ":",Table_PrescriptLights_Input[[#This Row],[Existing lamp wattage]])</f>
        <v>::</v>
      </c>
      <c r="AI146" s="53" t="e">
        <f>INDEX(Table_TRM_Fixtures[Fixture Code], MATCH(Table_PrescriptLights_Input[[#This Row],[Detailed Baseline Fixture Lookup]], Table_TRM_Fixtures[Detailed Prescriptive Baseline Fixture Lookup], 0))</f>
        <v>#N/A</v>
      </c>
      <c r="AJ146" s="53" t="e">
        <f>INDEX(Table_TRM_Fixtures[Fixture Wattage for Baseline Calculations],MATCH(Table_PrescriptLights_Input[[#This Row],[Detailed Baseline Fixture Lookup]], Table_TRM_Fixtures[Detailed Prescriptive Baseline Fixture Lookup],0))</f>
        <v>#N/A</v>
      </c>
      <c r="AK146" s="127" t="e">
        <f>INDEX(Table_Bldg_IEFD_IEFC[IEFE], MATCH( Input_HVACType,Table_Bldg_IEFD_IEFC[List_HVAC], 0))</f>
        <v>#N/A</v>
      </c>
      <c r="AL146" s="127" t="e">
        <f>INDEX( Table_Bldg_IEFD_IEFC[IEFE],MATCH( Input_HVACType, Table_Bldg_IEFD_IEFC[List_HVAC],0 ))</f>
        <v>#N/A</v>
      </c>
      <c r="AM146" s="127" t="e">
        <f>INDEX(Table_Control_PAF[PAF], MATCH(Table_PrescriptLights_Input[[#This Row],[Existing controls]], Table_Control_PAF[List_Control_Types], 0 ) )</f>
        <v>#N/A</v>
      </c>
      <c r="AN146"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46"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46"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46" s="53">
        <f>IFERROR(LEFT(Table_PrescriptLights_Input[[#This Row],[Existing lighting type]], FIND(",",Table_PrescriptLights_Input[[#This Row],[Existing lighting type]])-1), Table_PrescriptLights_Input[[#This Row],[Existing lighting type]])</f>
        <v>0</v>
      </c>
      <c r="AR146" s="53" t="str">
        <f>_xlfn.CONCAT(Table_PrescriptLights_Input[[#This Row],[Generalized Fixture Type]], ":",Table_PrescriptLights_Input[[#This Row],[Existing lamps per fixture]],":",Table_PrescriptLights_Input[[#This Row],[Existing lamp wattage]])</f>
        <v>0::</v>
      </c>
      <c r="AS146" s="53" t="e">
        <f>INDEX(Table_TRM_Fixtures[Fixture Code], MATCH(Table_PrescriptLights_Input[[#This Row],[Generalized Fixture Baseline Lookup]], Table_TRM_Fixtures[Generalized Baseline Fixture Lookup], 0))</f>
        <v>#N/A</v>
      </c>
      <c r="AT146"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46"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46"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46"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46"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46" s="53" t="e">
        <f>IFERROR(Table_PrescriptLights_Input[[#This Row],[Detailed Baseline Fixture Code]],Table_PrescriptLights_Input[[#This Row],[Generalized Baseline Fixture Code]])</f>
        <v>#N/A</v>
      </c>
      <c r="AZ146" s="4"/>
      <c r="BA146" s="4"/>
      <c r="BB146" s="4"/>
      <c r="BC146" s="4"/>
      <c r="BD146" s="4"/>
      <c r="BE146" s="4"/>
      <c r="BF146" s="4"/>
      <c r="BG146" s="4"/>
      <c r="BH146" s="4"/>
      <c r="BI146" s="4"/>
      <c r="BJ146" s="4"/>
      <c r="BK146" s="4"/>
      <c r="BL146" s="4"/>
      <c r="BM146" s="4"/>
      <c r="BN146" s="4"/>
      <c r="BO146" s="4"/>
      <c r="BP146" s="4"/>
      <c r="BQ146" s="4"/>
    </row>
    <row r="147" spans="1:69" x14ac:dyDescent="0.2">
      <c r="A147" s="4"/>
      <c r="B147" s="189">
        <v>143</v>
      </c>
      <c r="C147" s="61" t="str">
        <f>IFERROR(INDEX(Table_Prescript_Meas[Measure Number], MATCH(Table_PrescriptLights_Input[[#This Row],[Prescriptive lighting measure]], Table_Prescript_Meas[Measure Description], 0)), "")</f>
        <v/>
      </c>
      <c r="D147" s="192"/>
      <c r="E147" s="179"/>
      <c r="F147" s="179"/>
      <c r="G147" s="61" t="str">
        <f>IFERROR(INDEX(Table_Prescript_Meas[Unit], MATCH(Table_PrescriptLights_Input[[#This Row],[Measure number]], Table_Prescript_Meas[Measure Number], 0)), "")</f>
        <v/>
      </c>
      <c r="H147" s="180"/>
      <c r="I147" s="179"/>
      <c r="J147" s="179"/>
      <c r="K147" s="180"/>
      <c r="L147" s="179"/>
      <c r="M147" s="180"/>
      <c r="N147" s="180"/>
      <c r="O147" s="180"/>
      <c r="P147" s="180"/>
      <c r="Q147" s="180"/>
      <c r="R147" s="181"/>
      <c r="S147" s="181"/>
      <c r="T147"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47"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47" s="69" t="str">
        <f>IF(Table_PrescriptLights_Input[[#This Row],[Prescriptive lighting measure]]="","",Table_PrescriptLights_Input[[#This Row],[Calculated Energy Savings]])</f>
        <v/>
      </c>
      <c r="W147" s="73" t="str">
        <f>IF(Table_PrescriptLights_Input[[#This Row],[Prescriptive lighting measure]]="","",Table_PrescriptLights_Input[[#This Row],[Calculated Demand Savings]])</f>
        <v/>
      </c>
      <c r="X147" s="67" t="str">
        <f>IFERROR(Table_PrescriptLights_Input[[#This Row],[Energy savings (kWh)]]*Input_AvgkWhRate, "")</f>
        <v/>
      </c>
      <c r="Y147" s="67" t="str">
        <f>IF(Table_PrescriptLights_Input[[#This Row],[Prescriptive lighting measure]]="", "",Table_PrescriptLights_Input[[#This Row],[Material cost per fixture]]*Table_PrescriptLights_Input[[#This Row],[Number of proposed fixtures]]+Table_PrescriptLights_Input[[#This Row],[Total labor cost]])</f>
        <v/>
      </c>
      <c r="Z147" s="67" t="str">
        <f>IFERROR(Table_PrescriptLights_Input[[#This Row],[Gross measure cost]]-Table_PrescriptLights_Input[[#This Row],[Estimated incentive]], "")</f>
        <v/>
      </c>
      <c r="AA147" s="69" t="str">
        <f t="shared" si="4"/>
        <v/>
      </c>
      <c r="AB147" s="69" t="str">
        <f>IF(ISNUMBER(Table_PrescriptLights_Input[[#This Row],[Detailed Fixture Calculation Wattage]]), "Detailed", "General")</f>
        <v>General</v>
      </c>
      <c r="AC147" s="53" t="e">
        <f>INDEX(Table_IntExt_Match[Measure Selection List], MATCH(Table_PrescriptLights_Input[[#This Row],[Interior or exterior?]], Table_IntExt_Match[Inetrior or Exterior], 0))</f>
        <v>#N/A</v>
      </c>
      <c r="AD147" s="53" t="e">
        <f>INDEX(Table_Prescript_Meas[Unit], MATCH(C147, Table_Prescript_Meas[Measure Number], 0))</f>
        <v>#N/A</v>
      </c>
      <c r="AE147" s="53" t="e">
        <f>INDEX(Table_Prescript_Meas[Lighting Type Selection List], MATCH(C147, Table_Prescript_Meas[Measure Number], 0))</f>
        <v>#N/A</v>
      </c>
      <c r="AF147" s="53" t="e">
        <f>INDEX(Table_Prescript_Meas[AOH Type], MATCH(Table_PrescriptLights_Input[[#This Row],[Measure number]], Table_Prescript_Meas[Measure Number],0))</f>
        <v>#N/A</v>
      </c>
      <c r="AG147"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47" s="53" t="str">
        <f>_xlfn.CONCAT(Table_PrescriptLights_Input[[#This Row],[Existing lighting type]],":",Table_PrescriptLights_Input[[#This Row],[Existing lamps per fixture]], ":",Table_PrescriptLights_Input[[#This Row],[Existing lamp wattage]])</f>
        <v>::</v>
      </c>
      <c r="AI147" s="53" t="e">
        <f>INDEX(Table_TRM_Fixtures[Fixture Code], MATCH(Table_PrescriptLights_Input[[#This Row],[Detailed Baseline Fixture Lookup]], Table_TRM_Fixtures[Detailed Prescriptive Baseline Fixture Lookup], 0))</f>
        <v>#N/A</v>
      </c>
      <c r="AJ147" s="53" t="e">
        <f>INDEX(Table_TRM_Fixtures[Fixture Wattage for Baseline Calculations],MATCH(Table_PrescriptLights_Input[[#This Row],[Detailed Baseline Fixture Lookup]], Table_TRM_Fixtures[Detailed Prescriptive Baseline Fixture Lookup],0))</f>
        <v>#N/A</v>
      </c>
      <c r="AK147" s="127" t="e">
        <f>INDEX(Table_Bldg_IEFD_IEFC[IEFE], MATCH( Input_HVACType,Table_Bldg_IEFD_IEFC[List_HVAC], 0))</f>
        <v>#N/A</v>
      </c>
      <c r="AL147" s="127" t="e">
        <f>INDEX( Table_Bldg_IEFD_IEFC[IEFE],MATCH( Input_HVACType, Table_Bldg_IEFD_IEFC[List_HVAC],0 ))</f>
        <v>#N/A</v>
      </c>
      <c r="AM147" s="127" t="e">
        <f>INDEX(Table_Control_PAF[PAF], MATCH(Table_PrescriptLights_Input[[#This Row],[Existing controls]], Table_Control_PAF[List_Control_Types], 0 ) )</f>
        <v>#N/A</v>
      </c>
      <c r="AN147"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47"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47"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47" s="53">
        <f>IFERROR(LEFT(Table_PrescriptLights_Input[[#This Row],[Existing lighting type]], FIND(",",Table_PrescriptLights_Input[[#This Row],[Existing lighting type]])-1), Table_PrescriptLights_Input[[#This Row],[Existing lighting type]])</f>
        <v>0</v>
      </c>
      <c r="AR147" s="53" t="str">
        <f>_xlfn.CONCAT(Table_PrescriptLights_Input[[#This Row],[Generalized Fixture Type]], ":",Table_PrescriptLights_Input[[#This Row],[Existing lamps per fixture]],":",Table_PrescriptLights_Input[[#This Row],[Existing lamp wattage]])</f>
        <v>0::</v>
      </c>
      <c r="AS147" s="53" t="e">
        <f>INDEX(Table_TRM_Fixtures[Fixture Code], MATCH(Table_PrescriptLights_Input[[#This Row],[Generalized Fixture Baseline Lookup]], Table_TRM_Fixtures[Generalized Baseline Fixture Lookup], 0))</f>
        <v>#N/A</v>
      </c>
      <c r="AT147"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47"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47"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47"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47"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47" s="53" t="e">
        <f>IFERROR(Table_PrescriptLights_Input[[#This Row],[Detailed Baseline Fixture Code]],Table_PrescriptLights_Input[[#This Row],[Generalized Baseline Fixture Code]])</f>
        <v>#N/A</v>
      </c>
      <c r="AZ147" s="4"/>
      <c r="BA147" s="4"/>
      <c r="BB147" s="4"/>
      <c r="BC147" s="4"/>
      <c r="BD147" s="4"/>
      <c r="BE147" s="4"/>
      <c r="BF147" s="4"/>
      <c r="BG147" s="4"/>
      <c r="BH147" s="4"/>
      <c r="BI147" s="4"/>
      <c r="BJ147" s="4"/>
      <c r="BK147" s="4"/>
      <c r="BL147" s="4"/>
      <c r="BM147" s="4"/>
      <c r="BN147" s="4"/>
      <c r="BO147" s="4"/>
      <c r="BP147" s="4"/>
      <c r="BQ147" s="4"/>
    </row>
    <row r="148" spans="1:69" x14ac:dyDescent="0.2">
      <c r="A148" s="4"/>
      <c r="B148" s="189">
        <v>144</v>
      </c>
      <c r="C148" s="61" t="str">
        <f>IFERROR(INDEX(Table_Prescript_Meas[Measure Number], MATCH(Table_PrescriptLights_Input[[#This Row],[Prescriptive lighting measure]], Table_Prescript_Meas[Measure Description], 0)), "")</f>
        <v/>
      </c>
      <c r="D148" s="192"/>
      <c r="E148" s="179"/>
      <c r="F148" s="179"/>
      <c r="G148" s="61" t="str">
        <f>IFERROR(INDEX(Table_Prescript_Meas[Unit], MATCH(Table_PrescriptLights_Input[[#This Row],[Measure number]], Table_Prescript_Meas[Measure Number], 0)), "")</f>
        <v/>
      </c>
      <c r="H148" s="180"/>
      <c r="I148" s="179"/>
      <c r="J148" s="179"/>
      <c r="K148" s="180"/>
      <c r="L148" s="179"/>
      <c r="M148" s="180"/>
      <c r="N148" s="180"/>
      <c r="O148" s="180"/>
      <c r="P148" s="180"/>
      <c r="Q148" s="180"/>
      <c r="R148" s="181"/>
      <c r="S148" s="181"/>
      <c r="T148"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48"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48" s="69" t="str">
        <f>IF(Table_PrescriptLights_Input[[#This Row],[Prescriptive lighting measure]]="","",Table_PrescriptLights_Input[[#This Row],[Calculated Energy Savings]])</f>
        <v/>
      </c>
      <c r="W148" s="73" t="str">
        <f>IF(Table_PrescriptLights_Input[[#This Row],[Prescriptive lighting measure]]="","",Table_PrescriptLights_Input[[#This Row],[Calculated Demand Savings]])</f>
        <v/>
      </c>
      <c r="X148" s="67" t="str">
        <f>IFERROR(Table_PrescriptLights_Input[[#This Row],[Energy savings (kWh)]]*Input_AvgkWhRate, "")</f>
        <v/>
      </c>
      <c r="Y148" s="67" t="str">
        <f>IF(Table_PrescriptLights_Input[[#This Row],[Prescriptive lighting measure]]="", "",Table_PrescriptLights_Input[[#This Row],[Material cost per fixture]]*Table_PrescriptLights_Input[[#This Row],[Number of proposed fixtures]]+Table_PrescriptLights_Input[[#This Row],[Total labor cost]])</f>
        <v/>
      </c>
      <c r="Z148" s="67" t="str">
        <f>IFERROR(Table_PrescriptLights_Input[[#This Row],[Gross measure cost]]-Table_PrescriptLights_Input[[#This Row],[Estimated incentive]], "")</f>
        <v/>
      </c>
      <c r="AA148" s="69" t="str">
        <f t="shared" si="4"/>
        <v/>
      </c>
      <c r="AB148" s="69" t="str">
        <f>IF(ISNUMBER(Table_PrescriptLights_Input[[#This Row],[Detailed Fixture Calculation Wattage]]), "Detailed", "General")</f>
        <v>General</v>
      </c>
      <c r="AC148" s="53" t="e">
        <f>INDEX(Table_IntExt_Match[Measure Selection List], MATCH(Table_PrescriptLights_Input[[#This Row],[Interior or exterior?]], Table_IntExt_Match[Inetrior or Exterior], 0))</f>
        <v>#N/A</v>
      </c>
      <c r="AD148" s="53" t="e">
        <f>INDEX(Table_Prescript_Meas[Unit], MATCH(C148, Table_Prescript_Meas[Measure Number], 0))</f>
        <v>#N/A</v>
      </c>
      <c r="AE148" s="53" t="e">
        <f>INDEX(Table_Prescript_Meas[Lighting Type Selection List], MATCH(C148, Table_Prescript_Meas[Measure Number], 0))</f>
        <v>#N/A</v>
      </c>
      <c r="AF148" s="53" t="e">
        <f>INDEX(Table_Prescript_Meas[AOH Type], MATCH(Table_PrescriptLights_Input[[#This Row],[Measure number]], Table_Prescript_Meas[Measure Number],0))</f>
        <v>#N/A</v>
      </c>
      <c r="AG148"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48" s="53" t="str">
        <f>_xlfn.CONCAT(Table_PrescriptLights_Input[[#This Row],[Existing lighting type]],":",Table_PrescriptLights_Input[[#This Row],[Existing lamps per fixture]], ":",Table_PrescriptLights_Input[[#This Row],[Existing lamp wattage]])</f>
        <v>::</v>
      </c>
      <c r="AI148" s="53" t="e">
        <f>INDEX(Table_TRM_Fixtures[Fixture Code], MATCH(Table_PrescriptLights_Input[[#This Row],[Detailed Baseline Fixture Lookup]], Table_TRM_Fixtures[Detailed Prescriptive Baseline Fixture Lookup], 0))</f>
        <v>#N/A</v>
      </c>
      <c r="AJ148" s="53" t="e">
        <f>INDEX(Table_TRM_Fixtures[Fixture Wattage for Baseline Calculations],MATCH(Table_PrescriptLights_Input[[#This Row],[Detailed Baseline Fixture Lookup]], Table_TRM_Fixtures[Detailed Prescriptive Baseline Fixture Lookup],0))</f>
        <v>#N/A</v>
      </c>
      <c r="AK148" s="127" t="e">
        <f>INDEX(Table_Bldg_IEFD_IEFC[IEFE], MATCH( Input_HVACType,Table_Bldg_IEFD_IEFC[List_HVAC], 0))</f>
        <v>#N/A</v>
      </c>
      <c r="AL148" s="127" t="e">
        <f>INDEX( Table_Bldg_IEFD_IEFC[IEFE],MATCH( Input_HVACType, Table_Bldg_IEFD_IEFC[List_HVAC],0 ))</f>
        <v>#N/A</v>
      </c>
      <c r="AM148" s="127" t="e">
        <f>INDEX(Table_Control_PAF[PAF], MATCH(Table_PrescriptLights_Input[[#This Row],[Existing controls]], Table_Control_PAF[List_Control_Types], 0 ) )</f>
        <v>#N/A</v>
      </c>
      <c r="AN148"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48"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48"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48" s="53">
        <f>IFERROR(LEFT(Table_PrescriptLights_Input[[#This Row],[Existing lighting type]], FIND(",",Table_PrescriptLights_Input[[#This Row],[Existing lighting type]])-1), Table_PrescriptLights_Input[[#This Row],[Existing lighting type]])</f>
        <v>0</v>
      </c>
      <c r="AR148" s="53" t="str">
        <f>_xlfn.CONCAT(Table_PrescriptLights_Input[[#This Row],[Generalized Fixture Type]], ":",Table_PrescriptLights_Input[[#This Row],[Existing lamps per fixture]],":",Table_PrescriptLights_Input[[#This Row],[Existing lamp wattage]])</f>
        <v>0::</v>
      </c>
      <c r="AS148" s="53" t="e">
        <f>INDEX(Table_TRM_Fixtures[Fixture Code], MATCH(Table_PrescriptLights_Input[[#This Row],[Generalized Fixture Baseline Lookup]], Table_TRM_Fixtures[Generalized Baseline Fixture Lookup], 0))</f>
        <v>#N/A</v>
      </c>
      <c r="AT148"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48"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48"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48"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48"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48" s="53" t="e">
        <f>IFERROR(Table_PrescriptLights_Input[[#This Row],[Detailed Baseline Fixture Code]],Table_PrescriptLights_Input[[#This Row],[Generalized Baseline Fixture Code]])</f>
        <v>#N/A</v>
      </c>
      <c r="AZ148" s="4"/>
      <c r="BA148" s="4"/>
      <c r="BB148" s="4"/>
      <c r="BC148" s="4"/>
      <c r="BD148" s="4"/>
      <c r="BE148" s="4"/>
      <c r="BF148" s="4"/>
      <c r="BG148" s="4"/>
      <c r="BH148" s="4"/>
      <c r="BI148" s="4"/>
      <c r="BJ148" s="4"/>
      <c r="BK148" s="4"/>
      <c r="BL148" s="4"/>
      <c r="BM148" s="4"/>
      <c r="BN148" s="4"/>
      <c r="BO148" s="4"/>
      <c r="BP148" s="4"/>
      <c r="BQ148" s="4"/>
    </row>
    <row r="149" spans="1:69" x14ac:dyDescent="0.2">
      <c r="A149" s="4"/>
      <c r="B149" s="189">
        <v>145</v>
      </c>
      <c r="C149" s="61" t="str">
        <f>IFERROR(INDEX(Table_Prescript_Meas[Measure Number], MATCH(Table_PrescriptLights_Input[[#This Row],[Prescriptive lighting measure]], Table_Prescript_Meas[Measure Description], 0)), "")</f>
        <v/>
      </c>
      <c r="D149" s="192"/>
      <c r="E149" s="179"/>
      <c r="F149" s="179"/>
      <c r="G149" s="61" t="str">
        <f>IFERROR(INDEX(Table_Prescript_Meas[Unit], MATCH(Table_PrescriptLights_Input[[#This Row],[Measure number]], Table_Prescript_Meas[Measure Number], 0)), "")</f>
        <v/>
      </c>
      <c r="H149" s="180"/>
      <c r="I149" s="179"/>
      <c r="J149" s="179"/>
      <c r="K149" s="180"/>
      <c r="L149" s="179"/>
      <c r="M149" s="180"/>
      <c r="N149" s="180"/>
      <c r="O149" s="180"/>
      <c r="P149" s="180"/>
      <c r="Q149" s="180"/>
      <c r="R149" s="181"/>
      <c r="S149" s="181"/>
      <c r="T149"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49"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49" s="69" t="str">
        <f>IF(Table_PrescriptLights_Input[[#This Row],[Prescriptive lighting measure]]="","",Table_PrescriptLights_Input[[#This Row],[Calculated Energy Savings]])</f>
        <v/>
      </c>
      <c r="W149" s="73" t="str">
        <f>IF(Table_PrescriptLights_Input[[#This Row],[Prescriptive lighting measure]]="","",Table_PrescriptLights_Input[[#This Row],[Calculated Demand Savings]])</f>
        <v/>
      </c>
      <c r="X149" s="67" t="str">
        <f>IFERROR(Table_PrescriptLights_Input[[#This Row],[Energy savings (kWh)]]*Input_AvgkWhRate, "")</f>
        <v/>
      </c>
      <c r="Y149" s="67" t="str">
        <f>IF(Table_PrescriptLights_Input[[#This Row],[Prescriptive lighting measure]]="", "",Table_PrescriptLights_Input[[#This Row],[Material cost per fixture]]*Table_PrescriptLights_Input[[#This Row],[Number of proposed fixtures]]+Table_PrescriptLights_Input[[#This Row],[Total labor cost]])</f>
        <v/>
      </c>
      <c r="Z149" s="67" t="str">
        <f>IFERROR(Table_PrescriptLights_Input[[#This Row],[Gross measure cost]]-Table_PrescriptLights_Input[[#This Row],[Estimated incentive]], "")</f>
        <v/>
      </c>
      <c r="AA149" s="69" t="str">
        <f t="shared" si="4"/>
        <v/>
      </c>
      <c r="AB149" s="69" t="str">
        <f>IF(ISNUMBER(Table_PrescriptLights_Input[[#This Row],[Detailed Fixture Calculation Wattage]]), "Detailed", "General")</f>
        <v>General</v>
      </c>
      <c r="AC149" s="53" t="e">
        <f>INDEX(Table_IntExt_Match[Measure Selection List], MATCH(Table_PrescriptLights_Input[[#This Row],[Interior or exterior?]], Table_IntExt_Match[Inetrior or Exterior], 0))</f>
        <v>#N/A</v>
      </c>
      <c r="AD149" s="53" t="e">
        <f>INDEX(Table_Prescript_Meas[Unit], MATCH(C149, Table_Prescript_Meas[Measure Number], 0))</f>
        <v>#N/A</v>
      </c>
      <c r="AE149" s="53" t="e">
        <f>INDEX(Table_Prescript_Meas[Lighting Type Selection List], MATCH(C149, Table_Prescript_Meas[Measure Number], 0))</f>
        <v>#N/A</v>
      </c>
      <c r="AF149" s="53" t="e">
        <f>INDEX(Table_Prescript_Meas[AOH Type], MATCH(Table_PrescriptLights_Input[[#This Row],[Measure number]], Table_Prescript_Meas[Measure Number],0))</f>
        <v>#N/A</v>
      </c>
      <c r="AG149"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49" s="53" t="str">
        <f>_xlfn.CONCAT(Table_PrescriptLights_Input[[#This Row],[Existing lighting type]],":",Table_PrescriptLights_Input[[#This Row],[Existing lamps per fixture]], ":",Table_PrescriptLights_Input[[#This Row],[Existing lamp wattage]])</f>
        <v>::</v>
      </c>
      <c r="AI149" s="53" t="e">
        <f>INDEX(Table_TRM_Fixtures[Fixture Code], MATCH(Table_PrescriptLights_Input[[#This Row],[Detailed Baseline Fixture Lookup]], Table_TRM_Fixtures[Detailed Prescriptive Baseline Fixture Lookup], 0))</f>
        <v>#N/A</v>
      </c>
      <c r="AJ149" s="53" t="e">
        <f>INDEX(Table_TRM_Fixtures[Fixture Wattage for Baseline Calculations],MATCH(Table_PrescriptLights_Input[[#This Row],[Detailed Baseline Fixture Lookup]], Table_TRM_Fixtures[Detailed Prescriptive Baseline Fixture Lookup],0))</f>
        <v>#N/A</v>
      </c>
      <c r="AK149" s="127" t="e">
        <f>INDEX(Table_Bldg_IEFD_IEFC[IEFE], MATCH( Input_HVACType,Table_Bldg_IEFD_IEFC[List_HVAC], 0))</f>
        <v>#N/A</v>
      </c>
      <c r="AL149" s="127" t="e">
        <f>INDEX( Table_Bldg_IEFD_IEFC[IEFE],MATCH( Input_HVACType, Table_Bldg_IEFD_IEFC[List_HVAC],0 ))</f>
        <v>#N/A</v>
      </c>
      <c r="AM149" s="127" t="e">
        <f>INDEX(Table_Control_PAF[PAF], MATCH(Table_PrescriptLights_Input[[#This Row],[Existing controls]], Table_Control_PAF[List_Control_Types], 0 ) )</f>
        <v>#N/A</v>
      </c>
      <c r="AN149"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49"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49"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49" s="53">
        <f>IFERROR(LEFT(Table_PrescriptLights_Input[[#This Row],[Existing lighting type]], FIND(",",Table_PrescriptLights_Input[[#This Row],[Existing lighting type]])-1), Table_PrescriptLights_Input[[#This Row],[Existing lighting type]])</f>
        <v>0</v>
      </c>
      <c r="AR149" s="53" t="str">
        <f>_xlfn.CONCAT(Table_PrescriptLights_Input[[#This Row],[Generalized Fixture Type]], ":",Table_PrescriptLights_Input[[#This Row],[Existing lamps per fixture]],":",Table_PrescriptLights_Input[[#This Row],[Existing lamp wattage]])</f>
        <v>0::</v>
      </c>
      <c r="AS149" s="53" t="e">
        <f>INDEX(Table_TRM_Fixtures[Fixture Code], MATCH(Table_PrescriptLights_Input[[#This Row],[Generalized Fixture Baseline Lookup]], Table_TRM_Fixtures[Generalized Baseline Fixture Lookup], 0))</f>
        <v>#N/A</v>
      </c>
      <c r="AT149"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49"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49"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49"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49"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49" s="53" t="e">
        <f>IFERROR(Table_PrescriptLights_Input[[#This Row],[Detailed Baseline Fixture Code]],Table_PrescriptLights_Input[[#This Row],[Generalized Baseline Fixture Code]])</f>
        <v>#N/A</v>
      </c>
      <c r="AZ149" s="4"/>
      <c r="BA149" s="4"/>
      <c r="BB149" s="4"/>
      <c r="BC149" s="4"/>
      <c r="BD149" s="4"/>
      <c r="BE149" s="4"/>
      <c r="BF149" s="4"/>
      <c r="BG149" s="4"/>
      <c r="BH149" s="4"/>
      <c r="BI149" s="4"/>
      <c r="BJ149" s="4"/>
      <c r="BK149" s="4"/>
      <c r="BL149" s="4"/>
      <c r="BM149" s="4"/>
      <c r="BN149" s="4"/>
      <c r="BO149" s="4"/>
      <c r="BP149" s="4"/>
      <c r="BQ149" s="4"/>
    </row>
    <row r="150" spans="1:69" x14ac:dyDescent="0.2">
      <c r="A150" s="4"/>
      <c r="B150" s="189">
        <v>146</v>
      </c>
      <c r="C150" s="61" t="str">
        <f>IFERROR(INDEX(Table_Prescript_Meas[Measure Number], MATCH(Table_PrescriptLights_Input[[#This Row],[Prescriptive lighting measure]], Table_Prescript_Meas[Measure Description], 0)), "")</f>
        <v/>
      </c>
      <c r="D150" s="192"/>
      <c r="E150" s="179"/>
      <c r="F150" s="179"/>
      <c r="G150" s="61" t="str">
        <f>IFERROR(INDEX(Table_Prescript_Meas[Unit], MATCH(Table_PrescriptLights_Input[[#This Row],[Measure number]], Table_Prescript_Meas[Measure Number], 0)), "")</f>
        <v/>
      </c>
      <c r="H150" s="180"/>
      <c r="I150" s="179"/>
      <c r="J150" s="179"/>
      <c r="K150" s="180"/>
      <c r="L150" s="179"/>
      <c r="M150" s="180"/>
      <c r="N150" s="180"/>
      <c r="O150" s="180"/>
      <c r="P150" s="180"/>
      <c r="Q150" s="180"/>
      <c r="R150" s="181"/>
      <c r="S150" s="181"/>
      <c r="T150"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50"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50" s="69" t="str">
        <f>IF(Table_PrescriptLights_Input[[#This Row],[Prescriptive lighting measure]]="","",Table_PrescriptLights_Input[[#This Row],[Calculated Energy Savings]])</f>
        <v/>
      </c>
      <c r="W150" s="73" t="str">
        <f>IF(Table_PrescriptLights_Input[[#This Row],[Prescriptive lighting measure]]="","",Table_PrescriptLights_Input[[#This Row],[Calculated Demand Savings]])</f>
        <v/>
      </c>
      <c r="X150" s="67" t="str">
        <f>IFERROR(Table_PrescriptLights_Input[[#This Row],[Energy savings (kWh)]]*Input_AvgkWhRate, "")</f>
        <v/>
      </c>
      <c r="Y150" s="67" t="str">
        <f>IF(Table_PrescriptLights_Input[[#This Row],[Prescriptive lighting measure]]="", "",Table_PrescriptLights_Input[[#This Row],[Material cost per fixture]]*Table_PrescriptLights_Input[[#This Row],[Number of proposed fixtures]]+Table_PrescriptLights_Input[[#This Row],[Total labor cost]])</f>
        <v/>
      </c>
      <c r="Z150" s="67" t="str">
        <f>IFERROR(Table_PrescriptLights_Input[[#This Row],[Gross measure cost]]-Table_PrescriptLights_Input[[#This Row],[Estimated incentive]], "")</f>
        <v/>
      </c>
      <c r="AA150" s="69" t="str">
        <f t="shared" si="4"/>
        <v/>
      </c>
      <c r="AB150" s="69" t="str">
        <f>IF(ISNUMBER(Table_PrescriptLights_Input[[#This Row],[Detailed Fixture Calculation Wattage]]), "Detailed", "General")</f>
        <v>General</v>
      </c>
      <c r="AC150" s="53" t="e">
        <f>INDEX(Table_IntExt_Match[Measure Selection List], MATCH(Table_PrescriptLights_Input[[#This Row],[Interior or exterior?]], Table_IntExt_Match[Inetrior or Exterior], 0))</f>
        <v>#N/A</v>
      </c>
      <c r="AD150" s="53" t="e">
        <f>INDEX(Table_Prescript_Meas[Unit], MATCH(C150, Table_Prescript_Meas[Measure Number], 0))</f>
        <v>#N/A</v>
      </c>
      <c r="AE150" s="53" t="e">
        <f>INDEX(Table_Prescript_Meas[Lighting Type Selection List], MATCH(C150, Table_Prescript_Meas[Measure Number], 0))</f>
        <v>#N/A</v>
      </c>
      <c r="AF150" s="53" t="e">
        <f>INDEX(Table_Prescript_Meas[AOH Type], MATCH(Table_PrescriptLights_Input[[#This Row],[Measure number]], Table_Prescript_Meas[Measure Number],0))</f>
        <v>#N/A</v>
      </c>
      <c r="AG150"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50" s="53" t="str">
        <f>_xlfn.CONCAT(Table_PrescriptLights_Input[[#This Row],[Existing lighting type]],":",Table_PrescriptLights_Input[[#This Row],[Existing lamps per fixture]], ":",Table_PrescriptLights_Input[[#This Row],[Existing lamp wattage]])</f>
        <v>::</v>
      </c>
      <c r="AI150" s="53" t="e">
        <f>INDEX(Table_TRM_Fixtures[Fixture Code], MATCH(Table_PrescriptLights_Input[[#This Row],[Detailed Baseline Fixture Lookup]], Table_TRM_Fixtures[Detailed Prescriptive Baseline Fixture Lookup], 0))</f>
        <v>#N/A</v>
      </c>
      <c r="AJ150" s="53" t="e">
        <f>INDEX(Table_TRM_Fixtures[Fixture Wattage for Baseline Calculations],MATCH(Table_PrescriptLights_Input[[#This Row],[Detailed Baseline Fixture Lookup]], Table_TRM_Fixtures[Detailed Prescriptive Baseline Fixture Lookup],0))</f>
        <v>#N/A</v>
      </c>
      <c r="AK150" s="127" t="e">
        <f>INDEX(Table_Bldg_IEFD_IEFC[IEFE], MATCH( Input_HVACType,Table_Bldg_IEFD_IEFC[List_HVAC], 0))</f>
        <v>#N/A</v>
      </c>
      <c r="AL150" s="127" t="e">
        <f>INDEX( Table_Bldg_IEFD_IEFC[IEFE],MATCH( Input_HVACType, Table_Bldg_IEFD_IEFC[List_HVAC],0 ))</f>
        <v>#N/A</v>
      </c>
      <c r="AM150" s="127" t="e">
        <f>INDEX(Table_Control_PAF[PAF], MATCH(Table_PrescriptLights_Input[[#This Row],[Existing controls]], Table_Control_PAF[List_Control_Types], 0 ) )</f>
        <v>#N/A</v>
      </c>
      <c r="AN150"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50"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50"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50" s="53">
        <f>IFERROR(LEFT(Table_PrescriptLights_Input[[#This Row],[Existing lighting type]], FIND(",",Table_PrescriptLights_Input[[#This Row],[Existing lighting type]])-1), Table_PrescriptLights_Input[[#This Row],[Existing lighting type]])</f>
        <v>0</v>
      </c>
      <c r="AR150" s="53" t="str">
        <f>_xlfn.CONCAT(Table_PrescriptLights_Input[[#This Row],[Generalized Fixture Type]], ":",Table_PrescriptLights_Input[[#This Row],[Existing lamps per fixture]],":",Table_PrescriptLights_Input[[#This Row],[Existing lamp wattage]])</f>
        <v>0::</v>
      </c>
      <c r="AS150" s="53" t="e">
        <f>INDEX(Table_TRM_Fixtures[Fixture Code], MATCH(Table_PrescriptLights_Input[[#This Row],[Generalized Fixture Baseline Lookup]], Table_TRM_Fixtures[Generalized Baseline Fixture Lookup], 0))</f>
        <v>#N/A</v>
      </c>
      <c r="AT150"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50"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50"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50"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50"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50" s="53" t="e">
        <f>IFERROR(Table_PrescriptLights_Input[[#This Row],[Detailed Baseline Fixture Code]],Table_PrescriptLights_Input[[#This Row],[Generalized Baseline Fixture Code]])</f>
        <v>#N/A</v>
      </c>
      <c r="AZ150" s="4"/>
      <c r="BA150" s="4"/>
      <c r="BB150" s="4"/>
      <c r="BC150" s="4"/>
      <c r="BD150" s="4"/>
      <c r="BE150" s="4"/>
      <c r="BF150" s="4"/>
      <c r="BG150" s="4"/>
      <c r="BH150" s="4"/>
      <c r="BI150" s="4"/>
      <c r="BJ150" s="4"/>
      <c r="BK150" s="4"/>
      <c r="BL150" s="4"/>
      <c r="BM150" s="4"/>
      <c r="BN150" s="4"/>
      <c r="BO150" s="4"/>
      <c r="BP150" s="4"/>
      <c r="BQ150" s="4"/>
    </row>
    <row r="151" spans="1:69" x14ac:dyDescent="0.2">
      <c r="A151" s="4"/>
      <c r="B151" s="189">
        <v>147</v>
      </c>
      <c r="C151" s="61" t="str">
        <f>IFERROR(INDEX(Table_Prescript_Meas[Measure Number], MATCH(Table_PrescriptLights_Input[[#This Row],[Prescriptive lighting measure]], Table_Prescript_Meas[Measure Description], 0)), "")</f>
        <v/>
      </c>
      <c r="D151" s="192"/>
      <c r="E151" s="179"/>
      <c r="F151" s="179"/>
      <c r="G151" s="61" t="str">
        <f>IFERROR(INDEX(Table_Prescript_Meas[Unit], MATCH(Table_PrescriptLights_Input[[#This Row],[Measure number]], Table_Prescript_Meas[Measure Number], 0)), "")</f>
        <v/>
      </c>
      <c r="H151" s="180"/>
      <c r="I151" s="179"/>
      <c r="J151" s="179"/>
      <c r="K151" s="180"/>
      <c r="L151" s="179"/>
      <c r="M151" s="180"/>
      <c r="N151" s="180"/>
      <c r="O151" s="180"/>
      <c r="P151" s="180"/>
      <c r="Q151" s="180"/>
      <c r="R151" s="181"/>
      <c r="S151" s="181"/>
      <c r="T151"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51"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51" s="69" t="str">
        <f>IF(Table_PrescriptLights_Input[[#This Row],[Prescriptive lighting measure]]="","",Table_PrescriptLights_Input[[#This Row],[Calculated Energy Savings]])</f>
        <v/>
      </c>
      <c r="W151" s="73" t="str">
        <f>IF(Table_PrescriptLights_Input[[#This Row],[Prescriptive lighting measure]]="","",Table_PrescriptLights_Input[[#This Row],[Calculated Demand Savings]])</f>
        <v/>
      </c>
      <c r="X151" s="67" t="str">
        <f>IFERROR(Table_PrescriptLights_Input[[#This Row],[Energy savings (kWh)]]*Input_AvgkWhRate, "")</f>
        <v/>
      </c>
      <c r="Y151" s="67" t="str">
        <f>IF(Table_PrescriptLights_Input[[#This Row],[Prescriptive lighting measure]]="", "",Table_PrescriptLights_Input[[#This Row],[Material cost per fixture]]*Table_PrescriptLights_Input[[#This Row],[Number of proposed fixtures]]+Table_PrescriptLights_Input[[#This Row],[Total labor cost]])</f>
        <v/>
      </c>
      <c r="Z151" s="67" t="str">
        <f>IFERROR(Table_PrescriptLights_Input[[#This Row],[Gross measure cost]]-Table_PrescriptLights_Input[[#This Row],[Estimated incentive]], "")</f>
        <v/>
      </c>
      <c r="AA151" s="69" t="str">
        <f t="shared" si="4"/>
        <v/>
      </c>
      <c r="AB151" s="69" t="str">
        <f>IF(ISNUMBER(Table_PrescriptLights_Input[[#This Row],[Detailed Fixture Calculation Wattage]]), "Detailed", "General")</f>
        <v>General</v>
      </c>
      <c r="AC151" s="53" t="e">
        <f>INDEX(Table_IntExt_Match[Measure Selection List], MATCH(Table_PrescriptLights_Input[[#This Row],[Interior or exterior?]], Table_IntExt_Match[Inetrior or Exterior], 0))</f>
        <v>#N/A</v>
      </c>
      <c r="AD151" s="53" t="e">
        <f>INDEX(Table_Prescript_Meas[Unit], MATCH(C151, Table_Prescript_Meas[Measure Number], 0))</f>
        <v>#N/A</v>
      </c>
      <c r="AE151" s="53" t="e">
        <f>INDEX(Table_Prescript_Meas[Lighting Type Selection List], MATCH(C151, Table_Prescript_Meas[Measure Number], 0))</f>
        <v>#N/A</v>
      </c>
      <c r="AF151" s="53" t="e">
        <f>INDEX(Table_Prescript_Meas[AOH Type], MATCH(Table_PrescriptLights_Input[[#This Row],[Measure number]], Table_Prescript_Meas[Measure Number],0))</f>
        <v>#N/A</v>
      </c>
      <c r="AG151"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51" s="53" t="str">
        <f>_xlfn.CONCAT(Table_PrescriptLights_Input[[#This Row],[Existing lighting type]],":",Table_PrescriptLights_Input[[#This Row],[Existing lamps per fixture]], ":",Table_PrescriptLights_Input[[#This Row],[Existing lamp wattage]])</f>
        <v>::</v>
      </c>
      <c r="AI151" s="53" t="e">
        <f>INDEX(Table_TRM_Fixtures[Fixture Code], MATCH(Table_PrescriptLights_Input[[#This Row],[Detailed Baseline Fixture Lookup]], Table_TRM_Fixtures[Detailed Prescriptive Baseline Fixture Lookup], 0))</f>
        <v>#N/A</v>
      </c>
      <c r="AJ151" s="53" t="e">
        <f>INDEX(Table_TRM_Fixtures[Fixture Wattage for Baseline Calculations],MATCH(Table_PrescriptLights_Input[[#This Row],[Detailed Baseline Fixture Lookup]], Table_TRM_Fixtures[Detailed Prescriptive Baseline Fixture Lookup],0))</f>
        <v>#N/A</v>
      </c>
      <c r="AK151" s="127" t="e">
        <f>INDEX(Table_Bldg_IEFD_IEFC[IEFE], MATCH( Input_HVACType,Table_Bldg_IEFD_IEFC[List_HVAC], 0))</f>
        <v>#N/A</v>
      </c>
      <c r="AL151" s="127" t="e">
        <f>INDEX( Table_Bldg_IEFD_IEFC[IEFE],MATCH( Input_HVACType, Table_Bldg_IEFD_IEFC[List_HVAC],0 ))</f>
        <v>#N/A</v>
      </c>
      <c r="AM151" s="127" t="e">
        <f>INDEX(Table_Control_PAF[PAF], MATCH(Table_PrescriptLights_Input[[#This Row],[Existing controls]], Table_Control_PAF[List_Control_Types], 0 ) )</f>
        <v>#N/A</v>
      </c>
      <c r="AN151"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51"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51"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51" s="53">
        <f>IFERROR(LEFT(Table_PrescriptLights_Input[[#This Row],[Existing lighting type]], FIND(",",Table_PrescriptLights_Input[[#This Row],[Existing lighting type]])-1), Table_PrescriptLights_Input[[#This Row],[Existing lighting type]])</f>
        <v>0</v>
      </c>
      <c r="AR151" s="53" t="str">
        <f>_xlfn.CONCAT(Table_PrescriptLights_Input[[#This Row],[Generalized Fixture Type]], ":",Table_PrescriptLights_Input[[#This Row],[Existing lamps per fixture]],":",Table_PrescriptLights_Input[[#This Row],[Existing lamp wattage]])</f>
        <v>0::</v>
      </c>
      <c r="AS151" s="53" t="e">
        <f>INDEX(Table_TRM_Fixtures[Fixture Code], MATCH(Table_PrescriptLights_Input[[#This Row],[Generalized Fixture Baseline Lookup]], Table_TRM_Fixtures[Generalized Baseline Fixture Lookup], 0))</f>
        <v>#N/A</v>
      </c>
      <c r="AT151"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51"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51"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51"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51"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51" s="53" t="e">
        <f>IFERROR(Table_PrescriptLights_Input[[#This Row],[Detailed Baseline Fixture Code]],Table_PrescriptLights_Input[[#This Row],[Generalized Baseline Fixture Code]])</f>
        <v>#N/A</v>
      </c>
      <c r="AZ151" s="4"/>
      <c r="BA151" s="4"/>
      <c r="BB151" s="4"/>
      <c r="BC151" s="4"/>
      <c r="BD151" s="4"/>
      <c r="BE151" s="4"/>
      <c r="BF151" s="4"/>
      <c r="BG151" s="4"/>
      <c r="BH151" s="4"/>
      <c r="BI151" s="4"/>
      <c r="BJ151" s="4"/>
      <c r="BK151" s="4"/>
      <c r="BL151" s="4"/>
      <c r="BM151" s="4"/>
      <c r="BN151" s="4"/>
      <c r="BO151" s="4"/>
      <c r="BP151" s="4"/>
      <c r="BQ151" s="4"/>
    </row>
    <row r="152" spans="1:69" x14ac:dyDescent="0.2">
      <c r="A152" s="4"/>
      <c r="B152" s="189">
        <v>148</v>
      </c>
      <c r="C152" s="61" t="str">
        <f>IFERROR(INDEX(Table_Prescript_Meas[Measure Number], MATCH(Table_PrescriptLights_Input[[#This Row],[Prescriptive lighting measure]], Table_Prescript_Meas[Measure Description], 0)), "")</f>
        <v/>
      </c>
      <c r="D152" s="192"/>
      <c r="E152" s="179"/>
      <c r="F152" s="179"/>
      <c r="G152" s="61" t="str">
        <f>IFERROR(INDEX(Table_Prescript_Meas[Unit], MATCH(Table_PrescriptLights_Input[[#This Row],[Measure number]], Table_Prescript_Meas[Measure Number], 0)), "")</f>
        <v/>
      </c>
      <c r="H152" s="180"/>
      <c r="I152" s="179"/>
      <c r="J152" s="179"/>
      <c r="K152" s="180"/>
      <c r="L152" s="179"/>
      <c r="M152" s="180"/>
      <c r="N152" s="180"/>
      <c r="O152" s="180"/>
      <c r="P152" s="180"/>
      <c r="Q152" s="180"/>
      <c r="R152" s="181"/>
      <c r="S152" s="181"/>
      <c r="T152"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52"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52" s="69" t="str">
        <f>IF(Table_PrescriptLights_Input[[#This Row],[Prescriptive lighting measure]]="","",Table_PrescriptLights_Input[[#This Row],[Calculated Energy Savings]])</f>
        <v/>
      </c>
      <c r="W152" s="73" t="str">
        <f>IF(Table_PrescriptLights_Input[[#This Row],[Prescriptive lighting measure]]="","",Table_PrescriptLights_Input[[#This Row],[Calculated Demand Savings]])</f>
        <v/>
      </c>
      <c r="X152" s="67" t="str">
        <f>IFERROR(Table_PrescriptLights_Input[[#This Row],[Energy savings (kWh)]]*Input_AvgkWhRate, "")</f>
        <v/>
      </c>
      <c r="Y152" s="67" t="str">
        <f>IF(Table_PrescriptLights_Input[[#This Row],[Prescriptive lighting measure]]="", "",Table_PrescriptLights_Input[[#This Row],[Material cost per fixture]]*Table_PrescriptLights_Input[[#This Row],[Number of proposed fixtures]]+Table_PrescriptLights_Input[[#This Row],[Total labor cost]])</f>
        <v/>
      </c>
      <c r="Z152" s="67" t="str">
        <f>IFERROR(Table_PrescriptLights_Input[[#This Row],[Gross measure cost]]-Table_PrescriptLights_Input[[#This Row],[Estimated incentive]], "")</f>
        <v/>
      </c>
      <c r="AA152" s="69" t="str">
        <f t="shared" si="4"/>
        <v/>
      </c>
      <c r="AB152" s="69" t="str">
        <f>IF(ISNUMBER(Table_PrescriptLights_Input[[#This Row],[Detailed Fixture Calculation Wattage]]), "Detailed", "General")</f>
        <v>General</v>
      </c>
      <c r="AC152" s="53" t="e">
        <f>INDEX(Table_IntExt_Match[Measure Selection List], MATCH(Table_PrescriptLights_Input[[#This Row],[Interior or exterior?]], Table_IntExt_Match[Inetrior or Exterior], 0))</f>
        <v>#N/A</v>
      </c>
      <c r="AD152" s="53" t="e">
        <f>INDEX(Table_Prescript_Meas[Unit], MATCH(C152, Table_Prescript_Meas[Measure Number], 0))</f>
        <v>#N/A</v>
      </c>
      <c r="AE152" s="53" t="e">
        <f>INDEX(Table_Prescript_Meas[Lighting Type Selection List], MATCH(C152, Table_Prescript_Meas[Measure Number], 0))</f>
        <v>#N/A</v>
      </c>
      <c r="AF152" s="53" t="e">
        <f>INDEX(Table_Prescript_Meas[AOH Type], MATCH(Table_PrescriptLights_Input[[#This Row],[Measure number]], Table_Prescript_Meas[Measure Number],0))</f>
        <v>#N/A</v>
      </c>
      <c r="AG152"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52" s="53" t="str">
        <f>_xlfn.CONCAT(Table_PrescriptLights_Input[[#This Row],[Existing lighting type]],":",Table_PrescriptLights_Input[[#This Row],[Existing lamps per fixture]], ":",Table_PrescriptLights_Input[[#This Row],[Existing lamp wattage]])</f>
        <v>::</v>
      </c>
      <c r="AI152" s="53" t="e">
        <f>INDEX(Table_TRM_Fixtures[Fixture Code], MATCH(Table_PrescriptLights_Input[[#This Row],[Detailed Baseline Fixture Lookup]], Table_TRM_Fixtures[Detailed Prescriptive Baseline Fixture Lookup], 0))</f>
        <v>#N/A</v>
      </c>
      <c r="AJ152" s="53" t="e">
        <f>INDEX(Table_TRM_Fixtures[Fixture Wattage for Baseline Calculations],MATCH(Table_PrescriptLights_Input[[#This Row],[Detailed Baseline Fixture Lookup]], Table_TRM_Fixtures[Detailed Prescriptive Baseline Fixture Lookup],0))</f>
        <v>#N/A</v>
      </c>
      <c r="AK152" s="127" t="e">
        <f>INDEX(Table_Bldg_IEFD_IEFC[IEFE], MATCH( Input_HVACType,Table_Bldg_IEFD_IEFC[List_HVAC], 0))</f>
        <v>#N/A</v>
      </c>
      <c r="AL152" s="127" t="e">
        <f>INDEX( Table_Bldg_IEFD_IEFC[IEFE],MATCH( Input_HVACType, Table_Bldg_IEFD_IEFC[List_HVAC],0 ))</f>
        <v>#N/A</v>
      </c>
      <c r="AM152" s="127" t="e">
        <f>INDEX(Table_Control_PAF[PAF], MATCH(Table_PrescriptLights_Input[[#This Row],[Existing controls]], Table_Control_PAF[List_Control_Types], 0 ) )</f>
        <v>#N/A</v>
      </c>
      <c r="AN152"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52"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52"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52" s="53">
        <f>IFERROR(LEFT(Table_PrescriptLights_Input[[#This Row],[Existing lighting type]], FIND(",",Table_PrescriptLights_Input[[#This Row],[Existing lighting type]])-1), Table_PrescriptLights_Input[[#This Row],[Existing lighting type]])</f>
        <v>0</v>
      </c>
      <c r="AR152" s="53" t="str">
        <f>_xlfn.CONCAT(Table_PrescriptLights_Input[[#This Row],[Generalized Fixture Type]], ":",Table_PrescriptLights_Input[[#This Row],[Existing lamps per fixture]],":",Table_PrescriptLights_Input[[#This Row],[Existing lamp wattage]])</f>
        <v>0::</v>
      </c>
      <c r="AS152" s="53" t="e">
        <f>INDEX(Table_TRM_Fixtures[Fixture Code], MATCH(Table_PrescriptLights_Input[[#This Row],[Generalized Fixture Baseline Lookup]], Table_TRM_Fixtures[Generalized Baseline Fixture Lookup], 0))</f>
        <v>#N/A</v>
      </c>
      <c r="AT152"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52"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52"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52"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52"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52" s="53" t="e">
        <f>IFERROR(Table_PrescriptLights_Input[[#This Row],[Detailed Baseline Fixture Code]],Table_PrescriptLights_Input[[#This Row],[Generalized Baseline Fixture Code]])</f>
        <v>#N/A</v>
      </c>
      <c r="AZ152" s="4"/>
      <c r="BA152" s="4"/>
      <c r="BB152" s="4"/>
      <c r="BC152" s="4"/>
      <c r="BD152" s="4"/>
      <c r="BE152" s="4"/>
      <c r="BF152" s="4"/>
      <c r="BG152" s="4"/>
      <c r="BH152" s="4"/>
      <c r="BI152" s="4"/>
      <c r="BJ152" s="4"/>
      <c r="BK152" s="4"/>
      <c r="BL152" s="4"/>
      <c r="BM152" s="4"/>
      <c r="BN152" s="4"/>
      <c r="BO152" s="4"/>
      <c r="BP152" s="4"/>
      <c r="BQ152" s="4"/>
    </row>
    <row r="153" spans="1:69" x14ac:dyDescent="0.2">
      <c r="A153" s="4"/>
      <c r="B153" s="189">
        <v>149</v>
      </c>
      <c r="C153" s="61" t="str">
        <f>IFERROR(INDEX(Table_Prescript_Meas[Measure Number], MATCH(Table_PrescriptLights_Input[[#This Row],[Prescriptive lighting measure]], Table_Prescript_Meas[Measure Description], 0)), "")</f>
        <v/>
      </c>
      <c r="D153" s="192"/>
      <c r="E153" s="179"/>
      <c r="F153" s="179"/>
      <c r="G153" s="61" t="str">
        <f>IFERROR(INDEX(Table_Prescript_Meas[Unit], MATCH(Table_PrescriptLights_Input[[#This Row],[Measure number]], Table_Prescript_Meas[Measure Number], 0)), "")</f>
        <v/>
      </c>
      <c r="H153" s="180"/>
      <c r="I153" s="179"/>
      <c r="J153" s="179"/>
      <c r="K153" s="180"/>
      <c r="L153" s="179"/>
      <c r="M153" s="180"/>
      <c r="N153" s="180"/>
      <c r="O153" s="180"/>
      <c r="P153" s="180"/>
      <c r="Q153" s="180"/>
      <c r="R153" s="181"/>
      <c r="S153" s="181"/>
      <c r="T153"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53"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53" s="69" t="str">
        <f>IF(Table_PrescriptLights_Input[[#This Row],[Prescriptive lighting measure]]="","",Table_PrescriptLights_Input[[#This Row],[Calculated Energy Savings]])</f>
        <v/>
      </c>
      <c r="W153" s="73" t="str">
        <f>IF(Table_PrescriptLights_Input[[#This Row],[Prescriptive lighting measure]]="","",Table_PrescriptLights_Input[[#This Row],[Calculated Demand Savings]])</f>
        <v/>
      </c>
      <c r="X153" s="67" t="str">
        <f>IFERROR(Table_PrescriptLights_Input[[#This Row],[Energy savings (kWh)]]*Input_AvgkWhRate, "")</f>
        <v/>
      </c>
      <c r="Y153" s="67" t="str">
        <f>IF(Table_PrescriptLights_Input[[#This Row],[Prescriptive lighting measure]]="", "",Table_PrescriptLights_Input[[#This Row],[Material cost per fixture]]*Table_PrescriptLights_Input[[#This Row],[Number of proposed fixtures]]+Table_PrescriptLights_Input[[#This Row],[Total labor cost]])</f>
        <v/>
      </c>
      <c r="Z153" s="67" t="str">
        <f>IFERROR(Table_PrescriptLights_Input[[#This Row],[Gross measure cost]]-Table_PrescriptLights_Input[[#This Row],[Estimated incentive]], "")</f>
        <v/>
      </c>
      <c r="AA153" s="69" t="str">
        <f t="shared" si="4"/>
        <v/>
      </c>
      <c r="AB153" s="69" t="str">
        <f>IF(ISNUMBER(Table_PrescriptLights_Input[[#This Row],[Detailed Fixture Calculation Wattage]]), "Detailed", "General")</f>
        <v>General</v>
      </c>
      <c r="AC153" s="53" t="e">
        <f>INDEX(Table_IntExt_Match[Measure Selection List], MATCH(Table_PrescriptLights_Input[[#This Row],[Interior or exterior?]], Table_IntExt_Match[Inetrior or Exterior], 0))</f>
        <v>#N/A</v>
      </c>
      <c r="AD153" s="53" t="e">
        <f>INDEX(Table_Prescript_Meas[Unit], MATCH(C153, Table_Prescript_Meas[Measure Number], 0))</f>
        <v>#N/A</v>
      </c>
      <c r="AE153" s="53" t="e">
        <f>INDEX(Table_Prescript_Meas[Lighting Type Selection List], MATCH(C153, Table_Prescript_Meas[Measure Number], 0))</f>
        <v>#N/A</v>
      </c>
      <c r="AF153" s="53" t="e">
        <f>INDEX(Table_Prescript_Meas[AOH Type], MATCH(Table_PrescriptLights_Input[[#This Row],[Measure number]], Table_Prescript_Meas[Measure Number],0))</f>
        <v>#N/A</v>
      </c>
      <c r="AG153"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53" s="53" t="str">
        <f>_xlfn.CONCAT(Table_PrescriptLights_Input[[#This Row],[Existing lighting type]],":",Table_PrescriptLights_Input[[#This Row],[Existing lamps per fixture]], ":",Table_PrescriptLights_Input[[#This Row],[Existing lamp wattage]])</f>
        <v>::</v>
      </c>
      <c r="AI153" s="53" t="e">
        <f>INDEX(Table_TRM_Fixtures[Fixture Code], MATCH(Table_PrescriptLights_Input[[#This Row],[Detailed Baseline Fixture Lookup]], Table_TRM_Fixtures[Detailed Prescriptive Baseline Fixture Lookup], 0))</f>
        <v>#N/A</v>
      </c>
      <c r="AJ153" s="53" t="e">
        <f>INDEX(Table_TRM_Fixtures[Fixture Wattage for Baseline Calculations],MATCH(Table_PrescriptLights_Input[[#This Row],[Detailed Baseline Fixture Lookup]], Table_TRM_Fixtures[Detailed Prescriptive Baseline Fixture Lookup],0))</f>
        <v>#N/A</v>
      </c>
      <c r="AK153" s="127" t="e">
        <f>INDEX(Table_Bldg_IEFD_IEFC[IEFE], MATCH( Input_HVACType,Table_Bldg_IEFD_IEFC[List_HVAC], 0))</f>
        <v>#N/A</v>
      </c>
      <c r="AL153" s="127" t="e">
        <f>INDEX( Table_Bldg_IEFD_IEFC[IEFE],MATCH( Input_HVACType, Table_Bldg_IEFD_IEFC[List_HVAC],0 ))</f>
        <v>#N/A</v>
      </c>
      <c r="AM153" s="127" t="e">
        <f>INDEX(Table_Control_PAF[PAF], MATCH(Table_PrescriptLights_Input[[#This Row],[Existing controls]], Table_Control_PAF[List_Control_Types], 0 ) )</f>
        <v>#N/A</v>
      </c>
      <c r="AN153"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53"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53"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53" s="53">
        <f>IFERROR(LEFT(Table_PrescriptLights_Input[[#This Row],[Existing lighting type]], FIND(",",Table_PrescriptLights_Input[[#This Row],[Existing lighting type]])-1), Table_PrescriptLights_Input[[#This Row],[Existing lighting type]])</f>
        <v>0</v>
      </c>
      <c r="AR153" s="53" t="str">
        <f>_xlfn.CONCAT(Table_PrescriptLights_Input[[#This Row],[Generalized Fixture Type]], ":",Table_PrescriptLights_Input[[#This Row],[Existing lamps per fixture]],":",Table_PrescriptLights_Input[[#This Row],[Existing lamp wattage]])</f>
        <v>0::</v>
      </c>
      <c r="AS153" s="53" t="e">
        <f>INDEX(Table_TRM_Fixtures[Fixture Code], MATCH(Table_PrescriptLights_Input[[#This Row],[Generalized Fixture Baseline Lookup]], Table_TRM_Fixtures[Generalized Baseline Fixture Lookup], 0))</f>
        <v>#N/A</v>
      </c>
      <c r="AT153"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53"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53"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53"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53"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53" s="53" t="e">
        <f>IFERROR(Table_PrescriptLights_Input[[#This Row],[Detailed Baseline Fixture Code]],Table_PrescriptLights_Input[[#This Row],[Generalized Baseline Fixture Code]])</f>
        <v>#N/A</v>
      </c>
      <c r="AZ153" s="4"/>
      <c r="BA153" s="4"/>
      <c r="BB153" s="4"/>
      <c r="BC153" s="4"/>
      <c r="BD153" s="4"/>
      <c r="BE153" s="4"/>
      <c r="BF153" s="4"/>
      <c r="BG153" s="4"/>
      <c r="BH153" s="4"/>
      <c r="BI153" s="4"/>
      <c r="BJ153" s="4"/>
      <c r="BK153" s="4"/>
      <c r="BL153" s="4"/>
      <c r="BM153" s="4"/>
      <c r="BN153" s="4"/>
      <c r="BO153" s="4"/>
      <c r="BP153" s="4"/>
      <c r="BQ153" s="4"/>
    </row>
    <row r="154" spans="1:69" x14ac:dyDescent="0.2">
      <c r="A154" s="4"/>
      <c r="B154" s="189">
        <v>150</v>
      </c>
      <c r="C154" s="61" t="str">
        <f>IFERROR(INDEX(Table_Prescript_Meas[Measure Number], MATCH(Table_PrescriptLights_Input[[#This Row],[Prescriptive lighting measure]], Table_Prescript_Meas[Measure Description], 0)), "")</f>
        <v/>
      </c>
      <c r="D154" s="192"/>
      <c r="E154" s="179"/>
      <c r="F154" s="179"/>
      <c r="G154" s="61" t="str">
        <f>IFERROR(INDEX(Table_Prescript_Meas[Unit], MATCH(Table_PrescriptLights_Input[[#This Row],[Measure number]], Table_Prescript_Meas[Measure Number], 0)), "")</f>
        <v/>
      </c>
      <c r="H154" s="180"/>
      <c r="I154" s="179"/>
      <c r="J154" s="179"/>
      <c r="K154" s="180"/>
      <c r="L154" s="179"/>
      <c r="M154" s="180"/>
      <c r="N154" s="180"/>
      <c r="O154" s="180"/>
      <c r="P154" s="180"/>
      <c r="Q154" s="180"/>
      <c r="R154" s="181"/>
      <c r="S154" s="181"/>
      <c r="T154"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54"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54" s="69" t="str">
        <f>IF(Table_PrescriptLights_Input[[#This Row],[Prescriptive lighting measure]]="","",Table_PrescriptLights_Input[[#This Row],[Calculated Energy Savings]])</f>
        <v/>
      </c>
      <c r="W154" s="73" t="str">
        <f>IF(Table_PrescriptLights_Input[[#This Row],[Prescriptive lighting measure]]="","",Table_PrescriptLights_Input[[#This Row],[Calculated Demand Savings]])</f>
        <v/>
      </c>
      <c r="X154" s="67" t="str">
        <f>IFERROR(Table_PrescriptLights_Input[[#This Row],[Energy savings (kWh)]]*Input_AvgkWhRate, "")</f>
        <v/>
      </c>
      <c r="Y154" s="67" t="str">
        <f>IF(Table_PrescriptLights_Input[[#This Row],[Prescriptive lighting measure]]="", "",Table_PrescriptLights_Input[[#This Row],[Material cost per fixture]]*Table_PrescriptLights_Input[[#This Row],[Number of proposed fixtures]]+Table_PrescriptLights_Input[[#This Row],[Total labor cost]])</f>
        <v/>
      </c>
      <c r="Z154" s="67" t="str">
        <f>IFERROR(Table_PrescriptLights_Input[[#This Row],[Gross measure cost]]-Table_PrescriptLights_Input[[#This Row],[Estimated incentive]], "")</f>
        <v/>
      </c>
      <c r="AA154" s="69" t="str">
        <f t="shared" si="4"/>
        <v/>
      </c>
      <c r="AB154" s="69" t="str">
        <f>IF(ISNUMBER(Table_PrescriptLights_Input[[#This Row],[Detailed Fixture Calculation Wattage]]), "Detailed", "General")</f>
        <v>General</v>
      </c>
      <c r="AC154" s="53" t="e">
        <f>INDEX(Table_IntExt_Match[Measure Selection List], MATCH(Table_PrescriptLights_Input[[#This Row],[Interior or exterior?]], Table_IntExt_Match[Inetrior or Exterior], 0))</f>
        <v>#N/A</v>
      </c>
      <c r="AD154" s="53" t="e">
        <f>INDEX(Table_Prescript_Meas[Unit], MATCH(C154, Table_Prescript_Meas[Measure Number], 0))</f>
        <v>#N/A</v>
      </c>
      <c r="AE154" s="53" t="e">
        <f>INDEX(Table_Prescript_Meas[Lighting Type Selection List], MATCH(C154, Table_Prescript_Meas[Measure Number], 0))</f>
        <v>#N/A</v>
      </c>
      <c r="AF154" s="53" t="e">
        <f>INDEX(Table_Prescript_Meas[AOH Type], MATCH(Table_PrescriptLights_Input[[#This Row],[Measure number]], Table_Prescript_Meas[Measure Number],0))</f>
        <v>#N/A</v>
      </c>
      <c r="AG154"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54" s="53" t="str">
        <f>_xlfn.CONCAT(Table_PrescriptLights_Input[[#This Row],[Existing lighting type]],":",Table_PrescriptLights_Input[[#This Row],[Existing lamps per fixture]], ":",Table_PrescriptLights_Input[[#This Row],[Existing lamp wattage]])</f>
        <v>::</v>
      </c>
      <c r="AI154" s="53" t="e">
        <f>INDEX(Table_TRM_Fixtures[Fixture Code], MATCH(Table_PrescriptLights_Input[[#This Row],[Detailed Baseline Fixture Lookup]], Table_TRM_Fixtures[Detailed Prescriptive Baseline Fixture Lookup], 0))</f>
        <v>#N/A</v>
      </c>
      <c r="AJ154" s="53" t="e">
        <f>INDEX(Table_TRM_Fixtures[Fixture Wattage for Baseline Calculations],MATCH(Table_PrescriptLights_Input[[#This Row],[Detailed Baseline Fixture Lookup]], Table_TRM_Fixtures[Detailed Prescriptive Baseline Fixture Lookup],0))</f>
        <v>#N/A</v>
      </c>
      <c r="AK154" s="127" t="e">
        <f>INDEX(Table_Bldg_IEFD_IEFC[IEFE], MATCH( Input_HVACType,Table_Bldg_IEFD_IEFC[List_HVAC], 0))</f>
        <v>#N/A</v>
      </c>
      <c r="AL154" s="127" t="e">
        <f>INDEX( Table_Bldg_IEFD_IEFC[IEFE],MATCH( Input_HVACType, Table_Bldg_IEFD_IEFC[List_HVAC],0 ))</f>
        <v>#N/A</v>
      </c>
      <c r="AM154" s="127" t="e">
        <f>INDEX(Table_Control_PAF[PAF], MATCH(Table_PrescriptLights_Input[[#This Row],[Existing controls]], Table_Control_PAF[List_Control_Types], 0 ) )</f>
        <v>#N/A</v>
      </c>
      <c r="AN154"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54"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54"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54" s="53">
        <f>IFERROR(LEFT(Table_PrescriptLights_Input[[#This Row],[Existing lighting type]], FIND(",",Table_PrescriptLights_Input[[#This Row],[Existing lighting type]])-1), Table_PrescriptLights_Input[[#This Row],[Existing lighting type]])</f>
        <v>0</v>
      </c>
      <c r="AR154" s="53" t="str">
        <f>_xlfn.CONCAT(Table_PrescriptLights_Input[[#This Row],[Generalized Fixture Type]], ":",Table_PrescriptLights_Input[[#This Row],[Existing lamps per fixture]],":",Table_PrescriptLights_Input[[#This Row],[Existing lamp wattage]])</f>
        <v>0::</v>
      </c>
      <c r="AS154" s="53" t="e">
        <f>INDEX(Table_TRM_Fixtures[Fixture Code], MATCH(Table_PrescriptLights_Input[[#This Row],[Generalized Fixture Baseline Lookup]], Table_TRM_Fixtures[Generalized Baseline Fixture Lookup], 0))</f>
        <v>#N/A</v>
      </c>
      <c r="AT154"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54"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54"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54"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54"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54" s="53" t="e">
        <f>IFERROR(Table_PrescriptLights_Input[[#This Row],[Detailed Baseline Fixture Code]],Table_PrescriptLights_Input[[#This Row],[Generalized Baseline Fixture Code]])</f>
        <v>#N/A</v>
      </c>
      <c r="AZ154" s="4"/>
      <c r="BA154" s="4"/>
      <c r="BB154" s="4"/>
      <c r="BC154" s="4"/>
      <c r="BD154" s="4"/>
      <c r="BE154" s="4"/>
      <c r="BF154" s="4"/>
      <c r="BG154" s="4"/>
      <c r="BH154" s="4"/>
      <c r="BI154" s="4"/>
      <c r="BJ154" s="4"/>
      <c r="BK154" s="4"/>
      <c r="BL154" s="4"/>
      <c r="BM154" s="4"/>
      <c r="BN154" s="4"/>
      <c r="BO154" s="4"/>
      <c r="BP154" s="4"/>
      <c r="BQ154" s="4"/>
    </row>
    <row r="155" spans="1:69" x14ac:dyDescent="0.2">
      <c r="A155" s="4"/>
      <c r="B155" s="189">
        <v>151</v>
      </c>
      <c r="C155" s="61" t="str">
        <f>IFERROR(INDEX(Table_Prescript_Meas[Measure Number], MATCH(Table_PrescriptLights_Input[[#This Row],[Prescriptive lighting measure]], Table_Prescript_Meas[Measure Description], 0)), "")</f>
        <v/>
      </c>
      <c r="D155" s="192"/>
      <c r="E155" s="179"/>
      <c r="F155" s="179"/>
      <c r="G155" s="61" t="str">
        <f>IFERROR(INDEX(Table_Prescript_Meas[Unit], MATCH(Table_PrescriptLights_Input[[#This Row],[Measure number]], Table_Prescript_Meas[Measure Number], 0)), "")</f>
        <v/>
      </c>
      <c r="H155" s="180"/>
      <c r="I155" s="179"/>
      <c r="J155" s="179"/>
      <c r="K155" s="180"/>
      <c r="L155" s="179"/>
      <c r="M155" s="180"/>
      <c r="N155" s="180"/>
      <c r="O155" s="180"/>
      <c r="P155" s="180"/>
      <c r="Q155" s="180"/>
      <c r="R155" s="181"/>
      <c r="S155" s="181"/>
      <c r="T155"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55"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55" s="69" t="str">
        <f>IF(Table_PrescriptLights_Input[[#This Row],[Prescriptive lighting measure]]="","",Table_PrescriptLights_Input[[#This Row],[Calculated Energy Savings]])</f>
        <v/>
      </c>
      <c r="W155" s="73" t="str">
        <f>IF(Table_PrescriptLights_Input[[#This Row],[Prescriptive lighting measure]]="","",Table_PrescriptLights_Input[[#This Row],[Calculated Demand Savings]])</f>
        <v/>
      </c>
      <c r="X155" s="67" t="str">
        <f>IFERROR(Table_PrescriptLights_Input[[#This Row],[Energy savings (kWh)]]*Input_AvgkWhRate, "")</f>
        <v/>
      </c>
      <c r="Y155" s="67" t="str">
        <f>IF(Table_PrescriptLights_Input[[#This Row],[Prescriptive lighting measure]]="", "",Table_PrescriptLights_Input[[#This Row],[Material cost per fixture]]*Table_PrescriptLights_Input[[#This Row],[Number of proposed fixtures]]+Table_PrescriptLights_Input[[#This Row],[Total labor cost]])</f>
        <v/>
      </c>
      <c r="Z155" s="67" t="str">
        <f>IFERROR(Table_PrescriptLights_Input[[#This Row],[Gross measure cost]]-Table_PrescriptLights_Input[[#This Row],[Estimated incentive]], "")</f>
        <v/>
      </c>
      <c r="AA155" s="69" t="str">
        <f t="shared" si="4"/>
        <v/>
      </c>
      <c r="AB155" s="69" t="str">
        <f>IF(ISNUMBER(Table_PrescriptLights_Input[[#This Row],[Detailed Fixture Calculation Wattage]]), "Detailed", "General")</f>
        <v>General</v>
      </c>
      <c r="AC155" s="53" t="e">
        <f>INDEX(Table_IntExt_Match[Measure Selection List], MATCH(Table_PrescriptLights_Input[[#This Row],[Interior or exterior?]], Table_IntExt_Match[Inetrior or Exterior], 0))</f>
        <v>#N/A</v>
      </c>
      <c r="AD155" s="53" t="e">
        <f>INDEX(Table_Prescript_Meas[Unit], MATCH(C155, Table_Prescript_Meas[Measure Number], 0))</f>
        <v>#N/A</v>
      </c>
      <c r="AE155" s="53" t="e">
        <f>INDEX(Table_Prescript_Meas[Lighting Type Selection List], MATCH(C155, Table_Prescript_Meas[Measure Number], 0))</f>
        <v>#N/A</v>
      </c>
      <c r="AF155" s="53" t="e">
        <f>INDEX(Table_Prescript_Meas[AOH Type], MATCH(Table_PrescriptLights_Input[[#This Row],[Measure number]], Table_Prescript_Meas[Measure Number],0))</f>
        <v>#N/A</v>
      </c>
      <c r="AG155"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55" s="53" t="str">
        <f>_xlfn.CONCAT(Table_PrescriptLights_Input[[#This Row],[Existing lighting type]],":",Table_PrescriptLights_Input[[#This Row],[Existing lamps per fixture]], ":",Table_PrescriptLights_Input[[#This Row],[Existing lamp wattage]])</f>
        <v>::</v>
      </c>
      <c r="AI155" s="53" t="e">
        <f>INDEX(Table_TRM_Fixtures[Fixture Code], MATCH(Table_PrescriptLights_Input[[#This Row],[Detailed Baseline Fixture Lookup]], Table_TRM_Fixtures[Detailed Prescriptive Baseline Fixture Lookup], 0))</f>
        <v>#N/A</v>
      </c>
      <c r="AJ155" s="53" t="e">
        <f>INDEX(Table_TRM_Fixtures[Fixture Wattage for Baseline Calculations],MATCH(Table_PrescriptLights_Input[[#This Row],[Detailed Baseline Fixture Lookup]], Table_TRM_Fixtures[Detailed Prescriptive Baseline Fixture Lookup],0))</f>
        <v>#N/A</v>
      </c>
      <c r="AK155" s="127" t="e">
        <f>INDEX(Table_Bldg_IEFD_IEFC[IEFE], MATCH( Input_HVACType,Table_Bldg_IEFD_IEFC[List_HVAC], 0))</f>
        <v>#N/A</v>
      </c>
      <c r="AL155" s="127" t="e">
        <f>INDEX( Table_Bldg_IEFD_IEFC[IEFE],MATCH( Input_HVACType, Table_Bldg_IEFD_IEFC[List_HVAC],0 ))</f>
        <v>#N/A</v>
      </c>
      <c r="AM155" s="127" t="e">
        <f>INDEX(Table_Control_PAF[PAF], MATCH(Table_PrescriptLights_Input[[#This Row],[Existing controls]], Table_Control_PAF[List_Control_Types], 0 ) )</f>
        <v>#N/A</v>
      </c>
      <c r="AN155"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55"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55"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55" s="53">
        <f>IFERROR(LEFT(Table_PrescriptLights_Input[[#This Row],[Existing lighting type]], FIND(",",Table_PrescriptLights_Input[[#This Row],[Existing lighting type]])-1), Table_PrescriptLights_Input[[#This Row],[Existing lighting type]])</f>
        <v>0</v>
      </c>
      <c r="AR155" s="53" t="str">
        <f>_xlfn.CONCAT(Table_PrescriptLights_Input[[#This Row],[Generalized Fixture Type]], ":",Table_PrescriptLights_Input[[#This Row],[Existing lamps per fixture]],":",Table_PrescriptLights_Input[[#This Row],[Existing lamp wattage]])</f>
        <v>0::</v>
      </c>
      <c r="AS155" s="53" t="e">
        <f>INDEX(Table_TRM_Fixtures[Fixture Code], MATCH(Table_PrescriptLights_Input[[#This Row],[Generalized Fixture Baseline Lookup]], Table_TRM_Fixtures[Generalized Baseline Fixture Lookup], 0))</f>
        <v>#N/A</v>
      </c>
      <c r="AT155"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55"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55"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55"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55"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55" s="53" t="e">
        <f>IFERROR(Table_PrescriptLights_Input[[#This Row],[Detailed Baseline Fixture Code]],Table_PrescriptLights_Input[[#This Row],[Generalized Baseline Fixture Code]])</f>
        <v>#N/A</v>
      </c>
      <c r="AZ155" s="4"/>
      <c r="BA155" s="4"/>
      <c r="BB155" s="4"/>
      <c r="BC155" s="4"/>
      <c r="BD155" s="4"/>
      <c r="BE155" s="4"/>
      <c r="BF155" s="4"/>
      <c r="BG155" s="4"/>
      <c r="BH155" s="4"/>
      <c r="BI155" s="4"/>
      <c r="BJ155" s="4"/>
      <c r="BK155" s="4"/>
      <c r="BL155" s="4"/>
      <c r="BM155" s="4"/>
      <c r="BN155" s="4"/>
      <c r="BO155" s="4"/>
      <c r="BP155" s="4"/>
      <c r="BQ155" s="4"/>
    </row>
    <row r="156" spans="1:69" x14ac:dyDescent="0.2">
      <c r="A156" s="4"/>
      <c r="B156" s="189">
        <v>152</v>
      </c>
      <c r="C156" s="61" t="str">
        <f>IFERROR(INDEX(Table_Prescript_Meas[Measure Number], MATCH(Table_PrescriptLights_Input[[#This Row],[Prescriptive lighting measure]], Table_Prescript_Meas[Measure Description], 0)), "")</f>
        <v/>
      </c>
      <c r="D156" s="192"/>
      <c r="E156" s="179"/>
      <c r="F156" s="179"/>
      <c r="G156" s="61" t="str">
        <f>IFERROR(INDEX(Table_Prescript_Meas[Unit], MATCH(Table_PrescriptLights_Input[[#This Row],[Measure number]], Table_Prescript_Meas[Measure Number], 0)), "")</f>
        <v/>
      </c>
      <c r="H156" s="180"/>
      <c r="I156" s="179"/>
      <c r="J156" s="179"/>
      <c r="K156" s="180"/>
      <c r="L156" s="179"/>
      <c r="M156" s="180"/>
      <c r="N156" s="180"/>
      <c r="O156" s="180"/>
      <c r="P156" s="180"/>
      <c r="Q156" s="180"/>
      <c r="R156" s="181"/>
      <c r="S156" s="181"/>
      <c r="T156"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56"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56" s="69" t="str">
        <f>IF(Table_PrescriptLights_Input[[#This Row],[Prescriptive lighting measure]]="","",Table_PrescriptLights_Input[[#This Row],[Calculated Energy Savings]])</f>
        <v/>
      </c>
      <c r="W156" s="73" t="str">
        <f>IF(Table_PrescriptLights_Input[[#This Row],[Prescriptive lighting measure]]="","",Table_PrescriptLights_Input[[#This Row],[Calculated Demand Savings]])</f>
        <v/>
      </c>
      <c r="X156" s="67" t="str">
        <f>IFERROR(Table_PrescriptLights_Input[[#This Row],[Energy savings (kWh)]]*Input_AvgkWhRate, "")</f>
        <v/>
      </c>
      <c r="Y156" s="67" t="str">
        <f>IF(Table_PrescriptLights_Input[[#This Row],[Prescriptive lighting measure]]="", "",Table_PrescriptLights_Input[[#This Row],[Material cost per fixture]]*Table_PrescriptLights_Input[[#This Row],[Number of proposed fixtures]]+Table_PrescriptLights_Input[[#This Row],[Total labor cost]])</f>
        <v/>
      </c>
      <c r="Z156" s="67" t="str">
        <f>IFERROR(Table_PrescriptLights_Input[[#This Row],[Gross measure cost]]-Table_PrescriptLights_Input[[#This Row],[Estimated incentive]], "")</f>
        <v/>
      </c>
      <c r="AA156" s="69" t="str">
        <f t="shared" si="4"/>
        <v/>
      </c>
      <c r="AB156" s="69" t="str">
        <f>IF(ISNUMBER(Table_PrescriptLights_Input[[#This Row],[Detailed Fixture Calculation Wattage]]), "Detailed", "General")</f>
        <v>General</v>
      </c>
      <c r="AC156" s="53" t="e">
        <f>INDEX(Table_IntExt_Match[Measure Selection List], MATCH(Table_PrescriptLights_Input[[#This Row],[Interior or exterior?]], Table_IntExt_Match[Inetrior or Exterior], 0))</f>
        <v>#N/A</v>
      </c>
      <c r="AD156" s="53" t="e">
        <f>INDEX(Table_Prescript_Meas[Unit], MATCH(C156, Table_Prescript_Meas[Measure Number], 0))</f>
        <v>#N/A</v>
      </c>
      <c r="AE156" s="53" t="e">
        <f>INDEX(Table_Prescript_Meas[Lighting Type Selection List], MATCH(C156, Table_Prescript_Meas[Measure Number], 0))</f>
        <v>#N/A</v>
      </c>
      <c r="AF156" s="53" t="e">
        <f>INDEX(Table_Prescript_Meas[AOH Type], MATCH(Table_PrescriptLights_Input[[#This Row],[Measure number]], Table_Prescript_Meas[Measure Number],0))</f>
        <v>#N/A</v>
      </c>
      <c r="AG156"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56" s="53" t="str">
        <f>_xlfn.CONCAT(Table_PrescriptLights_Input[[#This Row],[Existing lighting type]],":",Table_PrescriptLights_Input[[#This Row],[Existing lamps per fixture]], ":",Table_PrescriptLights_Input[[#This Row],[Existing lamp wattage]])</f>
        <v>::</v>
      </c>
      <c r="AI156" s="53" t="e">
        <f>INDEX(Table_TRM_Fixtures[Fixture Code], MATCH(Table_PrescriptLights_Input[[#This Row],[Detailed Baseline Fixture Lookup]], Table_TRM_Fixtures[Detailed Prescriptive Baseline Fixture Lookup], 0))</f>
        <v>#N/A</v>
      </c>
      <c r="AJ156" s="53" t="e">
        <f>INDEX(Table_TRM_Fixtures[Fixture Wattage for Baseline Calculations],MATCH(Table_PrescriptLights_Input[[#This Row],[Detailed Baseline Fixture Lookup]], Table_TRM_Fixtures[Detailed Prescriptive Baseline Fixture Lookup],0))</f>
        <v>#N/A</v>
      </c>
      <c r="AK156" s="127" t="e">
        <f>INDEX(Table_Bldg_IEFD_IEFC[IEFE], MATCH( Input_HVACType,Table_Bldg_IEFD_IEFC[List_HVAC], 0))</f>
        <v>#N/A</v>
      </c>
      <c r="AL156" s="127" t="e">
        <f>INDEX( Table_Bldg_IEFD_IEFC[IEFE],MATCH( Input_HVACType, Table_Bldg_IEFD_IEFC[List_HVAC],0 ))</f>
        <v>#N/A</v>
      </c>
      <c r="AM156" s="127" t="e">
        <f>INDEX(Table_Control_PAF[PAF], MATCH(Table_PrescriptLights_Input[[#This Row],[Existing controls]], Table_Control_PAF[List_Control_Types], 0 ) )</f>
        <v>#N/A</v>
      </c>
      <c r="AN156"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56"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56"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56" s="53">
        <f>IFERROR(LEFT(Table_PrescriptLights_Input[[#This Row],[Existing lighting type]], FIND(",",Table_PrescriptLights_Input[[#This Row],[Existing lighting type]])-1), Table_PrescriptLights_Input[[#This Row],[Existing lighting type]])</f>
        <v>0</v>
      </c>
      <c r="AR156" s="53" t="str">
        <f>_xlfn.CONCAT(Table_PrescriptLights_Input[[#This Row],[Generalized Fixture Type]], ":",Table_PrescriptLights_Input[[#This Row],[Existing lamps per fixture]],":",Table_PrescriptLights_Input[[#This Row],[Existing lamp wattage]])</f>
        <v>0::</v>
      </c>
      <c r="AS156" s="53" t="e">
        <f>INDEX(Table_TRM_Fixtures[Fixture Code], MATCH(Table_PrescriptLights_Input[[#This Row],[Generalized Fixture Baseline Lookup]], Table_TRM_Fixtures[Generalized Baseline Fixture Lookup], 0))</f>
        <v>#N/A</v>
      </c>
      <c r="AT156"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56"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56"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56"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56"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56" s="53" t="e">
        <f>IFERROR(Table_PrescriptLights_Input[[#This Row],[Detailed Baseline Fixture Code]],Table_PrescriptLights_Input[[#This Row],[Generalized Baseline Fixture Code]])</f>
        <v>#N/A</v>
      </c>
      <c r="AZ156" s="4"/>
      <c r="BA156" s="4"/>
      <c r="BB156" s="4"/>
      <c r="BC156" s="4"/>
      <c r="BD156" s="4"/>
      <c r="BE156" s="4"/>
      <c r="BF156" s="4"/>
      <c r="BG156" s="4"/>
      <c r="BH156" s="4"/>
      <c r="BI156" s="4"/>
      <c r="BJ156" s="4"/>
      <c r="BK156" s="4"/>
      <c r="BL156" s="4"/>
      <c r="BM156" s="4"/>
      <c r="BN156" s="4"/>
      <c r="BO156" s="4"/>
      <c r="BP156" s="4"/>
      <c r="BQ156" s="4"/>
    </row>
    <row r="157" spans="1:69" x14ac:dyDescent="0.2">
      <c r="A157" s="4"/>
      <c r="B157" s="189">
        <v>153</v>
      </c>
      <c r="C157" s="61" t="str">
        <f>IFERROR(INDEX(Table_Prescript_Meas[Measure Number], MATCH(Table_PrescriptLights_Input[[#This Row],[Prescriptive lighting measure]], Table_Prescript_Meas[Measure Description], 0)), "")</f>
        <v/>
      </c>
      <c r="D157" s="192"/>
      <c r="E157" s="179"/>
      <c r="F157" s="179"/>
      <c r="G157" s="61" t="str">
        <f>IFERROR(INDEX(Table_Prescript_Meas[Unit], MATCH(Table_PrescriptLights_Input[[#This Row],[Measure number]], Table_Prescript_Meas[Measure Number], 0)), "")</f>
        <v/>
      </c>
      <c r="H157" s="180"/>
      <c r="I157" s="179"/>
      <c r="J157" s="179"/>
      <c r="K157" s="180"/>
      <c r="L157" s="179"/>
      <c r="M157" s="180"/>
      <c r="N157" s="180"/>
      <c r="O157" s="180"/>
      <c r="P157" s="180"/>
      <c r="Q157" s="180"/>
      <c r="R157" s="181"/>
      <c r="S157" s="181"/>
      <c r="T157"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57"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57" s="69" t="str">
        <f>IF(Table_PrescriptLights_Input[[#This Row],[Prescriptive lighting measure]]="","",Table_PrescriptLights_Input[[#This Row],[Calculated Energy Savings]])</f>
        <v/>
      </c>
      <c r="W157" s="73" t="str">
        <f>IF(Table_PrescriptLights_Input[[#This Row],[Prescriptive lighting measure]]="","",Table_PrescriptLights_Input[[#This Row],[Calculated Demand Savings]])</f>
        <v/>
      </c>
      <c r="X157" s="67" t="str">
        <f>IFERROR(Table_PrescriptLights_Input[[#This Row],[Energy savings (kWh)]]*Input_AvgkWhRate, "")</f>
        <v/>
      </c>
      <c r="Y157" s="67" t="str">
        <f>IF(Table_PrescriptLights_Input[[#This Row],[Prescriptive lighting measure]]="", "",Table_PrescriptLights_Input[[#This Row],[Material cost per fixture]]*Table_PrescriptLights_Input[[#This Row],[Number of proposed fixtures]]+Table_PrescriptLights_Input[[#This Row],[Total labor cost]])</f>
        <v/>
      </c>
      <c r="Z157" s="67" t="str">
        <f>IFERROR(Table_PrescriptLights_Input[[#This Row],[Gross measure cost]]-Table_PrescriptLights_Input[[#This Row],[Estimated incentive]], "")</f>
        <v/>
      </c>
      <c r="AA157" s="69" t="str">
        <f t="shared" si="4"/>
        <v/>
      </c>
      <c r="AB157" s="69" t="str">
        <f>IF(ISNUMBER(Table_PrescriptLights_Input[[#This Row],[Detailed Fixture Calculation Wattage]]), "Detailed", "General")</f>
        <v>General</v>
      </c>
      <c r="AC157" s="53" t="e">
        <f>INDEX(Table_IntExt_Match[Measure Selection List], MATCH(Table_PrescriptLights_Input[[#This Row],[Interior or exterior?]], Table_IntExt_Match[Inetrior or Exterior], 0))</f>
        <v>#N/A</v>
      </c>
      <c r="AD157" s="53" t="e">
        <f>INDEX(Table_Prescript_Meas[Unit], MATCH(C157, Table_Prescript_Meas[Measure Number], 0))</f>
        <v>#N/A</v>
      </c>
      <c r="AE157" s="53" t="e">
        <f>INDEX(Table_Prescript_Meas[Lighting Type Selection List], MATCH(C157, Table_Prescript_Meas[Measure Number], 0))</f>
        <v>#N/A</v>
      </c>
      <c r="AF157" s="53" t="e">
        <f>INDEX(Table_Prescript_Meas[AOH Type], MATCH(Table_PrescriptLights_Input[[#This Row],[Measure number]], Table_Prescript_Meas[Measure Number],0))</f>
        <v>#N/A</v>
      </c>
      <c r="AG157"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57" s="53" t="str">
        <f>_xlfn.CONCAT(Table_PrescriptLights_Input[[#This Row],[Existing lighting type]],":",Table_PrescriptLights_Input[[#This Row],[Existing lamps per fixture]], ":",Table_PrescriptLights_Input[[#This Row],[Existing lamp wattage]])</f>
        <v>::</v>
      </c>
      <c r="AI157" s="53" t="e">
        <f>INDEX(Table_TRM_Fixtures[Fixture Code], MATCH(Table_PrescriptLights_Input[[#This Row],[Detailed Baseline Fixture Lookup]], Table_TRM_Fixtures[Detailed Prescriptive Baseline Fixture Lookup], 0))</f>
        <v>#N/A</v>
      </c>
      <c r="AJ157" s="53" t="e">
        <f>INDEX(Table_TRM_Fixtures[Fixture Wattage for Baseline Calculations],MATCH(Table_PrescriptLights_Input[[#This Row],[Detailed Baseline Fixture Lookup]], Table_TRM_Fixtures[Detailed Prescriptive Baseline Fixture Lookup],0))</f>
        <v>#N/A</v>
      </c>
      <c r="AK157" s="127" t="e">
        <f>INDEX(Table_Bldg_IEFD_IEFC[IEFE], MATCH( Input_HVACType,Table_Bldg_IEFD_IEFC[List_HVAC], 0))</f>
        <v>#N/A</v>
      </c>
      <c r="AL157" s="127" t="e">
        <f>INDEX( Table_Bldg_IEFD_IEFC[IEFE],MATCH( Input_HVACType, Table_Bldg_IEFD_IEFC[List_HVAC],0 ))</f>
        <v>#N/A</v>
      </c>
      <c r="AM157" s="127" t="e">
        <f>INDEX(Table_Control_PAF[PAF], MATCH(Table_PrescriptLights_Input[[#This Row],[Existing controls]], Table_Control_PAF[List_Control_Types], 0 ) )</f>
        <v>#N/A</v>
      </c>
      <c r="AN157"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57"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57"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57" s="53">
        <f>IFERROR(LEFT(Table_PrescriptLights_Input[[#This Row],[Existing lighting type]], FIND(",",Table_PrescriptLights_Input[[#This Row],[Existing lighting type]])-1), Table_PrescriptLights_Input[[#This Row],[Existing lighting type]])</f>
        <v>0</v>
      </c>
      <c r="AR157" s="53" t="str">
        <f>_xlfn.CONCAT(Table_PrescriptLights_Input[[#This Row],[Generalized Fixture Type]], ":",Table_PrescriptLights_Input[[#This Row],[Existing lamps per fixture]],":",Table_PrescriptLights_Input[[#This Row],[Existing lamp wattage]])</f>
        <v>0::</v>
      </c>
      <c r="AS157" s="53" t="e">
        <f>INDEX(Table_TRM_Fixtures[Fixture Code], MATCH(Table_PrescriptLights_Input[[#This Row],[Generalized Fixture Baseline Lookup]], Table_TRM_Fixtures[Generalized Baseline Fixture Lookup], 0))</f>
        <v>#N/A</v>
      </c>
      <c r="AT157"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57"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57"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57"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57"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57" s="53" t="e">
        <f>IFERROR(Table_PrescriptLights_Input[[#This Row],[Detailed Baseline Fixture Code]],Table_PrescriptLights_Input[[#This Row],[Generalized Baseline Fixture Code]])</f>
        <v>#N/A</v>
      </c>
      <c r="AZ157" s="4"/>
      <c r="BA157" s="4"/>
      <c r="BB157" s="4"/>
      <c r="BC157" s="4"/>
      <c r="BD157" s="4"/>
      <c r="BE157" s="4"/>
      <c r="BF157" s="4"/>
      <c r="BG157" s="4"/>
      <c r="BH157" s="4"/>
      <c r="BI157" s="4"/>
      <c r="BJ157" s="4"/>
      <c r="BK157" s="4"/>
      <c r="BL157" s="4"/>
      <c r="BM157" s="4"/>
      <c r="BN157" s="4"/>
      <c r="BO157" s="4"/>
      <c r="BP157" s="4"/>
      <c r="BQ157" s="4"/>
    </row>
    <row r="158" spans="1:69" x14ac:dyDescent="0.2">
      <c r="A158" s="4"/>
      <c r="B158" s="189">
        <v>154</v>
      </c>
      <c r="C158" s="61" t="str">
        <f>IFERROR(INDEX(Table_Prescript_Meas[Measure Number], MATCH(Table_PrescriptLights_Input[[#This Row],[Prescriptive lighting measure]], Table_Prescript_Meas[Measure Description], 0)), "")</f>
        <v/>
      </c>
      <c r="D158" s="192"/>
      <c r="E158" s="179"/>
      <c r="F158" s="179"/>
      <c r="G158" s="61" t="str">
        <f>IFERROR(INDEX(Table_Prescript_Meas[Unit], MATCH(Table_PrescriptLights_Input[[#This Row],[Measure number]], Table_Prescript_Meas[Measure Number], 0)), "")</f>
        <v/>
      </c>
      <c r="H158" s="180"/>
      <c r="I158" s="179"/>
      <c r="J158" s="179"/>
      <c r="K158" s="180"/>
      <c r="L158" s="179"/>
      <c r="M158" s="180"/>
      <c r="N158" s="180"/>
      <c r="O158" s="180"/>
      <c r="P158" s="180"/>
      <c r="Q158" s="180"/>
      <c r="R158" s="181"/>
      <c r="S158" s="181"/>
      <c r="T158"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58"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58" s="69" t="str">
        <f>IF(Table_PrescriptLights_Input[[#This Row],[Prescriptive lighting measure]]="","",Table_PrescriptLights_Input[[#This Row],[Calculated Energy Savings]])</f>
        <v/>
      </c>
      <c r="W158" s="73" t="str">
        <f>IF(Table_PrescriptLights_Input[[#This Row],[Prescriptive lighting measure]]="","",Table_PrescriptLights_Input[[#This Row],[Calculated Demand Savings]])</f>
        <v/>
      </c>
      <c r="X158" s="67" t="str">
        <f>IFERROR(Table_PrescriptLights_Input[[#This Row],[Energy savings (kWh)]]*Input_AvgkWhRate, "")</f>
        <v/>
      </c>
      <c r="Y158" s="67" t="str">
        <f>IF(Table_PrescriptLights_Input[[#This Row],[Prescriptive lighting measure]]="", "",Table_PrescriptLights_Input[[#This Row],[Material cost per fixture]]*Table_PrescriptLights_Input[[#This Row],[Number of proposed fixtures]]+Table_PrescriptLights_Input[[#This Row],[Total labor cost]])</f>
        <v/>
      </c>
      <c r="Z158" s="67" t="str">
        <f>IFERROR(Table_PrescriptLights_Input[[#This Row],[Gross measure cost]]-Table_PrescriptLights_Input[[#This Row],[Estimated incentive]], "")</f>
        <v/>
      </c>
      <c r="AA158" s="69" t="str">
        <f t="shared" si="4"/>
        <v/>
      </c>
      <c r="AB158" s="69" t="str">
        <f>IF(ISNUMBER(Table_PrescriptLights_Input[[#This Row],[Detailed Fixture Calculation Wattage]]), "Detailed", "General")</f>
        <v>General</v>
      </c>
      <c r="AC158" s="53" t="e">
        <f>INDEX(Table_IntExt_Match[Measure Selection List], MATCH(Table_PrescriptLights_Input[[#This Row],[Interior or exterior?]], Table_IntExt_Match[Inetrior or Exterior], 0))</f>
        <v>#N/A</v>
      </c>
      <c r="AD158" s="53" t="e">
        <f>INDEX(Table_Prescript_Meas[Unit], MATCH(C158, Table_Prescript_Meas[Measure Number], 0))</f>
        <v>#N/A</v>
      </c>
      <c r="AE158" s="53" t="e">
        <f>INDEX(Table_Prescript_Meas[Lighting Type Selection List], MATCH(C158, Table_Prescript_Meas[Measure Number], 0))</f>
        <v>#N/A</v>
      </c>
      <c r="AF158" s="53" t="e">
        <f>INDEX(Table_Prescript_Meas[AOH Type], MATCH(Table_PrescriptLights_Input[[#This Row],[Measure number]], Table_Prescript_Meas[Measure Number],0))</f>
        <v>#N/A</v>
      </c>
      <c r="AG158"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58" s="53" t="str">
        <f>_xlfn.CONCAT(Table_PrescriptLights_Input[[#This Row],[Existing lighting type]],":",Table_PrescriptLights_Input[[#This Row],[Existing lamps per fixture]], ":",Table_PrescriptLights_Input[[#This Row],[Existing lamp wattage]])</f>
        <v>::</v>
      </c>
      <c r="AI158" s="53" t="e">
        <f>INDEX(Table_TRM_Fixtures[Fixture Code], MATCH(Table_PrescriptLights_Input[[#This Row],[Detailed Baseline Fixture Lookup]], Table_TRM_Fixtures[Detailed Prescriptive Baseline Fixture Lookup], 0))</f>
        <v>#N/A</v>
      </c>
      <c r="AJ158" s="53" t="e">
        <f>INDEX(Table_TRM_Fixtures[Fixture Wattage for Baseline Calculations],MATCH(Table_PrescriptLights_Input[[#This Row],[Detailed Baseline Fixture Lookup]], Table_TRM_Fixtures[Detailed Prescriptive Baseline Fixture Lookup],0))</f>
        <v>#N/A</v>
      </c>
      <c r="AK158" s="127" t="e">
        <f>INDEX(Table_Bldg_IEFD_IEFC[IEFE], MATCH( Input_HVACType,Table_Bldg_IEFD_IEFC[List_HVAC], 0))</f>
        <v>#N/A</v>
      </c>
      <c r="AL158" s="127" t="e">
        <f>INDEX( Table_Bldg_IEFD_IEFC[IEFE],MATCH( Input_HVACType, Table_Bldg_IEFD_IEFC[List_HVAC],0 ))</f>
        <v>#N/A</v>
      </c>
      <c r="AM158" s="127" t="e">
        <f>INDEX(Table_Control_PAF[PAF], MATCH(Table_PrescriptLights_Input[[#This Row],[Existing controls]], Table_Control_PAF[List_Control_Types], 0 ) )</f>
        <v>#N/A</v>
      </c>
      <c r="AN158"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58"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58"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58" s="53">
        <f>IFERROR(LEFT(Table_PrescriptLights_Input[[#This Row],[Existing lighting type]], FIND(",",Table_PrescriptLights_Input[[#This Row],[Existing lighting type]])-1), Table_PrescriptLights_Input[[#This Row],[Existing lighting type]])</f>
        <v>0</v>
      </c>
      <c r="AR158" s="53" t="str">
        <f>_xlfn.CONCAT(Table_PrescriptLights_Input[[#This Row],[Generalized Fixture Type]], ":",Table_PrescriptLights_Input[[#This Row],[Existing lamps per fixture]],":",Table_PrescriptLights_Input[[#This Row],[Existing lamp wattage]])</f>
        <v>0::</v>
      </c>
      <c r="AS158" s="53" t="e">
        <f>INDEX(Table_TRM_Fixtures[Fixture Code], MATCH(Table_PrescriptLights_Input[[#This Row],[Generalized Fixture Baseline Lookup]], Table_TRM_Fixtures[Generalized Baseline Fixture Lookup], 0))</f>
        <v>#N/A</v>
      </c>
      <c r="AT158"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58"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58"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58"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58"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58" s="53" t="e">
        <f>IFERROR(Table_PrescriptLights_Input[[#This Row],[Detailed Baseline Fixture Code]],Table_PrescriptLights_Input[[#This Row],[Generalized Baseline Fixture Code]])</f>
        <v>#N/A</v>
      </c>
      <c r="AZ158" s="4"/>
      <c r="BA158" s="4"/>
      <c r="BB158" s="4"/>
      <c r="BC158" s="4"/>
      <c r="BD158" s="4"/>
      <c r="BE158" s="4"/>
      <c r="BF158" s="4"/>
      <c r="BG158" s="4"/>
      <c r="BH158" s="4"/>
      <c r="BI158" s="4"/>
      <c r="BJ158" s="4"/>
      <c r="BK158" s="4"/>
      <c r="BL158" s="4"/>
      <c r="BM158" s="4"/>
      <c r="BN158" s="4"/>
      <c r="BO158" s="4"/>
      <c r="BP158" s="4"/>
      <c r="BQ158" s="4"/>
    </row>
    <row r="159" spans="1:69" x14ac:dyDescent="0.2">
      <c r="A159" s="4"/>
      <c r="B159" s="189">
        <v>155</v>
      </c>
      <c r="C159" s="61" t="str">
        <f>IFERROR(INDEX(Table_Prescript_Meas[Measure Number], MATCH(Table_PrescriptLights_Input[[#This Row],[Prescriptive lighting measure]], Table_Prescript_Meas[Measure Description], 0)), "")</f>
        <v/>
      </c>
      <c r="D159" s="192"/>
      <c r="E159" s="179"/>
      <c r="F159" s="179"/>
      <c r="G159" s="61" t="str">
        <f>IFERROR(INDEX(Table_Prescript_Meas[Unit], MATCH(Table_PrescriptLights_Input[[#This Row],[Measure number]], Table_Prescript_Meas[Measure Number], 0)), "")</f>
        <v/>
      </c>
      <c r="H159" s="180"/>
      <c r="I159" s="179"/>
      <c r="J159" s="179"/>
      <c r="K159" s="180"/>
      <c r="L159" s="179"/>
      <c r="M159" s="180"/>
      <c r="N159" s="180"/>
      <c r="O159" s="180"/>
      <c r="P159" s="180"/>
      <c r="Q159" s="180"/>
      <c r="R159" s="181"/>
      <c r="S159" s="181"/>
      <c r="T159"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59"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59" s="69" t="str">
        <f>IF(Table_PrescriptLights_Input[[#This Row],[Prescriptive lighting measure]]="","",Table_PrescriptLights_Input[[#This Row],[Calculated Energy Savings]])</f>
        <v/>
      </c>
      <c r="W159" s="73" t="str">
        <f>IF(Table_PrescriptLights_Input[[#This Row],[Prescriptive lighting measure]]="","",Table_PrescriptLights_Input[[#This Row],[Calculated Demand Savings]])</f>
        <v/>
      </c>
      <c r="X159" s="67" t="str">
        <f>IFERROR(Table_PrescriptLights_Input[[#This Row],[Energy savings (kWh)]]*Input_AvgkWhRate, "")</f>
        <v/>
      </c>
      <c r="Y159" s="67" t="str">
        <f>IF(Table_PrescriptLights_Input[[#This Row],[Prescriptive lighting measure]]="", "",Table_PrescriptLights_Input[[#This Row],[Material cost per fixture]]*Table_PrescriptLights_Input[[#This Row],[Number of proposed fixtures]]+Table_PrescriptLights_Input[[#This Row],[Total labor cost]])</f>
        <v/>
      </c>
      <c r="Z159" s="67" t="str">
        <f>IFERROR(Table_PrescriptLights_Input[[#This Row],[Gross measure cost]]-Table_PrescriptLights_Input[[#This Row],[Estimated incentive]], "")</f>
        <v/>
      </c>
      <c r="AA159" s="69" t="str">
        <f t="shared" si="4"/>
        <v/>
      </c>
      <c r="AB159" s="69" t="str">
        <f>IF(ISNUMBER(Table_PrescriptLights_Input[[#This Row],[Detailed Fixture Calculation Wattage]]), "Detailed", "General")</f>
        <v>General</v>
      </c>
      <c r="AC159" s="53" t="e">
        <f>INDEX(Table_IntExt_Match[Measure Selection List], MATCH(Table_PrescriptLights_Input[[#This Row],[Interior or exterior?]], Table_IntExt_Match[Inetrior or Exterior], 0))</f>
        <v>#N/A</v>
      </c>
      <c r="AD159" s="53" t="e">
        <f>INDEX(Table_Prescript_Meas[Unit], MATCH(C159, Table_Prescript_Meas[Measure Number], 0))</f>
        <v>#N/A</v>
      </c>
      <c r="AE159" s="53" t="e">
        <f>INDEX(Table_Prescript_Meas[Lighting Type Selection List], MATCH(C159, Table_Prescript_Meas[Measure Number], 0))</f>
        <v>#N/A</v>
      </c>
      <c r="AF159" s="53" t="e">
        <f>INDEX(Table_Prescript_Meas[AOH Type], MATCH(Table_PrescriptLights_Input[[#This Row],[Measure number]], Table_Prescript_Meas[Measure Number],0))</f>
        <v>#N/A</v>
      </c>
      <c r="AG159"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59" s="53" t="str">
        <f>_xlfn.CONCAT(Table_PrescriptLights_Input[[#This Row],[Existing lighting type]],":",Table_PrescriptLights_Input[[#This Row],[Existing lamps per fixture]], ":",Table_PrescriptLights_Input[[#This Row],[Existing lamp wattage]])</f>
        <v>::</v>
      </c>
      <c r="AI159" s="53" t="e">
        <f>INDEX(Table_TRM_Fixtures[Fixture Code], MATCH(Table_PrescriptLights_Input[[#This Row],[Detailed Baseline Fixture Lookup]], Table_TRM_Fixtures[Detailed Prescriptive Baseline Fixture Lookup], 0))</f>
        <v>#N/A</v>
      </c>
      <c r="AJ159" s="53" t="e">
        <f>INDEX(Table_TRM_Fixtures[Fixture Wattage for Baseline Calculations],MATCH(Table_PrescriptLights_Input[[#This Row],[Detailed Baseline Fixture Lookup]], Table_TRM_Fixtures[Detailed Prescriptive Baseline Fixture Lookup],0))</f>
        <v>#N/A</v>
      </c>
      <c r="AK159" s="127" t="e">
        <f>INDEX(Table_Bldg_IEFD_IEFC[IEFE], MATCH( Input_HVACType,Table_Bldg_IEFD_IEFC[List_HVAC], 0))</f>
        <v>#N/A</v>
      </c>
      <c r="AL159" s="127" t="e">
        <f>INDEX( Table_Bldg_IEFD_IEFC[IEFE],MATCH( Input_HVACType, Table_Bldg_IEFD_IEFC[List_HVAC],0 ))</f>
        <v>#N/A</v>
      </c>
      <c r="AM159" s="127" t="e">
        <f>INDEX(Table_Control_PAF[PAF], MATCH(Table_PrescriptLights_Input[[#This Row],[Existing controls]], Table_Control_PAF[List_Control_Types], 0 ) )</f>
        <v>#N/A</v>
      </c>
      <c r="AN159"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59"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59"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59" s="53">
        <f>IFERROR(LEFT(Table_PrescriptLights_Input[[#This Row],[Existing lighting type]], FIND(",",Table_PrescriptLights_Input[[#This Row],[Existing lighting type]])-1), Table_PrescriptLights_Input[[#This Row],[Existing lighting type]])</f>
        <v>0</v>
      </c>
      <c r="AR159" s="53" t="str">
        <f>_xlfn.CONCAT(Table_PrescriptLights_Input[[#This Row],[Generalized Fixture Type]], ":",Table_PrescriptLights_Input[[#This Row],[Existing lamps per fixture]],":",Table_PrescriptLights_Input[[#This Row],[Existing lamp wattage]])</f>
        <v>0::</v>
      </c>
      <c r="AS159" s="53" t="e">
        <f>INDEX(Table_TRM_Fixtures[Fixture Code], MATCH(Table_PrescriptLights_Input[[#This Row],[Generalized Fixture Baseline Lookup]], Table_TRM_Fixtures[Generalized Baseline Fixture Lookup], 0))</f>
        <v>#N/A</v>
      </c>
      <c r="AT159"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59"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59"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59"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59"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59" s="53" t="e">
        <f>IFERROR(Table_PrescriptLights_Input[[#This Row],[Detailed Baseline Fixture Code]],Table_PrescriptLights_Input[[#This Row],[Generalized Baseline Fixture Code]])</f>
        <v>#N/A</v>
      </c>
      <c r="AZ159" s="4"/>
      <c r="BA159" s="4"/>
      <c r="BB159" s="4"/>
      <c r="BC159" s="4"/>
      <c r="BD159" s="4"/>
      <c r="BE159" s="4"/>
      <c r="BF159" s="4"/>
      <c r="BG159" s="4"/>
      <c r="BH159" s="4"/>
      <c r="BI159" s="4"/>
      <c r="BJ159" s="4"/>
      <c r="BK159" s="4"/>
      <c r="BL159" s="4"/>
      <c r="BM159" s="4"/>
      <c r="BN159" s="4"/>
      <c r="BO159" s="4"/>
      <c r="BP159" s="4"/>
      <c r="BQ159" s="4"/>
    </row>
    <row r="160" spans="1:69" x14ac:dyDescent="0.2">
      <c r="A160" s="4"/>
      <c r="B160" s="189">
        <v>156</v>
      </c>
      <c r="C160" s="61" t="str">
        <f>IFERROR(INDEX(Table_Prescript_Meas[Measure Number], MATCH(Table_PrescriptLights_Input[[#This Row],[Prescriptive lighting measure]], Table_Prescript_Meas[Measure Description], 0)), "")</f>
        <v/>
      </c>
      <c r="D160" s="192"/>
      <c r="E160" s="179"/>
      <c r="F160" s="179"/>
      <c r="G160" s="61" t="str">
        <f>IFERROR(INDEX(Table_Prescript_Meas[Unit], MATCH(Table_PrescriptLights_Input[[#This Row],[Measure number]], Table_Prescript_Meas[Measure Number], 0)), "")</f>
        <v/>
      </c>
      <c r="H160" s="180"/>
      <c r="I160" s="179"/>
      <c r="J160" s="179"/>
      <c r="K160" s="180"/>
      <c r="L160" s="179"/>
      <c r="M160" s="180"/>
      <c r="N160" s="180"/>
      <c r="O160" s="180"/>
      <c r="P160" s="180"/>
      <c r="Q160" s="180"/>
      <c r="R160" s="181"/>
      <c r="S160" s="181"/>
      <c r="T160"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60"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60" s="69" t="str">
        <f>IF(Table_PrescriptLights_Input[[#This Row],[Prescriptive lighting measure]]="","",Table_PrescriptLights_Input[[#This Row],[Calculated Energy Savings]])</f>
        <v/>
      </c>
      <c r="W160" s="73" t="str">
        <f>IF(Table_PrescriptLights_Input[[#This Row],[Prescriptive lighting measure]]="","",Table_PrescriptLights_Input[[#This Row],[Calculated Demand Savings]])</f>
        <v/>
      </c>
      <c r="X160" s="67" t="str">
        <f>IFERROR(Table_PrescriptLights_Input[[#This Row],[Energy savings (kWh)]]*Input_AvgkWhRate, "")</f>
        <v/>
      </c>
      <c r="Y160" s="67" t="str">
        <f>IF(Table_PrescriptLights_Input[[#This Row],[Prescriptive lighting measure]]="", "",Table_PrescriptLights_Input[[#This Row],[Material cost per fixture]]*Table_PrescriptLights_Input[[#This Row],[Number of proposed fixtures]]+Table_PrescriptLights_Input[[#This Row],[Total labor cost]])</f>
        <v/>
      </c>
      <c r="Z160" s="67" t="str">
        <f>IFERROR(Table_PrescriptLights_Input[[#This Row],[Gross measure cost]]-Table_PrescriptLights_Input[[#This Row],[Estimated incentive]], "")</f>
        <v/>
      </c>
      <c r="AA160" s="69" t="str">
        <f t="shared" si="4"/>
        <v/>
      </c>
      <c r="AB160" s="69" t="str">
        <f>IF(ISNUMBER(Table_PrescriptLights_Input[[#This Row],[Detailed Fixture Calculation Wattage]]), "Detailed", "General")</f>
        <v>General</v>
      </c>
      <c r="AC160" s="53" t="e">
        <f>INDEX(Table_IntExt_Match[Measure Selection List], MATCH(Table_PrescriptLights_Input[[#This Row],[Interior or exterior?]], Table_IntExt_Match[Inetrior or Exterior], 0))</f>
        <v>#N/A</v>
      </c>
      <c r="AD160" s="53" t="e">
        <f>INDEX(Table_Prescript_Meas[Unit], MATCH(C160, Table_Prescript_Meas[Measure Number], 0))</f>
        <v>#N/A</v>
      </c>
      <c r="AE160" s="53" t="e">
        <f>INDEX(Table_Prescript_Meas[Lighting Type Selection List], MATCH(C160, Table_Prescript_Meas[Measure Number], 0))</f>
        <v>#N/A</v>
      </c>
      <c r="AF160" s="53" t="e">
        <f>INDEX(Table_Prescript_Meas[AOH Type], MATCH(Table_PrescriptLights_Input[[#This Row],[Measure number]], Table_Prescript_Meas[Measure Number],0))</f>
        <v>#N/A</v>
      </c>
      <c r="AG160"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60" s="53" t="str">
        <f>_xlfn.CONCAT(Table_PrescriptLights_Input[[#This Row],[Existing lighting type]],":",Table_PrescriptLights_Input[[#This Row],[Existing lamps per fixture]], ":",Table_PrescriptLights_Input[[#This Row],[Existing lamp wattage]])</f>
        <v>::</v>
      </c>
      <c r="AI160" s="53" t="e">
        <f>INDEX(Table_TRM_Fixtures[Fixture Code], MATCH(Table_PrescriptLights_Input[[#This Row],[Detailed Baseline Fixture Lookup]], Table_TRM_Fixtures[Detailed Prescriptive Baseline Fixture Lookup], 0))</f>
        <v>#N/A</v>
      </c>
      <c r="AJ160" s="53" t="e">
        <f>INDEX(Table_TRM_Fixtures[Fixture Wattage for Baseline Calculations],MATCH(Table_PrescriptLights_Input[[#This Row],[Detailed Baseline Fixture Lookup]], Table_TRM_Fixtures[Detailed Prescriptive Baseline Fixture Lookup],0))</f>
        <v>#N/A</v>
      </c>
      <c r="AK160" s="127" t="e">
        <f>INDEX(Table_Bldg_IEFD_IEFC[IEFE], MATCH( Input_HVACType,Table_Bldg_IEFD_IEFC[List_HVAC], 0))</f>
        <v>#N/A</v>
      </c>
      <c r="AL160" s="127" t="e">
        <f>INDEX( Table_Bldg_IEFD_IEFC[IEFE],MATCH( Input_HVACType, Table_Bldg_IEFD_IEFC[List_HVAC],0 ))</f>
        <v>#N/A</v>
      </c>
      <c r="AM160" s="127" t="e">
        <f>INDEX(Table_Control_PAF[PAF], MATCH(Table_PrescriptLights_Input[[#This Row],[Existing controls]], Table_Control_PAF[List_Control_Types], 0 ) )</f>
        <v>#N/A</v>
      </c>
      <c r="AN160"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60"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60"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60" s="53">
        <f>IFERROR(LEFT(Table_PrescriptLights_Input[[#This Row],[Existing lighting type]], FIND(",",Table_PrescriptLights_Input[[#This Row],[Existing lighting type]])-1), Table_PrescriptLights_Input[[#This Row],[Existing lighting type]])</f>
        <v>0</v>
      </c>
      <c r="AR160" s="53" t="str">
        <f>_xlfn.CONCAT(Table_PrescriptLights_Input[[#This Row],[Generalized Fixture Type]], ":",Table_PrescriptLights_Input[[#This Row],[Existing lamps per fixture]],":",Table_PrescriptLights_Input[[#This Row],[Existing lamp wattage]])</f>
        <v>0::</v>
      </c>
      <c r="AS160" s="53" t="e">
        <f>INDEX(Table_TRM_Fixtures[Fixture Code], MATCH(Table_PrescriptLights_Input[[#This Row],[Generalized Fixture Baseline Lookup]], Table_TRM_Fixtures[Generalized Baseline Fixture Lookup], 0))</f>
        <v>#N/A</v>
      </c>
      <c r="AT160"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60"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60"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60"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60"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60" s="53" t="e">
        <f>IFERROR(Table_PrescriptLights_Input[[#This Row],[Detailed Baseline Fixture Code]],Table_PrescriptLights_Input[[#This Row],[Generalized Baseline Fixture Code]])</f>
        <v>#N/A</v>
      </c>
      <c r="AZ160" s="4"/>
      <c r="BA160" s="4"/>
      <c r="BB160" s="4"/>
      <c r="BC160" s="4"/>
      <c r="BD160" s="4"/>
      <c r="BE160" s="4"/>
      <c r="BF160" s="4"/>
      <c r="BG160" s="4"/>
      <c r="BH160" s="4"/>
      <c r="BI160" s="4"/>
      <c r="BJ160" s="4"/>
      <c r="BK160" s="4"/>
      <c r="BL160" s="4"/>
      <c r="BM160" s="4"/>
      <c r="BN160" s="4"/>
      <c r="BO160" s="4"/>
      <c r="BP160" s="4"/>
      <c r="BQ160" s="4"/>
    </row>
    <row r="161" spans="1:69" x14ac:dyDescent="0.2">
      <c r="A161" s="4"/>
      <c r="B161" s="189">
        <v>157</v>
      </c>
      <c r="C161" s="61" t="str">
        <f>IFERROR(INDEX(Table_Prescript_Meas[Measure Number], MATCH(Table_PrescriptLights_Input[[#This Row],[Prescriptive lighting measure]], Table_Prescript_Meas[Measure Description], 0)), "")</f>
        <v/>
      </c>
      <c r="D161" s="192"/>
      <c r="E161" s="179"/>
      <c r="F161" s="179"/>
      <c r="G161" s="61" t="str">
        <f>IFERROR(INDEX(Table_Prescript_Meas[Unit], MATCH(Table_PrescriptLights_Input[[#This Row],[Measure number]], Table_Prescript_Meas[Measure Number], 0)), "")</f>
        <v/>
      </c>
      <c r="H161" s="180"/>
      <c r="I161" s="179"/>
      <c r="J161" s="179"/>
      <c r="K161" s="180"/>
      <c r="L161" s="179"/>
      <c r="M161" s="180"/>
      <c r="N161" s="180"/>
      <c r="O161" s="180"/>
      <c r="P161" s="180"/>
      <c r="Q161" s="180"/>
      <c r="R161" s="181"/>
      <c r="S161" s="181"/>
      <c r="T161"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61"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61" s="69" t="str">
        <f>IF(Table_PrescriptLights_Input[[#This Row],[Prescriptive lighting measure]]="","",Table_PrescriptLights_Input[[#This Row],[Calculated Energy Savings]])</f>
        <v/>
      </c>
      <c r="W161" s="73" t="str">
        <f>IF(Table_PrescriptLights_Input[[#This Row],[Prescriptive lighting measure]]="","",Table_PrescriptLights_Input[[#This Row],[Calculated Demand Savings]])</f>
        <v/>
      </c>
      <c r="X161" s="67" t="str">
        <f>IFERROR(Table_PrescriptLights_Input[[#This Row],[Energy savings (kWh)]]*Input_AvgkWhRate, "")</f>
        <v/>
      </c>
      <c r="Y161" s="67" t="str">
        <f>IF(Table_PrescriptLights_Input[[#This Row],[Prescriptive lighting measure]]="", "",Table_PrescriptLights_Input[[#This Row],[Material cost per fixture]]*Table_PrescriptLights_Input[[#This Row],[Number of proposed fixtures]]+Table_PrescriptLights_Input[[#This Row],[Total labor cost]])</f>
        <v/>
      </c>
      <c r="Z161" s="67" t="str">
        <f>IFERROR(Table_PrescriptLights_Input[[#This Row],[Gross measure cost]]-Table_PrescriptLights_Input[[#This Row],[Estimated incentive]], "")</f>
        <v/>
      </c>
      <c r="AA161" s="69" t="str">
        <f t="shared" si="4"/>
        <v/>
      </c>
      <c r="AB161" s="69" t="str">
        <f>IF(ISNUMBER(Table_PrescriptLights_Input[[#This Row],[Detailed Fixture Calculation Wattage]]), "Detailed", "General")</f>
        <v>General</v>
      </c>
      <c r="AC161" s="53" t="e">
        <f>INDEX(Table_IntExt_Match[Measure Selection List], MATCH(Table_PrescriptLights_Input[[#This Row],[Interior or exterior?]], Table_IntExt_Match[Inetrior or Exterior], 0))</f>
        <v>#N/A</v>
      </c>
      <c r="AD161" s="53" t="e">
        <f>INDEX(Table_Prescript_Meas[Unit], MATCH(C161, Table_Prescript_Meas[Measure Number], 0))</f>
        <v>#N/A</v>
      </c>
      <c r="AE161" s="53" t="e">
        <f>INDEX(Table_Prescript_Meas[Lighting Type Selection List], MATCH(C161, Table_Prescript_Meas[Measure Number], 0))</f>
        <v>#N/A</v>
      </c>
      <c r="AF161" s="53" t="e">
        <f>INDEX(Table_Prescript_Meas[AOH Type], MATCH(Table_PrescriptLights_Input[[#This Row],[Measure number]], Table_Prescript_Meas[Measure Number],0))</f>
        <v>#N/A</v>
      </c>
      <c r="AG161"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61" s="53" t="str">
        <f>_xlfn.CONCAT(Table_PrescriptLights_Input[[#This Row],[Existing lighting type]],":",Table_PrescriptLights_Input[[#This Row],[Existing lamps per fixture]], ":",Table_PrescriptLights_Input[[#This Row],[Existing lamp wattage]])</f>
        <v>::</v>
      </c>
      <c r="AI161" s="53" t="e">
        <f>INDEX(Table_TRM_Fixtures[Fixture Code], MATCH(Table_PrescriptLights_Input[[#This Row],[Detailed Baseline Fixture Lookup]], Table_TRM_Fixtures[Detailed Prescriptive Baseline Fixture Lookup], 0))</f>
        <v>#N/A</v>
      </c>
      <c r="AJ161" s="53" t="e">
        <f>INDEX(Table_TRM_Fixtures[Fixture Wattage for Baseline Calculations],MATCH(Table_PrescriptLights_Input[[#This Row],[Detailed Baseline Fixture Lookup]], Table_TRM_Fixtures[Detailed Prescriptive Baseline Fixture Lookup],0))</f>
        <v>#N/A</v>
      </c>
      <c r="AK161" s="127" t="e">
        <f>INDEX(Table_Bldg_IEFD_IEFC[IEFE], MATCH( Input_HVACType,Table_Bldg_IEFD_IEFC[List_HVAC], 0))</f>
        <v>#N/A</v>
      </c>
      <c r="AL161" s="127" t="e">
        <f>INDEX( Table_Bldg_IEFD_IEFC[IEFE],MATCH( Input_HVACType, Table_Bldg_IEFD_IEFC[List_HVAC],0 ))</f>
        <v>#N/A</v>
      </c>
      <c r="AM161" s="127" t="e">
        <f>INDEX(Table_Control_PAF[PAF], MATCH(Table_PrescriptLights_Input[[#This Row],[Existing controls]], Table_Control_PAF[List_Control_Types], 0 ) )</f>
        <v>#N/A</v>
      </c>
      <c r="AN161"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61"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61"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61" s="53">
        <f>IFERROR(LEFT(Table_PrescriptLights_Input[[#This Row],[Existing lighting type]], FIND(",",Table_PrescriptLights_Input[[#This Row],[Existing lighting type]])-1), Table_PrescriptLights_Input[[#This Row],[Existing lighting type]])</f>
        <v>0</v>
      </c>
      <c r="AR161" s="53" t="str">
        <f>_xlfn.CONCAT(Table_PrescriptLights_Input[[#This Row],[Generalized Fixture Type]], ":",Table_PrescriptLights_Input[[#This Row],[Existing lamps per fixture]],":",Table_PrescriptLights_Input[[#This Row],[Existing lamp wattage]])</f>
        <v>0::</v>
      </c>
      <c r="AS161" s="53" t="e">
        <f>INDEX(Table_TRM_Fixtures[Fixture Code], MATCH(Table_PrescriptLights_Input[[#This Row],[Generalized Fixture Baseline Lookup]], Table_TRM_Fixtures[Generalized Baseline Fixture Lookup], 0))</f>
        <v>#N/A</v>
      </c>
      <c r="AT161"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61"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61"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61"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61"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61" s="53" t="e">
        <f>IFERROR(Table_PrescriptLights_Input[[#This Row],[Detailed Baseline Fixture Code]],Table_PrescriptLights_Input[[#This Row],[Generalized Baseline Fixture Code]])</f>
        <v>#N/A</v>
      </c>
      <c r="AZ161" s="4"/>
      <c r="BA161" s="4"/>
      <c r="BB161" s="4"/>
      <c r="BC161" s="4"/>
      <c r="BD161" s="4"/>
      <c r="BE161" s="4"/>
      <c r="BF161" s="4"/>
      <c r="BG161" s="4"/>
      <c r="BH161" s="4"/>
      <c r="BI161" s="4"/>
      <c r="BJ161" s="4"/>
      <c r="BK161" s="4"/>
      <c r="BL161" s="4"/>
      <c r="BM161" s="4"/>
      <c r="BN161" s="4"/>
      <c r="BO161" s="4"/>
      <c r="BP161" s="4"/>
      <c r="BQ161" s="4"/>
    </row>
    <row r="162" spans="1:69" x14ac:dyDescent="0.2">
      <c r="A162" s="4"/>
      <c r="B162" s="189">
        <v>158</v>
      </c>
      <c r="C162" s="61" t="str">
        <f>IFERROR(INDEX(Table_Prescript_Meas[Measure Number], MATCH(Table_PrescriptLights_Input[[#This Row],[Prescriptive lighting measure]], Table_Prescript_Meas[Measure Description], 0)), "")</f>
        <v/>
      </c>
      <c r="D162" s="192"/>
      <c r="E162" s="179"/>
      <c r="F162" s="179"/>
      <c r="G162" s="61" t="str">
        <f>IFERROR(INDEX(Table_Prescript_Meas[Unit], MATCH(Table_PrescriptLights_Input[[#This Row],[Measure number]], Table_Prescript_Meas[Measure Number], 0)), "")</f>
        <v/>
      </c>
      <c r="H162" s="180"/>
      <c r="I162" s="179"/>
      <c r="J162" s="179"/>
      <c r="K162" s="180"/>
      <c r="L162" s="179"/>
      <c r="M162" s="180"/>
      <c r="N162" s="180"/>
      <c r="O162" s="180"/>
      <c r="P162" s="180"/>
      <c r="Q162" s="180"/>
      <c r="R162" s="181"/>
      <c r="S162" s="181"/>
      <c r="T162"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62"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62" s="69" t="str">
        <f>IF(Table_PrescriptLights_Input[[#This Row],[Prescriptive lighting measure]]="","",Table_PrescriptLights_Input[[#This Row],[Calculated Energy Savings]])</f>
        <v/>
      </c>
      <c r="W162" s="73" t="str">
        <f>IF(Table_PrescriptLights_Input[[#This Row],[Prescriptive lighting measure]]="","",Table_PrescriptLights_Input[[#This Row],[Calculated Demand Savings]])</f>
        <v/>
      </c>
      <c r="X162" s="67" t="str">
        <f>IFERROR(Table_PrescriptLights_Input[[#This Row],[Energy savings (kWh)]]*Input_AvgkWhRate, "")</f>
        <v/>
      </c>
      <c r="Y162" s="67" t="str">
        <f>IF(Table_PrescriptLights_Input[[#This Row],[Prescriptive lighting measure]]="", "",Table_PrescriptLights_Input[[#This Row],[Material cost per fixture]]*Table_PrescriptLights_Input[[#This Row],[Number of proposed fixtures]]+Table_PrescriptLights_Input[[#This Row],[Total labor cost]])</f>
        <v/>
      </c>
      <c r="Z162" s="67" t="str">
        <f>IFERROR(Table_PrescriptLights_Input[[#This Row],[Gross measure cost]]-Table_PrescriptLights_Input[[#This Row],[Estimated incentive]], "")</f>
        <v/>
      </c>
      <c r="AA162" s="69" t="str">
        <f t="shared" si="4"/>
        <v/>
      </c>
      <c r="AB162" s="69" t="str">
        <f>IF(ISNUMBER(Table_PrescriptLights_Input[[#This Row],[Detailed Fixture Calculation Wattage]]), "Detailed", "General")</f>
        <v>General</v>
      </c>
      <c r="AC162" s="53" t="e">
        <f>INDEX(Table_IntExt_Match[Measure Selection List], MATCH(Table_PrescriptLights_Input[[#This Row],[Interior or exterior?]], Table_IntExt_Match[Inetrior or Exterior], 0))</f>
        <v>#N/A</v>
      </c>
      <c r="AD162" s="53" t="e">
        <f>INDEX(Table_Prescript_Meas[Unit], MATCH(C162, Table_Prescript_Meas[Measure Number], 0))</f>
        <v>#N/A</v>
      </c>
      <c r="AE162" s="53" t="e">
        <f>INDEX(Table_Prescript_Meas[Lighting Type Selection List], MATCH(C162, Table_Prescript_Meas[Measure Number], 0))</f>
        <v>#N/A</v>
      </c>
      <c r="AF162" s="53" t="e">
        <f>INDEX(Table_Prescript_Meas[AOH Type], MATCH(Table_PrescriptLights_Input[[#This Row],[Measure number]], Table_Prescript_Meas[Measure Number],0))</f>
        <v>#N/A</v>
      </c>
      <c r="AG162"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62" s="53" t="str">
        <f>_xlfn.CONCAT(Table_PrescriptLights_Input[[#This Row],[Existing lighting type]],":",Table_PrescriptLights_Input[[#This Row],[Existing lamps per fixture]], ":",Table_PrescriptLights_Input[[#This Row],[Existing lamp wattage]])</f>
        <v>::</v>
      </c>
      <c r="AI162" s="53" t="e">
        <f>INDEX(Table_TRM_Fixtures[Fixture Code], MATCH(Table_PrescriptLights_Input[[#This Row],[Detailed Baseline Fixture Lookup]], Table_TRM_Fixtures[Detailed Prescriptive Baseline Fixture Lookup], 0))</f>
        <v>#N/A</v>
      </c>
      <c r="AJ162" s="53" t="e">
        <f>INDEX(Table_TRM_Fixtures[Fixture Wattage for Baseline Calculations],MATCH(Table_PrescriptLights_Input[[#This Row],[Detailed Baseline Fixture Lookup]], Table_TRM_Fixtures[Detailed Prescriptive Baseline Fixture Lookup],0))</f>
        <v>#N/A</v>
      </c>
      <c r="AK162" s="127" t="e">
        <f>INDEX(Table_Bldg_IEFD_IEFC[IEFE], MATCH( Input_HVACType,Table_Bldg_IEFD_IEFC[List_HVAC], 0))</f>
        <v>#N/A</v>
      </c>
      <c r="AL162" s="127" t="e">
        <f>INDEX( Table_Bldg_IEFD_IEFC[IEFE],MATCH( Input_HVACType, Table_Bldg_IEFD_IEFC[List_HVAC],0 ))</f>
        <v>#N/A</v>
      </c>
      <c r="AM162" s="127" t="e">
        <f>INDEX(Table_Control_PAF[PAF], MATCH(Table_PrescriptLights_Input[[#This Row],[Existing controls]], Table_Control_PAF[List_Control_Types], 0 ) )</f>
        <v>#N/A</v>
      </c>
      <c r="AN162"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62"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62"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62" s="53">
        <f>IFERROR(LEFT(Table_PrescriptLights_Input[[#This Row],[Existing lighting type]], FIND(",",Table_PrescriptLights_Input[[#This Row],[Existing lighting type]])-1), Table_PrescriptLights_Input[[#This Row],[Existing lighting type]])</f>
        <v>0</v>
      </c>
      <c r="AR162" s="53" t="str">
        <f>_xlfn.CONCAT(Table_PrescriptLights_Input[[#This Row],[Generalized Fixture Type]], ":",Table_PrescriptLights_Input[[#This Row],[Existing lamps per fixture]],":",Table_PrescriptLights_Input[[#This Row],[Existing lamp wattage]])</f>
        <v>0::</v>
      </c>
      <c r="AS162" s="53" t="e">
        <f>INDEX(Table_TRM_Fixtures[Fixture Code], MATCH(Table_PrescriptLights_Input[[#This Row],[Generalized Fixture Baseline Lookup]], Table_TRM_Fixtures[Generalized Baseline Fixture Lookup], 0))</f>
        <v>#N/A</v>
      </c>
      <c r="AT162"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62"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62"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62"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62"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62" s="53" t="e">
        <f>IFERROR(Table_PrescriptLights_Input[[#This Row],[Detailed Baseline Fixture Code]],Table_PrescriptLights_Input[[#This Row],[Generalized Baseline Fixture Code]])</f>
        <v>#N/A</v>
      </c>
      <c r="AZ162" s="4"/>
      <c r="BA162" s="4"/>
      <c r="BB162" s="4"/>
      <c r="BC162" s="4"/>
      <c r="BD162" s="4"/>
      <c r="BE162" s="4"/>
      <c r="BF162" s="4"/>
      <c r="BG162" s="4"/>
      <c r="BH162" s="4"/>
      <c r="BI162" s="4"/>
      <c r="BJ162" s="4"/>
      <c r="BK162" s="4"/>
      <c r="BL162" s="4"/>
      <c r="BM162" s="4"/>
      <c r="BN162" s="4"/>
      <c r="BO162" s="4"/>
      <c r="BP162" s="4"/>
      <c r="BQ162" s="4"/>
    </row>
    <row r="163" spans="1:69" x14ac:dyDescent="0.2">
      <c r="A163" s="4"/>
      <c r="B163" s="189">
        <v>159</v>
      </c>
      <c r="C163" s="61" t="str">
        <f>IFERROR(INDEX(Table_Prescript_Meas[Measure Number], MATCH(Table_PrescriptLights_Input[[#This Row],[Prescriptive lighting measure]], Table_Prescript_Meas[Measure Description], 0)), "")</f>
        <v/>
      </c>
      <c r="D163" s="192"/>
      <c r="E163" s="179"/>
      <c r="F163" s="179"/>
      <c r="G163" s="61" t="str">
        <f>IFERROR(INDEX(Table_Prescript_Meas[Unit], MATCH(Table_PrescriptLights_Input[[#This Row],[Measure number]], Table_Prescript_Meas[Measure Number], 0)), "")</f>
        <v/>
      </c>
      <c r="H163" s="180"/>
      <c r="I163" s="179"/>
      <c r="J163" s="179"/>
      <c r="K163" s="180"/>
      <c r="L163" s="179"/>
      <c r="M163" s="180"/>
      <c r="N163" s="180"/>
      <c r="O163" s="180"/>
      <c r="P163" s="180"/>
      <c r="Q163" s="180"/>
      <c r="R163" s="181"/>
      <c r="S163" s="181"/>
      <c r="T163"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63"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63" s="69" t="str">
        <f>IF(Table_PrescriptLights_Input[[#This Row],[Prescriptive lighting measure]]="","",Table_PrescriptLights_Input[[#This Row],[Calculated Energy Savings]])</f>
        <v/>
      </c>
      <c r="W163" s="73" t="str">
        <f>IF(Table_PrescriptLights_Input[[#This Row],[Prescriptive lighting measure]]="","",Table_PrescriptLights_Input[[#This Row],[Calculated Demand Savings]])</f>
        <v/>
      </c>
      <c r="X163" s="67" t="str">
        <f>IFERROR(Table_PrescriptLights_Input[[#This Row],[Energy savings (kWh)]]*Input_AvgkWhRate, "")</f>
        <v/>
      </c>
      <c r="Y163" s="67" t="str">
        <f>IF(Table_PrescriptLights_Input[[#This Row],[Prescriptive lighting measure]]="", "",Table_PrescriptLights_Input[[#This Row],[Material cost per fixture]]*Table_PrescriptLights_Input[[#This Row],[Number of proposed fixtures]]+Table_PrescriptLights_Input[[#This Row],[Total labor cost]])</f>
        <v/>
      </c>
      <c r="Z163" s="67" t="str">
        <f>IFERROR(Table_PrescriptLights_Input[[#This Row],[Gross measure cost]]-Table_PrescriptLights_Input[[#This Row],[Estimated incentive]], "")</f>
        <v/>
      </c>
      <c r="AA163" s="69" t="str">
        <f t="shared" si="4"/>
        <v/>
      </c>
      <c r="AB163" s="69" t="str">
        <f>IF(ISNUMBER(Table_PrescriptLights_Input[[#This Row],[Detailed Fixture Calculation Wattage]]), "Detailed", "General")</f>
        <v>General</v>
      </c>
      <c r="AC163" s="53" t="e">
        <f>INDEX(Table_IntExt_Match[Measure Selection List], MATCH(Table_PrescriptLights_Input[[#This Row],[Interior or exterior?]], Table_IntExt_Match[Inetrior or Exterior], 0))</f>
        <v>#N/A</v>
      </c>
      <c r="AD163" s="53" t="e">
        <f>INDEX(Table_Prescript_Meas[Unit], MATCH(C163, Table_Prescript_Meas[Measure Number], 0))</f>
        <v>#N/A</v>
      </c>
      <c r="AE163" s="53" t="e">
        <f>INDEX(Table_Prescript_Meas[Lighting Type Selection List], MATCH(C163, Table_Prescript_Meas[Measure Number], 0))</f>
        <v>#N/A</v>
      </c>
      <c r="AF163" s="53" t="e">
        <f>INDEX(Table_Prescript_Meas[AOH Type], MATCH(Table_PrescriptLights_Input[[#This Row],[Measure number]], Table_Prescript_Meas[Measure Number],0))</f>
        <v>#N/A</v>
      </c>
      <c r="AG163"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63" s="53" t="str">
        <f>_xlfn.CONCAT(Table_PrescriptLights_Input[[#This Row],[Existing lighting type]],":",Table_PrescriptLights_Input[[#This Row],[Existing lamps per fixture]], ":",Table_PrescriptLights_Input[[#This Row],[Existing lamp wattage]])</f>
        <v>::</v>
      </c>
      <c r="AI163" s="53" t="e">
        <f>INDEX(Table_TRM_Fixtures[Fixture Code], MATCH(Table_PrescriptLights_Input[[#This Row],[Detailed Baseline Fixture Lookup]], Table_TRM_Fixtures[Detailed Prescriptive Baseline Fixture Lookup], 0))</f>
        <v>#N/A</v>
      </c>
      <c r="AJ163" s="53" t="e">
        <f>INDEX(Table_TRM_Fixtures[Fixture Wattage for Baseline Calculations],MATCH(Table_PrescriptLights_Input[[#This Row],[Detailed Baseline Fixture Lookup]], Table_TRM_Fixtures[Detailed Prescriptive Baseline Fixture Lookup],0))</f>
        <v>#N/A</v>
      </c>
      <c r="AK163" s="127" t="e">
        <f>INDEX(Table_Bldg_IEFD_IEFC[IEFE], MATCH( Input_HVACType,Table_Bldg_IEFD_IEFC[List_HVAC], 0))</f>
        <v>#N/A</v>
      </c>
      <c r="AL163" s="127" t="e">
        <f>INDEX( Table_Bldg_IEFD_IEFC[IEFE],MATCH( Input_HVACType, Table_Bldg_IEFD_IEFC[List_HVAC],0 ))</f>
        <v>#N/A</v>
      </c>
      <c r="AM163" s="127" t="e">
        <f>INDEX(Table_Control_PAF[PAF], MATCH(Table_PrescriptLights_Input[[#This Row],[Existing controls]], Table_Control_PAF[List_Control_Types], 0 ) )</f>
        <v>#N/A</v>
      </c>
      <c r="AN163"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63"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63"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63" s="53">
        <f>IFERROR(LEFT(Table_PrescriptLights_Input[[#This Row],[Existing lighting type]], FIND(",",Table_PrescriptLights_Input[[#This Row],[Existing lighting type]])-1), Table_PrescriptLights_Input[[#This Row],[Existing lighting type]])</f>
        <v>0</v>
      </c>
      <c r="AR163" s="53" t="str">
        <f>_xlfn.CONCAT(Table_PrescriptLights_Input[[#This Row],[Generalized Fixture Type]], ":",Table_PrescriptLights_Input[[#This Row],[Existing lamps per fixture]],":",Table_PrescriptLights_Input[[#This Row],[Existing lamp wattage]])</f>
        <v>0::</v>
      </c>
      <c r="AS163" s="53" t="e">
        <f>INDEX(Table_TRM_Fixtures[Fixture Code], MATCH(Table_PrescriptLights_Input[[#This Row],[Generalized Fixture Baseline Lookup]], Table_TRM_Fixtures[Generalized Baseline Fixture Lookup], 0))</f>
        <v>#N/A</v>
      </c>
      <c r="AT163"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63"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63"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63"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63"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63" s="53" t="e">
        <f>IFERROR(Table_PrescriptLights_Input[[#This Row],[Detailed Baseline Fixture Code]],Table_PrescriptLights_Input[[#This Row],[Generalized Baseline Fixture Code]])</f>
        <v>#N/A</v>
      </c>
      <c r="AZ163" s="4"/>
      <c r="BA163" s="4"/>
      <c r="BB163" s="4"/>
      <c r="BC163" s="4"/>
      <c r="BD163" s="4"/>
      <c r="BE163" s="4"/>
      <c r="BF163" s="4"/>
      <c r="BG163" s="4"/>
      <c r="BH163" s="4"/>
      <c r="BI163" s="4"/>
      <c r="BJ163" s="4"/>
      <c r="BK163" s="4"/>
      <c r="BL163" s="4"/>
      <c r="BM163" s="4"/>
      <c r="BN163" s="4"/>
      <c r="BO163" s="4"/>
      <c r="BP163" s="4"/>
      <c r="BQ163" s="4"/>
    </row>
    <row r="164" spans="1:69" x14ac:dyDescent="0.2">
      <c r="A164" s="4"/>
      <c r="B164" s="189">
        <v>160</v>
      </c>
      <c r="C164" s="61" t="str">
        <f>IFERROR(INDEX(Table_Prescript_Meas[Measure Number], MATCH(Table_PrescriptLights_Input[[#This Row],[Prescriptive lighting measure]], Table_Prescript_Meas[Measure Description], 0)), "")</f>
        <v/>
      </c>
      <c r="D164" s="192"/>
      <c r="E164" s="179"/>
      <c r="F164" s="179"/>
      <c r="G164" s="61" t="str">
        <f>IFERROR(INDEX(Table_Prescript_Meas[Unit], MATCH(Table_PrescriptLights_Input[[#This Row],[Measure number]], Table_Prescript_Meas[Measure Number], 0)), "")</f>
        <v/>
      </c>
      <c r="H164" s="180"/>
      <c r="I164" s="179"/>
      <c r="J164" s="179"/>
      <c r="K164" s="180"/>
      <c r="L164" s="179"/>
      <c r="M164" s="180"/>
      <c r="N164" s="180"/>
      <c r="O164" s="180"/>
      <c r="P164" s="180"/>
      <c r="Q164" s="180"/>
      <c r="R164" s="181"/>
      <c r="S164" s="181"/>
      <c r="T164"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64"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64" s="69" t="str">
        <f>IF(Table_PrescriptLights_Input[[#This Row],[Prescriptive lighting measure]]="","",Table_PrescriptLights_Input[[#This Row],[Calculated Energy Savings]])</f>
        <v/>
      </c>
      <c r="W164" s="73" t="str">
        <f>IF(Table_PrescriptLights_Input[[#This Row],[Prescriptive lighting measure]]="","",Table_PrescriptLights_Input[[#This Row],[Calculated Demand Savings]])</f>
        <v/>
      </c>
      <c r="X164" s="67" t="str">
        <f>IFERROR(Table_PrescriptLights_Input[[#This Row],[Energy savings (kWh)]]*Input_AvgkWhRate, "")</f>
        <v/>
      </c>
      <c r="Y164" s="67" t="str">
        <f>IF(Table_PrescriptLights_Input[[#This Row],[Prescriptive lighting measure]]="", "",Table_PrescriptLights_Input[[#This Row],[Material cost per fixture]]*Table_PrescriptLights_Input[[#This Row],[Number of proposed fixtures]]+Table_PrescriptLights_Input[[#This Row],[Total labor cost]])</f>
        <v/>
      </c>
      <c r="Z164" s="67" t="str">
        <f>IFERROR(Table_PrescriptLights_Input[[#This Row],[Gross measure cost]]-Table_PrescriptLights_Input[[#This Row],[Estimated incentive]], "")</f>
        <v/>
      </c>
      <c r="AA164" s="69" t="str">
        <f t="shared" si="4"/>
        <v/>
      </c>
      <c r="AB164" s="69" t="str">
        <f>IF(ISNUMBER(Table_PrescriptLights_Input[[#This Row],[Detailed Fixture Calculation Wattage]]), "Detailed", "General")</f>
        <v>General</v>
      </c>
      <c r="AC164" s="53" t="e">
        <f>INDEX(Table_IntExt_Match[Measure Selection List], MATCH(Table_PrescriptLights_Input[[#This Row],[Interior or exterior?]], Table_IntExt_Match[Inetrior or Exterior], 0))</f>
        <v>#N/A</v>
      </c>
      <c r="AD164" s="53" t="e">
        <f>INDEX(Table_Prescript_Meas[Unit], MATCH(C164, Table_Prescript_Meas[Measure Number], 0))</f>
        <v>#N/A</v>
      </c>
      <c r="AE164" s="53" t="e">
        <f>INDEX(Table_Prescript_Meas[Lighting Type Selection List], MATCH(C164, Table_Prescript_Meas[Measure Number], 0))</f>
        <v>#N/A</v>
      </c>
      <c r="AF164" s="53" t="e">
        <f>INDEX(Table_Prescript_Meas[AOH Type], MATCH(Table_PrescriptLights_Input[[#This Row],[Measure number]], Table_Prescript_Meas[Measure Number],0))</f>
        <v>#N/A</v>
      </c>
      <c r="AG164"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64" s="53" t="str">
        <f>_xlfn.CONCAT(Table_PrescriptLights_Input[[#This Row],[Existing lighting type]],":",Table_PrescriptLights_Input[[#This Row],[Existing lamps per fixture]], ":",Table_PrescriptLights_Input[[#This Row],[Existing lamp wattage]])</f>
        <v>::</v>
      </c>
      <c r="AI164" s="53" t="e">
        <f>INDEX(Table_TRM_Fixtures[Fixture Code], MATCH(Table_PrescriptLights_Input[[#This Row],[Detailed Baseline Fixture Lookup]], Table_TRM_Fixtures[Detailed Prescriptive Baseline Fixture Lookup], 0))</f>
        <v>#N/A</v>
      </c>
      <c r="AJ164" s="53" t="e">
        <f>INDEX(Table_TRM_Fixtures[Fixture Wattage for Baseline Calculations],MATCH(Table_PrescriptLights_Input[[#This Row],[Detailed Baseline Fixture Lookup]], Table_TRM_Fixtures[Detailed Prescriptive Baseline Fixture Lookup],0))</f>
        <v>#N/A</v>
      </c>
      <c r="AK164" s="127" t="e">
        <f>INDEX(Table_Bldg_IEFD_IEFC[IEFE], MATCH( Input_HVACType,Table_Bldg_IEFD_IEFC[List_HVAC], 0))</f>
        <v>#N/A</v>
      </c>
      <c r="AL164" s="127" t="e">
        <f>INDEX( Table_Bldg_IEFD_IEFC[IEFE],MATCH( Input_HVACType, Table_Bldg_IEFD_IEFC[List_HVAC],0 ))</f>
        <v>#N/A</v>
      </c>
      <c r="AM164" s="127" t="e">
        <f>INDEX(Table_Control_PAF[PAF], MATCH(Table_PrescriptLights_Input[[#This Row],[Existing controls]], Table_Control_PAF[List_Control_Types], 0 ) )</f>
        <v>#N/A</v>
      </c>
      <c r="AN164"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64"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64"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64" s="53">
        <f>IFERROR(LEFT(Table_PrescriptLights_Input[[#This Row],[Existing lighting type]], FIND(",",Table_PrescriptLights_Input[[#This Row],[Existing lighting type]])-1), Table_PrescriptLights_Input[[#This Row],[Existing lighting type]])</f>
        <v>0</v>
      </c>
      <c r="AR164" s="53" t="str">
        <f>_xlfn.CONCAT(Table_PrescriptLights_Input[[#This Row],[Generalized Fixture Type]], ":",Table_PrescriptLights_Input[[#This Row],[Existing lamps per fixture]],":",Table_PrescriptLights_Input[[#This Row],[Existing lamp wattage]])</f>
        <v>0::</v>
      </c>
      <c r="AS164" s="53" t="e">
        <f>INDEX(Table_TRM_Fixtures[Fixture Code], MATCH(Table_PrescriptLights_Input[[#This Row],[Generalized Fixture Baseline Lookup]], Table_TRM_Fixtures[Generalized Baseline Fixture Lookup], 0))</f>
        <v>#N/A</v>
      </c>
      <c r="AT164"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64"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64"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64"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64"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64" s="53" t="e">
        <f>IFERROR(Table_PrescriptLights_Input[[#This Row],[Detailed Baseline Fixture Code]],Table_PrescriptLights_Input[[#This Row],[Generalized Baseline Fixture Code]])</f>
        <v>#N/A</v>
      </c>
      <c r="AZ164" s="4"/>
      <c r="BA164" s="4"/>
      <c r="BB164" s="4"/>
      <c r="BC164" s="4"/>
      <c r="BD164" s="4"/>
      <c r="BE164" s="4"/>
      <c r="BF164" s="4"/>
      <c r="BG164" s="4"/>
      <c r="BH164" s="4"/>
      <c r="BI164" s="4"/>
      <c r="BJ164" s="4"/>
      <c r="BK164" s="4"/>
      <c r="BL164" s="4"/>
      <c r="BM164" s="4"/>
      <c r="BN164" s="4"/>
      <c r="BO164" s="4"/>
      <c r="BP164" s="4"/>
      <c r="BQ164" s="4"/>
    </row>
    <row r="165" spans="1:69" x14ac:dyDescent="0.2">
      <c r="A165" s="4"/>
      <c r="B165" s="189">
        <v>161</v>
      </c>
      <c r="C165" s="61" t="str">
        <f>IFERROR(INDEX(Table_Prescript_Meas[Measure Number], MATCH(Table_PrescriptLights_Input[[#This Row],[Prescriptive lighting measure]], Table_Prescript_Meas[Measure Description], 0)), "")</f>
        <v/>
      </c>
      <c r="D165" s="192"/>
      <c r="E165" s="179"/>
      <c r="F165" s="179"/>
      <c r="G165" s="61" t="str">
        <f>IFERROR(INDEX(Table_Prescript_Meas[Unit], MATCH(Table_PrescriptLights_Input[[#This Row],[Measure number]], Table_Prescript_Meas[Measure Number], 0)), "")</f>
        <v/>
      </c>
      <c r="H165" s="180"/>
      <c r="I165" s="179"/>
      <c r="J165" s="179"/>
      <c r="K165" s="180"/>
      <c r="L165" s="179"/>
      <c r="M165" s="180"/>
      <c r="N165" s="180"/>
      <c r="O165" s="180"/>
      <c r="P165" s="180"/>
      <c r="Q165" s="180"/>
      <c r="R165" s="181"/>
      <c r="S165" s="181"/>
      <c r="T165"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65"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65" s="69" t="str">
        <f>IF(Table_PrescriptLights_Input[[#This Row],[Prescriptive lighting measure]]="","",Table_PrescriptLights_Input[[#This Row],[Calculated Energy Savings]])</f>
        <v/>
      </c>
      <c r="W165" s="73" t="str">
        <f>IF(Table_PrescriptLights_Input[[#This Row],[Prescriptive lighting measure]]="","",Table_PrescriptLights_Input[[#This Row],[Calculated Demand Savings]])</f>
        <v/>
      </c>
      <c r="X165" s="67" t="str">
        <f>IFERROR(Table_PrescriptLights_Input[[#This Row],[Energy savings (kWh)]]*Input_AvgkWhRate, "")</f>
        <v/>
      </c>
      <c r="Y165" s="67" t="str">
        <f>IF(Table_PrescriptLights_Input[[#This Row],[Prescriptive lighting measure]]="", "",Table_PrescriptLights_Input[[#This Row],[Material cost per fixture]]*Table_PrescriptLights_Input[[#This Row],[Number of proposed fixtures]]+Table_PrescriptLights_Input[[#This Row],[Total labor cost]])</f>
        <v/>
      </c>
      <c r="Z165" s="67" t="str">
        <f>IFERROR(Table_PrescriptLights_Input[[#This Row],[Gross measure cost]]-Table_PrescriptLights_Input[[#This Row],[Estimated incentive]], "")</f>
        <v/>
      </c>
      <c r="AA165" s="69" t="str">
        <f t="shared" ref="AA165:AA196" si="5">IFERROR($Z165/$X165,"")</f>
        <v/>
      </c>
      <c r="AB165" s="69" t="str">
        <f>IF(ISNUMBER(Table_PrescriptLights_Input[[#This Row],[Detailed Fixture Calculation Wattage]]), "Detailed", "General")</f>
        <v>General</v>
      </c>
      <c r="AC165" s="53" t="e">
        <f>INDEX(Table_IntExt_Match[Measure Selection List], MATCH(Table_PrescriptLights_Input[[#This Row],[Interior or exterior?]], Table_IntExt_Match[Inetrior or Exterior], 0))</f>
        <v>#N/A</v>
      </c>
      <c r="AD165" s="53" t="e">
        <f>INDEX(Table_Prescript_Meas[Unit], MATCH(C165, Table_Prescript_Meas[Measure Number], 0))</f>
        <v>#N/A</v>
      </c>
      <c r="AE165" s="53" t="e">
        <f>INDEX(Table_Prescript_Meas[Lighting Type Selection List], MATCH(C165, Table_Prescript_Meas[Measure Number], 0))</f>
        <v>#N/A</v>
      </c>
      <c r="AF165" s="53" t="e">
        <f>INDEX(Table_Prescript_Meas[AOH Type], MATCH(Table_PrescriptLights_Input[[#This Row],[Measure number]], Table_Prescript_Meas[Measure Number],0))</f>
        <v>#N/A</v>
      </c>
      <c r="AG165"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65" s="53" t="str">
        <f>_xlfn.CONCAT(Table_PrescriptLights_Input[[#This Row],[Existing lighting type]],":",Table_PrescriptLights_Input[[#This Row],[Existing lamps per fixture]], ":",Table_PrescriptLights_Input[[#This Row],[Existing lamp wattage]])</f>
        <v>::</v>
      </c>
      <c r="AI165" s="53" t="e">
        <f>INDEX(Table_TRM_Fixtures[Fixture Code], MATCH(Table_PrescriptLights_Input[[#This Row],[Detailed Baseline Fixture Lookup]], Table_TRM_Fixtures[Detailed Prescriptive Baseline Fixture Lookup], 0))</f>
        <v>#N/A</v>
      </c>
      <c r="AJ165" s="53" t="e">
        <f>INDEX(Table_TRM_Fixtures[Fixture Wattage for Baseline Calculations],MATCH(Table_PrescriptLights_Input[[#This Row],[Detailed Baseline Fixture Lookup]], Table_TRM_Fixtures[Detailed Prescriptive Baseline Fixture Lookup],0))</f>
        <v>#N/A</v>
      </c>
      <c r="AK165" s="127" t="e">
        <f>INDEX(Table_Bldg_IEFD_IEFC[IEFE], MATCH( Input_HVACType,Table_Bldg_IEFD_IEFC[List_HVAC], 0))</f>
        <v>#N/A</v>
      </c>
      <c r="AL165" s="127" t="e">
        <f>INDEX( Table_Bldg_IEFD_IEFC[IEFE],MATCH( Input_HVACType, Table_Bldg_IEFD_IEFC[List_HVAC],0 ))</f>
        <v>#N/A</v>
      </c>
      <c r="AM165" s="127" t="e">
        <f>INDEX(Table_Control_PAF[PAF], MATCH(Table_PrescriptLights_Input[[#This Row],[Existing controls]], Table_Control_PAF[List_Control_Types], 0 ) )</f>
        <v>#N/A</v>
      </c>
      <c r="AN165"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65"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65"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65" s="53">
        <f>IFERROR(LEFT(Table_PrescriptLights_Input[[#This Row],[Existing lighting type]], FIND(",",Table_PrescriptLights_Input[[#This Row],[Existing lighting type]])-1), Table_PrescriptLights_Input[[#This Row],[Existing lighting type]])</f>
        <v>0</v>
      </c>
      <c r="AR165" s="53" t="str">
        <f>_xlfn.CONCAT(Table_PrescriptLights_Input[[#This Row],[Generalized Fixture Type]], ":",Table_PrescriptLights_Input[[#This Row],[Existing lamps per fixture]],":",Table_PrescriptLights_Input[[#This Row],[Existing lamp wattage]])</f>
        <v>0::</v>
      </c>
      <c r="AS165" s="53" t="e">
        <f>INDEX(Table_TRM_Fixtures[Fixture Code], MATCH(Table_PrescriptLights_Input[[#This Row],[Generalized Fixture Baseline Lookup]], Table_TRM_Fixtures[Generalized Baseline Fixture Lookup], 0))</f>
        <v>#N/A</v>
      </c>
      <c r="AT165"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65"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65"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65"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65"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65" s="53" t="e">
        <f>IFERROR(Table_PrescriptLights_Input[[#This Row],[Detailed Baseline Fixture Code]],Table_PrescriptLights_Input[[#This Row],[Generalized Baseline Fixture Code]])</f>
        <v>#N/A</v>
      </c>
      <c r="AZ165" s="4"/>
      <c r="BA165" s="4"/>
      <c r="BB165" s="4"/>
      <c r="BC165" s="4"/>
      <c r="BD165" s="4"/>
      <c r="BE165" s="4"/>
      <c r="BF165" s="4"/>
      <c r="BG165" s="4"/>
      <c r="BH165" s="4"/>
      <c r="BI165" s="4"/>
      <c r="BJ165" s="4"/>
      <c r="BK165" s="4"/>
      <c r="BL165" s="4"/>
      <c r="BM165" s="4"/>
      <c r="BN165" s="4"/>
      <c r="BO165" s="4"/>
      <c r="BP165" s="4"/>
      <c r="BQ165" s="4"/>
    </row>
    <row r="166" spans="1:69" x14ac:dyDescent="0.2">
      <c r="A166" s="4"/>
      <c r="B166" s="189">
        <v>162</v>
      </c>
      <c r="C166" s="61" t="str">
        <f>IFERROR(INDEX(Table_Prescript_Meas[Measure Number], MATCH(Table_PrescriptLights_Input[[#This Row],[Prescriptive lighting measure]], Table_Prescript_Meas[Measure Description], 0)), "")</f>
        <v/>
      </c>
      <c r="D166" s="192"/>
      <c r="E166" s="179"/>
      <c r="F166" s="179"/>
      <c r="G166" s="61" t="str">
        <f>IFERROR(INDEX(Table_Prescript_Meas[Unit], MATCH(Table_PrescriptLights_Input[[#This Row],[Measure number]], Table_Prescript_Meas[Measure Number], 0)), "")</f>
        <v/>
      </c>
      <c r="H166" s="180"/>
      <c r="I166" s="179"/>
      <c r="J166" s="179"/>
      <c r="K166" s="180"/>
      <c r="L166" s="179"/>
      <c r="M166" s="180"/>
      <c r="N166" s="180"/>
      <c r="O166" s="180"/>
      <c r="P166" s="180"/>
      <c r="Q166" s="180"/>
      <c r="R166" s="181"/>
      <c r="S166" s="181"/>
      <c r="T166"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66"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66" s="69" t="str">
        <f>IF(Table_PrescriptLights_Input[[#This Row],[Prescriptive lighting measure]]="","",Table_PrescriptLights_Input[[#This Row],[Calculated Energy Savings]])</f>
        <v/>
      </c>
      <c r="W166" s="73" t="str">
        <f>IF(Table_PrescriptLights_Input[[#This Row],[Prescriptive lighting measure]]="","",Table_PrescriptLights_Input[[#This Row],[Calculated Demand Savings]])</f>
        <v/>
      </c>
      <c r="X166" s="67" t="str">
        <f>IFERROR(Table_PrescriptLights_Input[[#This Row],[Energy savings (kWh)]]*Input_AvgkWhRate, "")</f>
        <v/>
      </c>
      <c r="Y166" s="67" t="str">
        <f>IF(Table_PrescriptLights_Input[[#This Row],[Prescriptive lighting measure]]="", "",Table_PrescriptLights_Input[[#This Row],[Material cost per fixture]]*Table_PrescriptLights_Input[[#This Row],[Number of proposed fixtures]]+Table_PrescriptLights_Input[[#This Row],[Total labor cost]])</f>
        <v/>
      </c>
      <c r="Z166" s="67" t="str">
        <f>IFERROR(Table_PrescriptLights_Input[[#This Row],[Gross measure cost]]-Table_PrescriptLights_Input[[#This Row],[Estimated incentive]], "")</f>
        <v/>
      </c>
      <c r="AA166" s="69" t="str">
        <f t="shared" si="5"/>
        <v/>
      </c>
      <c r="AB166" s="69" t="str">
        <f>IF(ISNUMBER(Table_PrescriptLights_Input[[#This Row],[Detailed Fixture Calculation Wattage]]), "Detailed", "General")</f>
        <v>General</v>
      </c>
      <c r="AC166" s="53" t="e">
        <f>INDEX(Table_IntExt_Match[Measure Selection List], MATCH(Table_PrescriptLights_Input[[#This Row],[Interior or exterior?]], Table_IntExt_Match[Inetrior or Exterior], 0))</f>
        <v>#N/A</v>
      </c>
      <c r="AD166" s="53" t="e">
        <f>INDEX(Table_Prescript_Meas[Unit], MATCH(C166, Table_Prescript_Meas[Measure Number], 0))</f>
        <v>#N/A</v>
      </c>
      <c r="AE166" s="53" t="e">
        <f>INDEX(Table_Prescript_Meas[Lighting Type Selection List], MATCH(C166, Table_Prescript_Meas[Measure Number], 0))</f>
        <v>#N/A</v>
      </c>
      <c r="AF166" s="53" t="e">
        <f>INDEX(Table_Prescript_Meas[AOH Type], MATCH(Table_PrescriptLights_Input[[#This Row],[Measure number]], Table_Prescript_Meas[Measure Number],0))</f>
        <v>#N/A</v>
      </c>
      <c r="AG166"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66" s="53" t="str">
        <f>_xlfn.CONCAT(Table_PrescriptLights_Input[[#This Row],[Existing lighting type]],":",Table_PrescriptLights_Input[[#This Row],[Existing lamps per fixture]], ":",Table_PrescriptLights_Input[[#This Row],[Existing lamp wattage]])</f>
        <v>::</v>
      </c>
      <c r="AI166" s="53" t="e">
        <f>INDEX(Table_TRM_Fixtures[Fixture Code], MATCH(Table_PrescriptLights_Input[[#This Row],[Detailed Baseline Fixture Lookup]], Table_TRM_Fixtures[Detailed Prescriptive Baseline Fixture Lookup], 0))</f>
        <v>#N/A</v>
      </c>
      <c r="AJ166" s="53" t="e">
        <f>INDEX(Table_TRM_Fixtures[Fixture Wattage for Baseline Calculations],MATCH(Table_PrescriptLights_Input[[#This Row],[Detailed Baseline Fixture Lookup]], Table_TRM_Fixtures[Detailed Prescriptive Baseline Fixture Lookup],0))</f>
        <v>#N/A</v>
      </c>
      <c r="AK166" s="127" t="e">
        <f>INDEX(Table_Bldg_IEFD_IEFC[IEFE], MATCH( Input_HVACType,Table_Bldg_IEFD_IEFC[List_HVAC], 0))</f>
        <v>#N/A</v>
      </c>
      <c r="AL166" s="127" t="e">
        <f>INDEX( Table_Bldg_IEFD_IEFC[IEFE],MATCH( Input_HVACType, Table_Bldg_IEFD_IEFC[List_HVAC],0 ))</f>
        <v>#N/A</v>
      </c>
      <c r="AM166" s="127" t="e">
        <f>INDEX(Table_Control_PAF[PAF], MATCH(Table_PrescriptLights_Input[[#This Row],[Existing controls]], Table_Control_PAF[List_Control_Types], 0 ) )</f>
        <v>#N/A</v>
      </c>
      <c r="AN166"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66"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66"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66" s="53">
        <f>IFERROR(LEFT(Table_PrescriptLights_Input[[#This Row],[Existing lighting type]], FIND(",",Table_PrescriptLights_Input[[#This Row],[Existing lighting type]])-1), Table_PrescriptLights_Input[[#This Row],[Existing lighting type]])</f>
        <v>0</v>
      </c>
      <c r="AR166" s="53" t="str">
        <f>_xlfn.CONCAT(Table_PrescriptLights_Input[[#This Row],[Generalized Fixture Type]], ":",Table_PrescriptLights_Input[[#This Row],[Existing lamps per fixture]],":",Table_PrescriptLights_Input[[#This Row],[Existing lamp wattage]])</f>
        <v>0::</v>
      </c>
      <c r="AS166" s="53" t="e">
        <f>INDEX(Table_TRM_Fixtures[Fixture Code], MATCH(Table_PrescriptLights_Input[[#This Row],[Generalized Fixture Baseline Lookup]], Table_TRM_Fixtures[Generalized Baseline Fixture Lookup], 0))</f>
        <v>#N/A</v>
      </c>
      <c r="AT166"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66"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66"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66"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66"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66" s="53" t="e">
        <f>IFERROR(Table_PrescriptLights_Input[[#This Row],[Detailed Baseline Fixture Code]],Table_PrescriptLights_Input[[#This Row],[Generalized Baseline Fixture Code]])</f>
        <v>#N/A</v>
      </c>
      <c r="AZ166" s="4"/>
      <c r="BA166" s="4"/>
      <c r="BB166" s="4"/>
      <c r="BC166" s="4"/>
      <c r="BD166" s="4"/>
      <c r="BE166" s="4"/>
      <c r="BF166" s="4"/>
      <c r="BG166" s="4"/>
      <c r="BH166" s="4"/>
      <c r="BI166" s="4"/>
      <c r="BJ166" s="4"/>
      <c r="BK166" s="4"/>
      <c r="BL166" s="4"/>
      <c r="BM166" s="4"/>
      <c r="BN166" s="4"/>
      <c r="BO166" s="4"/>
      <c r="BP166" s="4"/>
      <c r="BQ166" s="4"/>
    </row>
    <row r="167" spans="1:69" x14ac:dyDescent="0.2">
      <c r="A167" s="4"/>
      <c r="B167" s="189">
        <v>163</v>
      </c>
      <c r="C167" s="61" t="str">
        <f>IFERROR(INDEX(Table_Prescript_Meas[Measure Number], MATCH(Table_PrescriptLights_Input[[#This Row],[Prescriptive lighting measure]], Table_Prescript_Meas[Measure Description], 0)), "")</f>
        <v/>
      </c>
      <c r="D167" s="192"/>
      <c r="E167" s="179"/>
      <c r="F167" s="179"/>
      <c r="G167" s="61" t="str">
        <f>IFERROR(INDEX(Table_Prescript_Meas[Unit], MATCH(Table_PrescriptLights_Input[[#This Row],[Measure number]], Table_Prescript_Meas[Measure Number], 0)), "")</f>
        <v/>
      </c>
      <c r="H167" s="180"/>
      <c r="I167" s="179"/>
      <c r="J167" s="179"/>
      <c r="K167" s="180"/>
      <c r="L167" s="179"/>
      <c r="M167" s="180"/>
      <c r="N167" s="180"/>
      <c r="O167" s="180"/>
      <c r="P167" s="180"/>
      <c r="Q167" s="180"/>
      <c r="R167" s="181"/>
      <c r="S167" s="181"/>
      <c r="T167"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67"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67" s="69" t="str">
        <f>IF(Table_PrescriptLights_Input[[#This Row],[Prescriptive lighting measure]]="","",Table_PrescriptLights_Input[[#This Row],[Calculated Energy Savings]])</f>
        <v/>
      </c>
      <c r="W167" s="73" t="str">
        <f>IF(Table_PrescriptLights_Input[[#This Row],[Prescriptive lighting measure]]="","",Table_PrescriptLights_Input[[#This Row],[Calculated Demand Savings]])</f>
        <v/>
      </c>
      <c r="X167" s="67" t="str">
        <f>IFERROR(Table_PrescriptLights_Input[[#This Row],[Energy savings (kWh)]]*Input_AvgkWhRate, "")</f>
        <v/>
      </c>
      <c r="Y167" s="67" t="str">
        <f>IF(Table_PrescriptLights_Input[[#This Row],[Prescriptive lighting measure]]="", "",Table_PrescriptLights_Input[[#This Row],[Material cost per fixture]]*Table_PrescriptLights_Input[[#This Row],[Number of proposed fixtures]]+Table_PrescriptLights_Input[[#This Row],[Total labor cost]])</f>
        <v/>
      </c>
      <c r="Z167" s="67" t="str">
        <f>IFERROR(Table_PrescriptLights_Input[[#This Row],[Gross measure cost]]-Table_PrescriptLights_Input[[#This Row],[Estimated incentive]], "")</f>
        <v/>
      </c>
      <c r="AA167" s="69" t="str">
        <f t="shared" si="5"/>
        <v/>
      </c>
      <c r="AB167" s="69" t="str">
        <f>IF(ISNUMBER(Table_PrescriptLights_Input[[#This Row],[Detailed Fixture Calculation Wattage]]), "Detailed", "General")</f>
        <v>General</v>
      </c>
      <c r="AC167" s="53" t="e">
        <f>INDEX(Table_IntExt_Match[Measure Selection List], MATCH(Table_PrescriptLights_Input[[#This Row],[Interior or exterior?]], Table_IntExt_Match[Inetrior or Exterior], 0))</f>
        <v>#N/A</v>
      </c>
      <c r="AD167" s="53" t="e">
        <f>INDEX(Table_Prescript_Meas[Unit], MATCH(C167, Table_Prescript_Meas[Measure Number], 0))</f>
        <v>#N/A</v>
      </c>
      <c r="AE167" s="53" t="e">
        <f>INDEX(Table_Prescript_Meas[Lighting Type Selection List], MATCH(C167, Table_Prescript_Meas[Measure Number], 0))</f>
        <v>#N/A</v>
      </c>
      <c r="AF167" s="53" t="e">
        <f>INDEX(Table_Prescript_Meas[AOH Type], MATCH(Table_PrescriptLights_Input[[#This Row],[Measure number]], Table_Prescript_Meas[Measure Number],0))</f>
        <v>#N/A</v>
      </c>
      <c r="AG167"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67" s="53" t="str">
        <f>_xlfn.CONCAT(Table_PrescriptLights_Input[[#This Row],[Existing lighting type]],":",Table_PrescriptLights_Input[[#This Row],[Existing lamps per fixture]], ":",Table_PrescriptLights_Input[[#This Row],[Existing lamp wattage]])</f>
        <v>::</v>
      </c>
      <c r="AI167" s="53" t="e">
        <f>INDEX(Table_TRM_Fixtures[Fixture Code], MATCH(Table_PrescriptLights_Input[[#This Row],[Detailed Baseline Fixture Lookup]], Table_TRM_Fixtures[Detailed Prescriptive Baseline Fixture Lookup], 0))</f>
        <v>#N/A</v>
      </c>
      <c r="AJ167" s="53" t="e">
        <f>INDEX(Table_TRM_Fixtures[Fixture Wattage for Baseline Calculations],MATCH(Table_PrescriptLights_Input[[#This Row],[Detailed Baseline Fixture Lookup]], Table_TRM_Fixtures[Detailed Prescriptive Baseline Fixture Lookup],0))</f>
        <v>#N/A</v>
      </c>
      <c r="AK167" s="127" t="e">
        <f>INDEX(Table_Bldg_IEFD_IEFC[IEFE], MATCH( Input_HVACType,Table_Bldg_IEFD_IEFC[List_HVAC], 0))</f>
        <v>#N/A</v>
      </c>
      <c r="AL167" s="127" t="e">
        <f>INDEX( Table_Bldg_IEFD_IEFC[IEFE],MATCH( Input_HVACType, Table_Bldg_IEFD_IEFC[List_HVAC],0 ))</f>
        <v>#N/A</v>
      </c>
      <c r="AM167" s="127" t="e">
        <f>INDEX(Table_Control_PAF[PAF], MATCH(Table_PrescriptLights_Input[[#This Row],[Existing controls]], Table_Control_PAF[List_Control_Types], 0 ) )</f>
        <v>#N/A</v>
      </c>
      <c r="AN167"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67"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67"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67" s="53">
        <f>IFERROR(LEFT(Table_PrescriptLights_Input[[#This Row],[Existing lighting type]], FIND(",",Table_PrescriptLights_Input[[#This Row],[Existing lighting type]])-1), Table_PrescriptLights_Input[[#This Row],[Existing lighting type]])</f>
        <v>0</v>
      </c>
      <c r="AR167" s="53" t="str">
        <f>_xlfn.CONCAT(Table_PrescriptLights_Input[[#This Row],[Generalized Fixture Type]], ":",Table_PrescriptLights_Input[[#This Row],[Existing lamps per fixture]],":",Table_PrescriptLights_Input[[#This Row],[Existing lamp wattage]])</f>
        <v>0::</v>
      </c>
      <c r="AS167" s="53" t="e">
        <f>INDEX(Table_TRM_Fixtures[Fixture Code], MATCH(Table_PrescriptLights_Input[[#This Row],[Generalized Fixture Baseline Lookup]], Table_TRM_Fixtures[Generalized Baseline Fixture Lookup], 0))</f>
        <v>#N/A</v>
      </c>
      <c r="AT167"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67"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67"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67"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67"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67" s="53" t="e">
        <f>IFERROR(Table_PrescriptLights_Input[[#This Row],[Detailed Baseline Fixture Code]],Table_PrescriptLights_Input[[#This Row],[Generalized Baseline Fixture Code]])</f>
        <v>#N/A</v>
      </c>
      <c r="AZ167" s="4"/>
      <c r="BA167" s="4"/>
      <c r="BB167" s="4"/>
      <c r="BC167" s="4"/>
      <c r="BD167" s="4"/>
      <c r="BE167" s="4"/>
      <c r="BF167" s="4"/>
      <c r="BG167" s="4"/>
      <c r="BH167" s="4"/>
      <c r="BI167" s="4"/>
      <c r="BJ167" s="4"/>
      <c r="BK167" s="4"/>
      <c r="BL167" s="4"/>
      <c r="BM167" s="4"/>
      <c r="BN167" s="4"/>
      <c r="BO167" s="4"/>
      <c r="BP167" s="4"/>
      <c r="BQ167" s="4"/>
    </row>
    <row r="168" spans="1:69" x14ac:dyDescent="0.2">
      <c r="A168" s="4"/>
      <c r="B168" s="189">
        <v>164</v>
      </c>
      <c r="C168" s="61" t="str">
        <f>IFERROR(INDEX(Table_Prescript_Meas[Measure Number], MATCH(Table_PrescriptLights_Input[[#This Row],[Prescriptive lighting measure]], Table_Prescript_Meas[Measure Description], 0)), "")</f>
        <v/>
      </c>
      <c r="D168" s="192"/>
      <c r="E168" s="179"/>
      <c r="F168" s="179"/>
      <c r="G168" s="61" t="str">
        <f>IFERROR(INDEX(Table_Prescript_Meas[Unit], MATCH(Table_PrescriptLights_Input[[#This Row],[Measure number]], Table_Prescript_Meas[Measure Number], 0)), "")</f>
        <v/>
      </c>
      <c r="H168" s="180"/>
      <c r="I168" s="179"/>
      <c r="J168" s="179"/>
      <c r="K168" s="180"/>
      <c r="L168" s="179"/>
      <c r="M168" s="180"/>
      <c r="N168" s="180"/>
      <c r="O168" s="180"/>
      <c r="P168" s="180"/>
      <c r="Q168" s="180"/>
      <c r="R168" s="181"/>
      <c r="S168" s="181"/>
      <c r="T168"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68"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68" s="69" t="str">
        <f>IF(Table_PrescriptLights_Input[[#This Row],[Prescriptive lighting measure]]="","",Table_PrescriptLights_Input[[#This Row],[Calculated Energy Savings]])</f>
        <v/>
      </c>
      <c r="W168" s="73" t="str">
        <f>IF(Table_PrescriptLights_Input[[#This Row],[Prescriptive lighting measure]]="","",Table_PrescriptLights_Input[[#This Row],[Calculated Demand Savings]])</f>
        <v/>
      </c>
      <c r="X168" s="67" t="str">
        <f>IFERROR(Table_PrescriptLights_Input[[#This Row],[Energy savings (kWh)]]*Input_AvgkWhRate, "")</f>
        <v/>
      </c>
      <c r="Y168" s="67" t="str">
        <f>IF(Table_PrescriptLights_Input[[#This Row],[Prescriptive lighting measure]]="", "",Table_PrescriptLights_Input[[#This Row],[Material cost per fixture]]*Table_PrescriptLights_Input[[#This Row],[Number of proposed fixtures]]+Table_PrescriptLights_Input[[#This Row],[Total labor cost]])</f>
        <v/>
      </c>
      <c r="Z168" s="67" t="str">
        <f>IFERROR(Table_PrescriptLights_Input[[#This Row],[Gross measure cost]]-Table_PrescriptLights_Input[[#This Row],[Estimated incentive]], "")</f>
        <v/>
      </c>
      <c r="AA168" s="69" t="str">
        <f t="shared" si="5"/>
        <v/>
      </c>
      <c r="AB168" s="69" t="str">
        <f>IF(ISNUMBER(Table_PrescriptLights_Input[[#This Row],[Detailed Fixture Calculation Wattage]]), "Detailed", "General")</f>
        <v>General</v>
      </c>
      <c r="AC168" s="53" t="e">
        <f>INDEX(Table_IntExt_Match[Measure Selection List], MATCH(Table_PrescriptLights_Input[[#This Row],[Interior or exterior?]], Table_IntExt_Match[Inetrior or Exterior], 0))</f>
        <v>#N/A</v>
      </c>
      <c r="AD168" s="53" t="e">
        <f>INDEX(Table_Prescript_Meas[Unit], MATCH(C168, Table_Prescript_Meas[Measure Number], 0))</f>
        <v>#N/A</v>
      </c>
      <c r="AE168" s="53" t="e">
        <f>INDEX(Table_Prescript_Meas[Lighting Type Selection List], MATCH(C168, Table_Prescript_Meas[Measure Number], 0))</f>
        <v>#N/A</v>
      </c>
      <c r="AF168" s="53" t="e">
        <f>INDEX(Table_Prescript_Meas[AOH Type], MATCH(Table_PrescriptLights_Input[[#This Row],[Measure number]], Table_Prescript_Meas[Measure Number],0))</f>
        <v>#N/A</v>
      </c>
      <c r="AG168"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68" s="53" t="str">
        <f>_xlfn.CONCAT(Table_PrescriptLights_Input[[#This Row],[Existing lighting type]],":",Table_PrescriptLights_Input[[#This Row],[Existing lamps per fixture]], ":",Table_PrescriptLights_Input[[#This Row],[Existing lamp wattage]])</f>
        <v>::</v>
      </c>
      <c r="AI168" s="53" t="e">
        <f>INDEX(Table_TRM_Fixtures[Fixture Code], MATCH(Table_PrescriptLights_Input[[#This Row],[Detailed Baseline Fixture Lookup]], Table_TRM_Fixtures[Detailed Prescriptive Baseline Fixture Lookup], 0))</f>
        <v>#N/A</v>
      </c>
      <c r="AJ168" s="53" t="e">
        <f>INDEX(Table_TRM_Fixtures[Fixture Wattage for Baseline Calculations],MATCH(Table_PrescriptLights_Input[[#This Row],[Detailed Baseline Fixture Lookup]], Table_TRM_Fixtures[Detailed Prescriptive Baseline Fixture Lookup],0))</f>
        <v>#N/A</v>
      </c>
      <c r="AK168" s="127" t="e">
        <f>INDEX(Table_Bldg_IEFD_IEFC[IEFE], MATCH( Input_HVACType,Table_Bldg_IEFD_IEFC[List_HVAC], 0))</f>
        <v>#N/A</v>
      </c>
      <c r="AL168" s="127" t="e">
        <f>INDEX( Table_Bldg_IEFD_IEFC[IEFE],MATCH( Input_HVACType, Table_Bldg_IEFD_IEFC[List_HVAC],0 ))</f>
        <v>#N/A</v>
      </c>
      <c r="AM168" s="127" t="e">
        <f>INDEX(Table_Control_PAF[PAF], MATCH(Table_PrescriptLights_Input[[#This Row],[Existing controls]], Table_Control_PAF[List_Control_Types], 0 ) )</f>
        <v>#N/A</v>
      </c>
      <c r="AN168"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68"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68"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68" s="53">
        <f>IFERROR(LEFT(Table_PrescriptLights_Input[[#This Row],[Existing lighting type]], FIND(",",Table_PrescriptLights_Input[[#This Row],[Existing lighting type]])-1), Table_PrescriptLights_Input[[#This Row],[Existing lighting type]])</f>
        <v>0</v>
      </c>
      <c r="AR168" s="53" t="str">
        <f>_xlfn.CONCAT(Table_PrescriptLights_Input[[#This Row],[Generalized Fixture Type]], ":",Table_PrescriptLights_Input[[#This Row],[Existing lamps per fixture]],":",Table_PrescriptLights_Input[[#This Row],[Existing lamp wattage]])</f>
        <v>0::</v>
      </c>
      <c r="AS168" s="53" t="e">
        <f>INDEX(Table_TRM_Fixtures[Fixture Code], MATCH(Table_PrescriptLights_Input[[#This Row],[Generalized Fixture Baseline Lookup]], Table_TRM_Fixtures[Generalized Baseline Fixture Lookup], 0))</f>
        <v>#N/A</v>
      </c>
      <c r="AT168"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68"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68"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68"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68"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68" s="53" t="e">
        <f>IFERROR(Table_PrescriptLights_Input[[#This Row],[Detailed Baseline Fixture Code]],Table_PrescriptLights_Input[[#This Row],[Generalized Baseline Fixture Code]])</f>
        <v>#N/A</v>
      </c>
      <c r="AZ168" s="4"/>
      <c r="BA168" s="4"/>
      <c r="BB168" s="4"/>
      <c r="BC168" s="4"/>
      <c r="BD168" s="4"/>
      <c r="BE168" s="4"/>
      <c r="BF168" s="4"/>
      <c r="BG168" s="4"/>
      <c r="BH168" s="4"/>
      <c r="BI168" s="4"/>
      <c r="BJ168" s="4"/>
      <c r="BK168" s="4"/>
      <c r="BL168" s="4"/>
      <c r="BM168" s="4"/>
      <c r="BN168" s="4"/>
      <c r="BO168" s="4"/>
      <c r="BP168" s="4"/>
      <c r="BQ168" s="4"/>
    </row>
    <row r="169" spans="1:69" x14ac:dyDescent="0.2">
      <c r="A169" s="4"/>
      <c r="B169" s="189">
        <v>165</v>
      </c>
      <c r="C169" s="61" t="str">
        <f>IFERROR(INDEX(Table_Prescript_Meas[Measure Number], MATCH(Table_PrescriptLights_Input[[#This Row],[Prescriptive lighting measure]], Table_Prescript_Meas[Measure Description], 0)), "")</f>
        <v/>
      </c>
      <c r="D169" s="192"/>
      <c r="E169" s="179"/>
      <c r="F169" s="179"/>
      <c r="G169" s="61" t="str">
        <f>IFERROR(INDEX(Table_Prescript_Meas[Unit], MATCH(Table_PrescriptLights_Input[[#This Row],[Measure number]], Table_Prescript_Meas[Measure Number], 0)), "")</f>
        <v/>
      </c>
      <c r="H169" s="180"/>
      <c r="I169" s="179"/>
      <c r="J169" s="179"/>
      <c r="K169" s="180"/>
      <c r="L169" s="179"/>
      <c r="M169" s="180"/>
      <c r="N169" s="180"/>
      <c r="O169" s="180"/>
      <c r="P169" s="180"/>
      <c r="Q169" s="180"/>
      <c r="R169" s="181"/>
      <c r="S169" s="181"/>
      <c r="T169"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69"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69" s="69" t="str">
        <f>IF(Table_PrescriptLights_Input[[#This Row],[Prescriptive lighting measure]]="","",Table_PrescriptLights_Input[[#This Row],[Calculated Energy Savings]])</f>
        <v/>
      </c>
      <c r="W169" s="73" t="str">
        <f>IF(Table_PrescriptLights_Input[[#This Row],[Prescriptive lighting measure]]="","",Table_PrescriptLights_Input[[#This Row],[Calculated Demand Savings]])</f>
        <v/>
      </c>
      <c r="X169" s="67" t="str">
        <f>IFERROR(Table_PrescriptLights_Input[[#This Row],[Energy savings (kWh)]]*Input_AvgkWhRate, "")</f>
        <v/>
      </c>
      <c r="Y169" s="67" t="str">
        <f>IF(Table_PrescriptLights_Input[[#This Row],[Prescriptive lighting measure]]="", "",Table_PrescriptLights_Input[[#This Row],[Material cost per fixture]]*Table_PrescriptLights_Input[[#This Row],[Number of proposed fixtures]]+Table_PrescriptLights_Input[[#This Row],[Total labor cost]])</f>
        <v/>
      </c>
      <c r="Z169" s="67" t="str">
        <f>IFERROR(Table_PrescriptLights_Input[[#This Row],[Gross measure cost]]-Table_PrescriptLights_Input[[#This Row],[Estimated incentive]], "")</f>
        <v/>
      </c>
      <c r="AA169" s="69" t="str">
        <f t="shared" si="5"/>
        <v/>
      </c>
      <c r="AB169" s="69" t="str">
        <f>IF(ISNUMBER(Table_PrescriptLights_Input[[#This Row],[Detailed Fixture Calculation Wattage]]), "Detailed", "General")</f>
        <v>General</v>
      </c>
      <c r="AC169" s="53" t="e">
        <f>INDEX(Table_IntExt_Match[Measure Selection List], MATCH(Table_PrescriptLights_Input[[#This Row],[Interior or exterior?]], Table_IntExt_Match[Inetrior or Exterior], 0))</f>
        <v>#N/A</v>
      </c>
      <c r="AD169" s="53" t="e">
        <f>INDEX(Table_Prescript_Meas[Unit], MATCH(C169, Table_Prescript_Meas[Measure Number], 0))</f>
        <v>#N/A</v>
      </c>
      <c r="AE169" s="53" t="e">
        <f>INDEX(Table_Prescript_Meas[Lighting Type Selection List], MATCH(C169, Table_Prescript_Meas[Measure Number], 0))</f>
        <v>#N/A</v>
      </c>
      <c r="AF169" s="53" t="e">
        <f>INDEX(Table_Prescript_Meas[AOH Type], MATCH(Table_PrescriptLights_Input[[#This Row],[Measure number]], Table_Prescript_Meas[Measure Number],0))</f>
        <v>#N/A</v>
      </c>
      <c r="AG169"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69" s="53" t="str">
        <f>_xlfn.CONCAT(Table_PrescriptLights_Input[[#This Row],[Existing lighting type]],":",Table_PrescriptLights_Input[[#This Row],[Existing lamps per fixture]], ":",Table_PrescriptLights_Input[[#This Row],[Existing lamp wattage]])</f>
        <v>::</v>
      </c>
      <c r="AI169" s="53" t="e">
        <f>INDEX(Table_TRM_Fixtures[Fixture Code], MATCH(Table_PrescriptLights_Input[[#This Row],[Detailed Baseline Fixture Lookup]], Table_TRM_Fixtures[Detailed Prescriptive Baseline Fixture Lookup], 0))</f>
        <v>#N/A</v>
      </c>
      <c r="AJ169" s="53" t="e">
        <f>INDEX(Table_TRM_Fixtures[Fixture Wattage for Baseline Calculations],MATCH(Table_PrescriptLights_Input[[#This Row],[Detailed Baseline Fixture Lookup]], Table_TRM_Fixtures[Detailed Prescriptive Baseline Fixture Lookup],0))</f>
        <v>#N/A</v>
      </c>
      <c r="AK169" s="127" t="e">
        <f>INDEX(Table_Bldg_IEFD_IEFC[IEFE], MATCH( Input_HVACType,Table_Bldg_IEFD_IEFC[List_HVAC], 0))</f>
        <v>#N/A</v>
      </c>
      <c r="AL169" s="127" t="e">
        <f>INDEX( Table_Bldg_IEFD_IEFC[IEFE],MATCH( Input_HVACType, Table_Bldg_IEFD_IEFC[List_HVAC],0 ))</f>
        <v>#N/A</v>
      </c>
      <c r="AM169" s="127" t="e">
        <f>INDEX(Table_Control_PAF[PAF], MATCH(Table_PrescriptLights_Input[[#This Row],[Existing controls]], Table_Control_PAF[List_Control_Types], 0 ) )</f>
        <v>#N/A</v>
      </c>
      <c r="AN169"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69"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69"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69" s="53">
        <f>IFERROR(LEFT(Table_PrescriptLights_Input[[#This Row],[Existing lighting type]], FIND(",",Table_PrescriptLights_Input[[#This Row],[Existing lighting type]])-1), Table_PrescriptLights_Input[[#This Row],[Existing lighting type]])</f>
        <v>0</v>
      </c>
      <c r="AR169" s="53" t="str">
        <f>_xlfn.CONCAT(Table_PrescriptLights_Input[[#This Row],[Generalized Fixture Type]], ":",Table_PrescriptLights_Input[[#This Row],[Existing lamps per fixture]],":",Table_PrescriptLights_Input[[#This Row],[Existing lamp wattage]])</f>
        <v>0::</v>
      </c>
      <c r="AS169" s="53" t="e">
        <f>INDEX(Table_TRM_Fixtures[Fixture Code], MATCH(Table_PrescriptLights_Input[[#This Row],[Generalized Fixture Baseline Lookup]], Table_TRM_Fixtures[Generalized Baseline Fixture Lookup], 0))</f>
        <v>#N/A</v>
      </c>
      <c r="AT169"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69"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69"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69"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69"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69" s="53" t="e">
        <f>IFERROR(Table_PrescriptLights_Input[[#This Row],[Detailed Baseline Fixture Code]],Table_PrescriptLights_Input[[#This Row],[Generalized Baseline Fixture Code]])</f>
        <v>#N/A</v>
      </c>
      <c r="AZ169" s="4"/>
      <c r="BA169" s="4"/>
      <c r="BB169" s="4"/>
      <c r="BC169" s="4"/>
      <c r="BD169" s="4"/>
      <c r="BE169" s="4"/>
      <c r="BF169" s="4"/>
      <c r="BG169" s="4"/>
      <c r="BH169" s="4"/>
      <c r="BI169" s="4"/>
      <c r="BJ169" s="4"/>
      <c r="BK169" s="4"/>
      <c r="BL169" s="4"/>
      <c r="BM169" s="4"/>
      <c r="BN169" s="4"/>
      <c r="BO169" s="4"/>
      <c r="BP169" s="4"/>
      <c r="BQ169" s="4"/>
    </row>
    <row r="170" spans="1:69" x14ac:dyDescent="0.2">
      <c r="A170" s="4"/>
      <c r="B170" s="189">
        <v>166</v>
      </c>
      <c r="C170" s="61" t="str">
        <f>IFERROR(INDEX(Table_Prescript_Meas[Measure Number], MATCH(Table_PrescriptLights_Input[[#This Row],[Prescriptive lighting measure]], Table_Prescript_Meas[Measure Description], 0)), "")</f>
        <v/>
      </c>
      <c r="D170" s="192"/>
      <c r="E170" s="179"/>
      <c r="F170" s="179"/>
      <c r="G170" s="61" t="str">
        <f>IFERROR(INDEX(Table_Prescript_Meas[Unit], MATCH(Table_PrescriptLights_Input[[#This Row],[Measure number]], Table_Prescript_Meas[Measure Number], 0)), "")</f>
        <v/>
      </c>
      <c r="H170" s="180"/>
      <c r="I170" s="179"/>
      <c r="J170" s="179"/>
      <c r="K170" s="180"/>
      <c r="L170" s="179"/>
      <c r="M170" s="180"/>
      <c r="N170" s="180"/>
      <c r="O170" s="180"/>
      <c r="P170" s="180"/>
      <c r="Q170" s="180"/>
      <c r="R170" s="181"/>
      <c r="S170" s="181"/>
      <c r="T170"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70"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70" s="69" t="str">
        <f>IF(Table_PrescriptLights_Input[[#This Row],[Prescriptive lighting measure]]="","",Table_PrescriptLights_Input[[#This Row],[Calculated Energy Savings]])</f>
        <v/>
      </c>
      <c r="W170" s="73" t="str">
        <f>IF(Table_PrescriptLights_Input[[#This Row],[Prescriptive lighting measure]]="","",Table_PrescriptLights_Input[[#This Row],[Calculated Demand Savings]])</f>
        <v/>
      </c>
      <c r="X170" s="67" t="str">
        <f>IFERROR(Table_PrescriptLights_Input[[#This Row],[Energy savings (kWh)]]*Input_AvgkWhRate, "")</f>
        <v/>
      </c>
      <c r="Y170" s="67" t="str">
        <f>IF(Table_PrescriptLights_Input[[#This Row],[Prescriptive lighting measure]]="", "",Table_PrescriptLights_Input[[#This Row],[Material cost per fixture]]*Table_PrescriptLights_Input[[#This Row],[Number of proposed fixtures]]+Table_PrescriptLights_Input[[#This Row],[Total labor cost]])</f>
        <v/>
      </c>
      <c r="Z170" s="67" t="str">
        <f>IFERROR(Table_PrescriptLights_Input[[#This Row],[Gross measure cost]]-Table_PrescriptLights_Input[[#This Row],[Estimated incentive]], "")</f>
        <v/>
      </c>
      <c r="AA170" s="69" t="str">
        <f t="shared" si="5"/>
        <v/>
      </c>
      <c r="AB170" s="69" t="str">
        <f>IF(ISNUMBER(Table_PrescriptLights_Input[[#This Row],[Detailed Fixture Calculation Wattage]]), "Detailed", "General")</f>
        <v>General</v>
      </c>
      <c r="AC170" s="53" t="e">
        <f>INDEX(Table_IntExt_Match[Measure Selection List], MATCH(Table_PrescriptLights_Input[[#This Row],[Interior or exterior?]], Table_IntExt_Match[Inetrior or Exterior], 0))</f>
        <v>#N/A</v>
      </c>
      <c r="AD170" s="53" t="e">
        <f>INDEX(Table_Prescript_Meas[Unit], MATCH(C170, Table_Prescript_Meas[Measure Number], 0))</f>
        <v>#N/A</v>
      </c>
      <c r="AE170" s="53" t="e">
        <f>INDEX(Table_Prescript_Meas[Lighting Type Selection List], MATCH(C170, Table_Prescript_Meas[Measure Number], 0))</f>
        <v>#N/A</v>
      </c>
      <c r="AF170" s="53" t="e">
        <f>INDEX(Table_Prescript_Meas[AOH Type], MATCH(Table_PrescriptLights_Input[[#This Row],[Measure number]], Table_Prescript_Meas[Measure Number],0))</f>
        <v>#N/A</v>
      </c>
      <c r="AG170"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70" s="53" t="str">
        <f>_xlfn.CONCAT(Table_PrescriptLights_Input[[#This Row],[Existing lighting type]],":",Table_PrescriptLights_Input[[#This Row],[Existing lamps per fixture]], ":",Table_PrescriptLights_Input[[#This Row],[Existing lamp wattage]])</f>
        <v>::</v>
      </c>
      <c r="AI170" s="53" t="e">
        <f>INDEX(Table_TRM_Fixtures[Fixture Code], MATCH(Table_PrescriptLights_Input[[#This Row],[Detailed Baseline Fixture Lookup]], Table_TRM_Fixtures[Detailed Prescriptive Baseline Fixture Lookup], 0))</f>
        <v>#N/A</v>
      </c>
      <c r="AJ170" s="53" t="e">
        <f>INDEX(Table_TRM_Fixtures[Fixture Wattage for Baseline Calculations],MATCH(Table_PrescriptLights_Input[[#This Row],[Detailed Baseline Fixture Lookup]], Table_TRM_Fixtures[Detailed Prescriptive Baseline Fixture Lookup],0))</f>
        <v>#N/A</v>
      </c>
      <c r="AK170" s="127" t="e">
        <f>INDEX(Table_Bldg_IEFD_IEFC[IEFE], MATCH( Input_HVACType,Table_Bldg_IEFD_IEFC[List_HVAC], 0))</f>
        <v>#N/A</v>
      </c>
      <c r="AL170" s="127" t="e">
        <f>INDEX( Table_Bldg_IEFD_IEFC[IEFE],MATCH( Input_HVACType, Table_Bldg_IEFD_IEFC[List_HVAC],0 ))</f>
        <v>#N/A</v>
      </c>
      <c r="AM170" s="127" t="e">
        <f>INDEX(Table_Control_PAF[PAF], MATCH(Table_PrescriptLights_Input[[#This Row],[Existing controls]], Table_Control_PAF[List_Control_Types], 0 ) )</f>
        <v>#N/A</v>
      </c>
      <c r="AN170"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70"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70"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70" s="53">
        <f>IFERROR(LEFT(Table_PrescriptLights_Input[[#This Row],[Existing lighting type]], FIND(",",Table_PrescriptLights_Input[[#This Row],[Existing lighting type]])-1), Table_PrescriptLights_Input[[#This Row],[Existing lighting type]])</f>
        <v>0</v>
      </c>
      <c r="AR170" s="53" t="str">
        <f>_xlfn.CONCAT(Table_PrescriptLights_Input[[#This Row],[Generalized Fixture Type]], ":",Table_PrescriptLights_Input[[#This Row],[Existing lamps per fixture]],":",Table_PrescriptLights_Input[[#This Row],[Existing lamp wattage]])</f>
        <v>0::</v>
      </c>
      <c r="AS170" s="53" t="e">
        <f>INDEX(Table_TRM_Fixtures[Fixture Code], MATCH(Table_PrescriptLights_Input[[#This Row],[Generalized Fixture Baseline Lookup]], Table_TRM_Fixtures[Generalized Baseline Fixture Lookup], 0))</f>
        <v>#N/A</v>
      </c>
      <c r="AT170"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70"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70"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70"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70"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70" s="53" t="e">
        <f>IFERROR(Table_PrescriptLights_Input[[#This Row],[Detailed Baseline Fixture Code]],Table_PrescriptLights_Input[[#This Row],[Generalized Baseline Fixture Code]])</f>
        <v>#N/A</v>
      </c>
      <c r="AZ170" s="4"/>
      <c r="BA170" s="4"/>
      <c r="BB170" s="4"/>
      <c r="BC170" s="4"/>
      <c r="BD170" s="4"/>
      <c r="BE170" s="4"/>
      <c r="BF170" s="4"/>
      <c r="BG170" s="4"/>
      <c r="BH170" s="4"/>
      <c r="BI170" s="4"/>
      <c r="BJ170" s="4"/>
      <c r="BK170" s="4"/>
      <c r="BL170" s="4"/>
      <c r="BM170" s="4"/>
      <c r="BN170" s="4"/>
      <c r="BO170" s="4"/>
      <c r="BP170" s="4"/>
      <c r="BQ170" s="4"/>
    </row>
    <row r="171" spans="1:69" x14ac:dyDescent="0.2">
      <c r="A171" s="4"/>
      <c r="B171" s="189">
        <v>167</v>
      </c>
      <c r="C171" s="61" t="str">
        <f>IFERROR(INDEX(Table_Prescript_Meas[Measure Number], MATCH(Table_PrescriptLights_Input[[#This Row],[Prescriptive lighting measure]], Table_Prescript_Meas[Measure Description], 0)), "")</f>
        <v/>
      </c>
      <c r="D171" s="192"/>
      <c r="E171" s="179"/>
      <c r="F171" s="179"/>
      <c r="G171" s="61" t="str">
        <f>IFERROR(INDEX(Table_Prescript_Meas[Unit], MATCH(Table_PrescriptLights_Input[[#This Row],[Measure number]], Table_Prescript_Meas[Measure Number], 0)), "")</f>
        <v/>
      </c>
      <c r="H171" s="180"/>
      <c r="I171" s="179"/>
      <c r="J171" s="179"/>
      <c r="K171" s="180"/>
      <c r="L171" s="179"/>
      <c r="M171" s="180"/>
      <c r="N171" s="180"/>
      <c r="O171" s="180"/>
      <c r="P171" s="180"/>
      <c r="Q171" s="180"/>
      <c r="R171" s="181"/>
      <c r="S171" s="181"/>
      <c r="T171"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71"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71" s="69" t="str">
        <f>IF(Table_PrescriptLights_Input[[#This Row],[Prescriptive lighting measure]]="","",Table_PrescriptLights_Input[[#This Row],[Calculated Energy Savings]])</f>
        <v/>
      </c>
      <c r="W171" s="73" t="str">
        <f>IF(Table_PrescriptLights_Input[[#This Row],[Prescriptive lighting measure]]="","",Table_PrescriptLights_Input[[#This Row],[Calculated Demand Savings]])</f>
        <v/>
      </c>
      <c r="X171" s="67" t="str">
        <f>IFERROR(Table_PrescriptLights_Input[[#This Row],[Energy savings (kWh)]]*Input_AvgkWhRate, "")</f>
        <v/>
      </c>
      <c r="Y171" s="67" t="str">
        <f>IF(Table_PrescriptLights_Input[[#This Row],[Prescriptive lighting measure]]="", "",Table_PrescriptLights_Input[[#This Row],[Material cost per fixture]]*Table_PrescriptLights_Input[[#This Row],[Number of proposed fixtures]]+Table_PrescriptLights_Input[[#This Row],[Total labor cost]])</f>
        <v/>
      </c>
      <c r="Z171" s="67" t="str">
        <f>IFERROR(Table_PrescriptLights_Input[[#This Row],[Gross measure cost]]-Table_PrescriptLights_Input[[#This Row],[Estimated incentive]], "")</f>
        <v/>
      </c>
      <c r="AA171" s="69" t="str">
        <f t="shared" si="5"/>
        <v/>
      </c>
      <c r="AB171" s="69" t="str">
        <f>IF(ISNUMBER(Table_PrescriptLights_Input[[#This Row],[Detailed Fixture Calculation Wattage]]), "Detailed", "General")</f>
        <v>General</v>
      </c>
      <c r="AC171" s="53" t="e">
        <f>INDEX(Table_IntExt_Match[Measure Selection List], MATCH(Table_PrescriptLights_Input[[#This Row],[Interior or exterior?]], Table_IntExt_Match[Inetrior or Exterior], 0))</f>
        <v>#N/A</v>
      </c>
      <c r="AD171" s="53" t="e">
        <f>INDEX(Table_Prescript_Meas[Unit], MATCH(C171, Table_Prescript_Meas[Measure Number], 0))</f>
        <v>#N/A</v>
      </c>
      <c r="AE171" s="53" t="e">
        <f>INDEX(Table_Prescript_Meas[Lighting Type Selection List], MATCH(C171, Table_Prescript_Meas[Measure Number], 0))</f>
        <v>#N/A</v>
      </c>
      <c r="AF171" s="53" t="e">
        <f>INDEX(Table_Prescript_Meas[AOH Type], MATCH(Table_PrescriptLights_Input[[#This Row],[Measure number]], Table_Prescript_Meas[Measure Number],0))</f>
        <v>#N/A</v>
      </c>
      <c r="AG171"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71" s="53" t="str">
        <f>_xlfn.CONCAT(Table_PrescriptLights_Input[[#This Row],[Existing lighting type]],":",Table_PrescriptLights_Input[[#This Row],[Existing lamps per fixture]], ":",Table_PrescriptLights_Input[[#This Row],[Existing lamp wattage]])</f>
        <v>::</v>
      </c>
      <c r="AI171" s="53" t="e">
        <f>INDEX(Table_TRM_Fixtures[Fixture Code], MATCH(Table_PrescriptLights_Input[[#This Row],[Detailed Baseline Fixture Lookup]], Table_TRM_Fixtures[Detailed Prescriptive Baseline Fixture Lookup], 0))</f>
        <v>#N/A</v>
      </c>
      <c r="AJ171" s="53" t="e">
        <f>INDEX(Table_TRM_Fixtures[Fixture Wattage for Baseline Calculations],MATCH(Table_PrescriptLights_Input[[#This Row],[Detailed Baseline Fixture Lookup]], Table_TRM_Fixtures[Detailed Prescriptive Baseline Fixture Lookup],0))</f>
        <v>#N/A</v>
      </c>
      <c r="AK171" s="127" t="e">
        <f>INDEX(Table_Bldg_IEFD_IEFC[IEFE], MATCH( Input_HVACType,Table_Bldg_IEFD_IEFC[List_HVAC], 0))</f>
        <v>#N/A</v>
      </c>
      <c r="AL171" s="127" t="e">
        <f>INDEX( Table_Bldg_IEFD_IEFC[IEFE],MATCH( Input_HVACType, Table_Bldg_IEFD_IEFC[List_HVAC],0 ))</f>
        <v>#N/A</v>
      </c>
      <c r="AM171" s="127" t="e">
        <f>INDEX(Table_Control_PAF[PAF], MATCH(Table_PrescriptLights_Input[[#This Row],[Existing controls]], Table_Control_PAF[List_Control_Types], 0 ) )</f>
        <v>#N/A</v>
      </c>
      <c r="AN171"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71"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71"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71" s="53">
        <f>IFERROR(LEFT(Table_PrescriptLights_Input[[#This Row],[Existing lighting type]], FIND(",",Table_PrescriptLights_Input[[#This Row],[Existing lighting type]])-1), Table_PrescriptLights_Input[[#This Row],[Existing lighting type]])</f>
        <v>0</v>
      </c>
      <c r="AR171" s="53" t="str">
        <f>_xlfn.CONCAT(Table_PrescriptLights_Input[[#This Row],[Generalized Fixture Type]], ":",Table_PrescriptLights_Input[[#This Row],[Existing lamps per fixture]],":",Table_PrescriptLights_Input[[#This Row],[Existing lamp wattage]])</f>
        <v>0::</v>
      </c>
      <c r="AS171" s="53" t="e">
        <f>INDEX(Table_TRM_Fixtures[Fixture Code], MATCH(Table_PrescriptLights_Input[[#This Row],[Generalized Fixture Baseline Lookup]], Table_TRM_Fixtures[Generalized Baseline Fixture Lookup], 0))</f>
        <v>#N/A</v>
      </c>
      <c r="AT171"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71"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71"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71"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71"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71" s="53" t="e">
        <f>IFERROR(Table_PrescriptLights_Input[[#This Row],[Detailed Baseline Fixture Code]],Table_PrescriptLights_Input[[#This Row],[Generalized Baseline Fixture Code]])</f>
        <v>#N/A</v>
      </c>
      <c r="AZ171" s="4"/>
      <c r="BA171" s="4"/>
      <c r="BB171" s="4"/>
      <c r="BC171" s="4"/>
      <c r="BD171" s="4"/>
      <c r="BE171" s="4"/>
      <c r="BF171" s="4"/>
      <c r="BG171" s="4"/>
      <c r="BH171" s="4"/>
      <c r="BI171" s="4"/>
      <c r="BJ171" s="4"/>
      <c r="BK171" s="4"/>
      <c r="BL171" s="4"/>
      <c r="BM171" s="4"/>
      <c r="BN171" s="4"/>
      <c r="BO171" s="4"/>
      <c r="BP171" s="4"/>
      <c r="BQ171" s="4"/>
    </row>
    <row r="172" spans="1:69" x14ac:dyDescent="0.2">
      <c r="A172" s="4"/>
      <c r="B172" s="189">
        <v>168</v>
      </c>
      <c r="C172" s="61" t="str">
        <f>IFERROR(INDEX(Table_Prescript_Meas[Measure Number], MATCH(Table_PrescriptLights_Input[[#This Row],[Prescriptive lighting measure]], Table_Prescript_Meas[Measure Description], 0)), "")</f>
        <v/>
      </c>
      <c r="D172" s="192"/>
      <c r="E172" s="179"/>
      <c r="F172" s="179"/>
      <c r="G172" s="61" t="str">
        <f>IFERROR(INDEX(Table_Prescript_Meas[Unit], MATCH(Table_PrescriptLights_Input[[#This Row],[Measure number]], Table_Prescript_Meas[Measure Number], 0)), "")</f>
        <v/>
      </c>
      <c r="H172" s="180"/>
      <c r="I172" s="179"/>
      <c r="J172" s="179"/>
      <c r="K172" s="180"/>
      <c r="L172" s="179"/>
      <c r="M172" s="180"/>
      <c r="N172" s="180"/>
      <c r="O172" s="180"/>
      <c r="P172" s="180"/>
      <c r="Q172" s="180"/>
      <c r="R172" s="181"/>
      <c r="S172" s="181"/>
      <c r="T172"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72"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72" s="69" t="str">
        <f>IF(Table_PrescriptLights_Input[[#This Row],[Prescriptive lighting measure]]="","",Table_PrescriptLights_Input[[#This Row],[Calculated Energy Savings]])</f>
        <v/>
      </c>
      <c r="W172" s="73" t="str">
        <f>IF(Table_PrescriptLights_Input[[#This Row],[Prescriptive lighting measure]]="","",Table_PrescriptLights_Input[[#This Row],[Calculated Demand Savings]])</f>
        <v/>
      </c>
      <c r="X172" s="67" t="str">
        <f>IFERROR(Table_PrescriptLights_Input[[#This Row],[Energy savings (kWh)]]*Input_AvgkWhRate, "")</f>
        <v/>
      </c>
      <c r="Y172" s="67" t="str">
        <f>IF(Table_PrescriptLights_Input[[#This Row],[Prescriptive lighting measure]]="", "",Table_PrescriptLights_Input[[#This Row],[Material cost per fixture]]*Table_PrescriptLights_Input[[#This Row],[Number of proposed fixtures]]+Table_PrescriptLights_Input[[#This Row],[Total labor cost]])</f>
        <v/>
      </c>
      <c r="Z172" s="67" t="str">
        <f>IFERROR(Table_PrescriptLights_Input[[#This Row],[Gross measure cost]]-Table_PrescriptLights_Input[[#This Row],[Estimated incentive]], "")</f>
        <v/>
      </c>
      <c r="AA172" s="69" t="str">
        <f t="shared" si="5"/>
        <v/>
      </c>
      <c r="AB172" s="69" t="str">
        <f>IF(ISNUMBER(Table_PrescriptLights_Input[[#This Row],[Detailed Fixture Calculation Wattage]]), "Detailed", "General")</f>
        <v>General</v>
      </c>
      <c r="AC172" s="53" t="e">
        <f>INDEX(Table_IntExt_Match[Measure Selection List], MATCH(Table_PrescriptLights_Input[[#This Row],[Interior or exterior?]], Table_IntExt_Match[Inetrior or Exterior], 0))</f>
        <v>#N/A</v>
      </c>
      <c r="AD172" s="53" t="e">
        <f>INDEX(Table_Prescript_Meas[Unit], MATCH(C172, Table_Prescript_Meas[Measure Number], 0))</f>
        <v>#N/A</v>
      </c>
      <c r="AE172" s="53" t="e">
        <f>INDEX(Table_Prescript_Meas[Lighting Type Selection List], MATCH(C172, Table_Prescript_Meas[Measure Number], 0))</f>
        <v>#N/A</v>
      </c>
      <c r="AF172" s="53" t="e">
        <f>INDEX(Table_Prescript_Meas[AOH Type], MATCH(Table_PrescriptLights_Input[[#This Row],[Measure number]], Table_Prescript_Meas[Measure Number],0))</f>
        <v>#N/A</v>
      </c>
      <c r="AG172"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72" s="53" t="str">
        <f>_xlfn.CONCAT(Table_PrescriptLights_Input[[#This Row],[Existing lighting type]],":",Table_PrescriptLights_Input[[#This Row],[Existing lamps per fixture]], ":",Table_PrescriptLights_Input[[#This Row],[Existing lamp wattage]])</f>
        <v>::</v>
      </c>
      <c r="AI172" s="53" t="e">
        <f>INDEX(Table_TRM_Fixtures[Fixture Code], MATCH(Table_PrescriptLights_Input[[#This Row],[Detailed Baseline Fixture Lookup]], Table_TRM_Fixtures[Detailed Prescriptive Baseline Fixture Lookup], 0))</f>
        <v>#N/A</v>
      </c>
      <c r="AJ172" s="53" t="e">
        <f>INDEX(Table_TRM_Fixtures[Fixture Wattage for Baseline Calculations],MATCH(Table_PrescriptLights_Input[[#This Row],[Detailed Baseline Fixture Lookup]], Table_TRM_Fixtures[Detailed Prescriptive Baseline Fixture Lookup],0))</f>
        <v>#N/A</v>
      </c>
      <c r="AK172" s="127" t="e">
        <f>INDEX(Table_Bldg_IEFD_IEFC[IEFE], MATCH( Input_HVACType,Table_Bldg_IEFD_IEFC[List_HVAC], 0))</f>
        <v>#N/A</v>
      </c>
      <c r="AL172" s="127" t="e">
        <f>INDEX( Table_Bldg_IEFD_IEFC[IEFE],MATCH( Input_HVACType, Table_Bldg_IEFD_IEFC[List_HVAC],0 ))</f>
        <v>#N/A</v>
      </c>
      <c r="AM172" s="127" t="e">
        <f>INDEX(Table_Control_PAF[PAF], MATCH(Table_PrescriptLights_Input[[#This Row],[Existing controls]], Table_Control_PAF[List_Control_Types], 0 ) )</f>
        <v>#N/A</v>
      </c>
      <c r="AN172"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72"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72"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72" s="53">
        <f>IFERROR(LEFT(Table_PrescriptLights_Input[[#This Row],[Existing lighting type]], FIND(",",Table_PrescriptLights_Input[[#This Row],[Existing lighting type]])-1), Table_PrescriptLights_Input[[#This Row],[Existing lighting type]])</f>
        <v>0</v>
      </c>
      <c r="AR172" s="53" t="str">
        <f>_xlfn.CONCAT(Table_PrescriptLights_Input[[#This Row],[Generalized Fixture Type]], ":",Table_PrescriptLights_Input[[#This Row],[Existing lamps per fixture]],":",Table_PrescriptLights_Input[[#This Row],[Existing lamp wattage]])</f>
        <v>0::</v>
      </c>
      <c r="AS172" s="53" t="e">
        <f>INDEX(Table_TRM_Fixtures[Fixture Code], MATCH(Table_PrescriptLights_Input[[#This Row],[Generalized Fixture Baseline Lookup]], Table_TRM_Fixtures[Generalized Baseline Fixture Lookup], 0))</f>
        <v>#N/A</v>
      </c>
      <c r="AT172"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72"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72"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72"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72"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72" s="53" t="e">
        <f>IFERROR(Table_PrescriptLights_Input[[#This Row],[Detailed Baseline Fixture Code]],Table_PrescriptLights_Input[[#This Row],[Generalized Baseline Fixture Code]])</f>
        <v>#N/A</v>
      </c>
      <c r="AZ172" s="4"/>
      <c r="BA172" s="4"/>
      <c r="BB172" s="4"/>
      <c r="BC172" s="4"/>
      <c r="BD172" s="4"/>
      <c r="BE172" s="4"/>
      <c r="BF172" s="4"/>
      <c r="BG172" s="4"/>
      <c r="BH172" s="4"/>
      <c r="BI172" s="4"/>
      <c r="BJ172" s="4"/>
      <c r="BK172" s="4"/>
      <c r="BL172" s="4"/>
      <c r="BM172" s="4"/>
      <c r="BN172" s="4"/>
      <c r="BO172" s="4"/>
      <c r="BP172" s="4"/>
      <c r="BQ172" s="4"/>
    </row>
    <row r="173" spans="1:69" x14ac:dyDescent="0.2">
      <c r="A173" s="4"/>
      <c r="B173" s="189">
        <v>169</v>
      </c>
      <c r="C173" s="61" t="str">
        <f>IFERROR(INDEX(Table_Prescript_Meas[Measure Number], MATCH(Table_PrescriptLights_Input[[#This Row],[Prescriptive lighting measure]], Table_Prescript_Meas[Measure Description], 0)), "")</f>
        <v/>
      </c>
      <c r="D173" s="192"/>
      <c r="E173" s="179"/>
      <c r="F173" s="179"/>
      <c r="G173" s="61" t="str">
        <f>IFERROR(INDEX(Table_Prescript_Meas[Unit], MATCH(Table_PrescriptLights_Input[[#This Row],[Measure number]], Table_Prescript_Meas[Measure Number], 0)), "")</f>
        <v/>
      </c>
      <c r="H173" s="180"/>
      <c r="I173" s="179"/>
      <c r="J173" s="179"/>
      <c r="K173" s="180"/>
      <c r="L173" s="179"/>
      <c r="M173" s="180"/>
      <c r="N173" s="180"/>
      <c r="O173" s="180"/>
      <c r="P173" s="180"/>
      <c r="Q173" s="180"/>
      <c r="R173" s="181"/>
      <c r="S173" s="181"/>
      <c r="T173"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73"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73" s="69" t="str">
        <f>IF(Table_PrescriptLights_Input[[#This Row],[Prescriptive lighting measure]]="","",Table_PrescriptLights_Input[[#This Row],[Calculated Energy Savings]])</f>
        <v/>
      </c>
      <c r="W173" s="73" t="str">
        <f>IF(Table_PrescriptLights_Input[[#This Row],[Prescriptive lighting measure]]="","",Table_PrescriptLights_Input[[#This Row],[Calculated Demand Savings]])</f>
        <v/>
      </c>
      <c r="X173" s="67" t="str">
        <f>IFERROR(Table_PrescriptLights_Input[[#This Row],[Energy savings (kWh)]]*Input_AvgkWhRate, "")</f>
        <v/>
      </c>
      <c r="Y173" s="67" t="str">
        <f>IF(Table_PrescriptLights_Input[[#This Row],[Prescriptive lighting measure]]="", "",Table_PrescriptLights_Input[[#This Row],[Material cost per fixture]]*Table_PrescriptLights_Input[[#This Row],[Number of proposed fixtures]]+Table_PrescriptLights_Input[[#This Row],[Total labor cost]])</f>
        <v/>
      </c>
      <c r="Z173" s="67" t="str">
        <f>IFERROR(Table_PrescriptLights_Input[[#This Row],[Gross measure cost]]-Table_PrescriptLights_Input[[#This Row],[Estimated incentive]], "")</f>
        <v/>
      </c>
      <c r="AA173" s="69" t="str">
        <f t="shared" si="5"/>
        <v/>
      </c>
      <c r="AB173" s="69" t="str">
        <f>IF(ISNUMBER(Table_PrescriptLights_Input[[#This Row],[Detailed Fixture Calculation Wattage]]), "Detailed", "General")</f>
        <v>General</v>
      </c>
      <c r="AC173" s="53" t="e">
        <f>INDEX(Table_IntExt_Match[Measure Selection List], MATCH(Table_PrescriptLights_Input[[#This Row],[Interior or exterior?]], Table_IntExt_Match[Inetrior or Exterior], 0))</f>
        <v>#N/A</v>
      </c>
      <c r="AD173" s="53" t="e">
        <f>INDEX(Table_Prescript_Meas[Unit], MATCH(C173, Table_Prescript_Meas[Measure Number], 0))</f>
        <v>#N/A</v>
      </c>
      <c r="AE173" s="53" t="e">
        <f>INDEX(Table_Prescript_Meas[Lighting Type Selection List], MATCH(C173, Table_Prescript_Meas[Measure Number], 0))</f>
        <v>#N/A</v>
      </c>
      <c r="AF173" s="53" t="e">
        <f>INDEX(Table_Prescript_Meas[AOH Type], MATCH(Table_PrescriptLights_Input[[#This Row],[Measure number]], Table_Prescript_Meas[Measure Number],0))</f>
        <v>#N/A</v>
      </c>
      <c r="AG173"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73" s="53" t="str">
        <f>_xlfn.CONCAT(Table_PrescriptLights_Input[[#This Row],[Existing lighting type]],":",Table_PrescriptLights_Input[[#This Row],[Existing lamps per fixture]], ":",Table_PrescriptLights_Input[[#This Row],[Existing lamp wattage]])</f>
        <v>::</v>
      </c>
      <c r="AI173" s="53" t="e">
        <f>INDEX(Table_TRM_Fixtures[Fixture Code], MATCH(Table_PrescriptLights_Input[[#This Row],[Detailed Baseline Fixture Lookup]], Table_TRM_Fixtures[Detailed Prescriptive Baseline Fixture Lookup], 0))</f>
        <v>#N/A</v>
      </c>
      <c r="AJ173" s="53" t="e">
        <f>INDEX(Table_TRM_Fixtures[Fixture Wattage for Baseline Calculations],MATCH(Table_PrescriptLights_Input[[#This Row],[Detailed Baseline Fixture Lookup]], Table_TRM_Fixtures[Detailed Prescriptive Baseline Fixture Lookup],0))</f>
        <v>#N/A</v>
      </c>
      <c r="AK173" s="127" t="e">
        <f>INDEX(Table_Bldg_IEFD_IEFC[IEFE], MATCH( Input_HVACType,Table_Bldg_IEFD_IEFC[List_HVAC], 0))</f>
        <v>#N/A</v>
      </c>
      <c r="AL173" s="127" t="e">
        <f>INDEX( Table_Bldg_IEFD_IEFC[IEFE],MATCH( Input_HVACType, Table_Bldg_IEFD_IEFC[List_HVAC],0 ))</f>
        <v>#N/A</v>
      </c>
      <c r="AM173" s="127" t="e">
        <f>INDEX(Table_Control_PAF[PAF], MATCH(Table_PrescriptLights_Input[[#This Row],[Existing controls]], Table_Control_PAF[List_Control_Types], 0 ) )</f>
        <v>#N/A</v>
      </c>
      <c r="AN173"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73"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73"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73" s="53">
        <f>IFERROR(LEFT(Table_PrescriptLights_Input[[#This Row],[Existing lighting type]], FIND(",",Table_PrescriptLights_Input[[#This Row],[Existing lighting type]])-1), Table_PrescriptLights_Input[[#This Row],[Existing lighting type]])</f>
        <v>0</v>
      </c>
      <c r="AR173" s="53" t="str">
        <f>_xlfn.CONCAT(Table_PrescriptLights_Input[[#This Row],[Generalized Fixture Type]], ":",Table_PrescriptLights_Input[[#This Row],[Existing lamps per fixture]],":",Table_PrescriptLights_Input[[#This Row],[Existing lamp wattage]])</f>
        <v>0::</v>
      </c>
      <c r="AS173" s="53" t="e">
        <f>INDEX(Table_TRM_Fixtures[Fixture Code], MATCH(Table_PrescriptLights_Input[[#This Row],[Generalized Fixture Baseline Lookup]], Table_TRM_Fixtures[Generalized Baseline Fixture Lookup], 0))</f>
        <v>#N/A</v>
      </c>
      <c r="AT173"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73"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73"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73"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73"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73" s="53" t="e">
        <f>IFERROR(Table_PrescriptLights_Input[[#This Row],[Detailed Baseline Fixture Code]],Table_PrescriptLights_Input[[#This Row],[Generalized Baseline Fixture Code]])</f>
        <v>#N/A</v>
      </c>
      <c r="AZ173" s="4"/>
      <c r="BA173" s="4"/>
      <c r="BB173" s="4"/>
      <c r="BC173" s="4"/>
      <c r="BD173" s="4"/>
      <c r="BE173" s="4"/>
      <c r="BF173" s="4"/>
      <c r="BG173" s="4"/>
      <c r="BH173" s="4"/>
      <c r="BI173" s="4"/>
      <c r="BJ173" s="4"/>
      <c r="BK173" s="4"/>
      <c r="BL173" s="4"/>
      <c r="BM173" s="4"/>
      <c r="BN173" s="4"/>
      <c r="BO173" s="4"/>
      <c r="BP173" s="4"/>
      <c r="BQ173" s="4"/>
    </row>
    <row r="174" spans="1:69" x14ac:dyDescent="0.2">
      <c r="A174" s="4"/>
      <c r="B174" s="189">
        <v>170</v>
      </c>
      <c r="C174" s="61" t="str">
        <f>IFERROR(INDEX(Table_Prescript_Meas[Measure Number], MATCH(Table_PrescriptLights_Input[[#This Row],[Prescriptive lighting measure]], Table_Prescript_Meas[Measure Description], 0)), "")</f>
        <v/>
      </c>
      <c r="D174" s="192"/>
      <c r="E174" s="179"/>
      <c r="F174" s="179"/>
      <c r="G174" s="61" t="str">
        <f>IFERROR(INDEX(Table_Prescript_Meas[Unit], MATCH(Table_PrescriptLights_Input[[#This Row],[Measure number]], Table_Prescript_Meas[Measure Number], 0)), "")</f>
        <v/>
      </c>
      <c r="H174" s="180"/>
      <c r="I174" s="179"/>
      <c r="J174" s="179"/>
      <c r="K174" s="180"/>
      <c r="L174" s="179"/>
      <c r="M174" s="180"/>
      <c r="N174" s="180"/>
      <c r="O174" s="180"/>
      <c r="P174" s="180"/>
      <c r="Q174" s="180"/>
      <c r="R174" s="181"/>
      <c r="S174" s="181"/>
      <c r="T174"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74"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74" s="69" t="str">
        <f>IF(Table_PrescriptLights_Input[[#This Row],[Prescriptive lighting measure]]="","",Table_PrescriptLights_Input[[#This Row],[Calculated Energy Savings]])</f>
        <v/>
      </c>
      <c r="W174" s="73" t="str">
        <f>IF(Table_PrescriptLights_Input[[#This Row],[Prescriptive lighting measure]]="","",Table_PrescriptLights_Input[[#This Row],[Calculated Demand Savings]])</f>
        <v/>
      </c>
      <c r="X174" s="67" t="str">
        <f>IFERROR(Table_PrescriptLights_Input[[#This Row],[Energy savings (kWh)]]*Input_AvgkWhRate, "")</f>
        <v/>
      </c>
      <c r="Y174" s="67" t="str">
        <f>IF(Table_PrescriptLights_Input[[#This Row],[Prescriptive lighting measure]]="", "",Table_PrescriptLights_Input[[#This Row],[Material cost per fixture]]*Table_PrescriptLights_Input[[#This Row],[Number of proposed fixtures]]+Table_PrescriptLights_Input[[#This Row],[Total labor cost]])</f>
        <v/>
      </c>
      <c r="Z174" s="67" t="str">
        <f>IFERROR(Table_PrescriptLights_Input[[#This Row],[Gross measure cost]]-Table_PrescriptLights_Input[[#This Row],[Estimated incentive]], "")</f>
        <v/>
      </c>
      <c r="AA174" s="69" t="str">
        <f t="shared" si="5"/>
        <v/>
      </c>
      <c r="AB174" s="69" t="str">
        <f>IF(ISNUMBER(Table_PrescriptLights_Input[[#This Row],[Detailed Fixture Calculation Wattage]]), "Detailed", "General")</f>
        <v>General</v>
      </c>
      <c r="AC174" s="53" t="e">
        <f>INDEX(Table_IntExt_Match[Measure Selection List], MATCH(Table_PrescriptLights_Input[[#This Row],[Interior or exterior?]], Table_IntExt_Match[Inetrior or Exterior], 0))</f>
        <v>#N/A</v>
      </c>
      <c r="AD174" s="53" t="e">
        <f>INDEX(Table_Prescript_Meas[Unit], MATCH(C174, Table_Prescript_Meas[Measure Number], 0))</f>
        <v>#N/A</v>
      </c>
      <c r="AE174" s="53" t="e">
        <f>INDEX(Table_Prescript_Meas[Lighting Type Selection List], MATCH(C174, Table_Prescript_Meas[Measure Number], 0))</f>
        <v>#N/A</v>
      </c>
      <c r="AF174" s="53" t="e">
        <f>INDEX(Table_Prescript_Meas[AOH Type], MATCH(Table_PrescriptLights_Input[[#This Row],[Measure number]], Table_Prescript_Meas[Measure Number],0))</f>
        <v>#N/A</v>
      </c>
      <c r="AG174"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74" s="53" t="str">
        <f>_xlfn.CONCAT(Table_PrescriptLights_Input[[#This Row],[Existing lighting type]],":",Table_PrescriptLights_Input[[#This Row],[Existing lamps per fixture]], ":",Table_PrescriptLights_Input[[#This Row],[Existing lamp wattage]])</f>
        <v>::</v>
      </c>
      <c r="AI174" s="53" t="e">
        <f>INDEX(Table_TRM_Fixtures[Fixture Code], MATCH(Table_PrescriptLights_Input[[#This Row],[Detailed Baseline Fixture Lookup]], Table_TRM_Fixtures[Detailed Prescriptive Baseline Fixture Lookup], 0))</f>
        <v>#N/A</v>
      </c>
      <c r="AJ174" s="53" t="e">
        <f>INDEX(Table_TRM_Fixtures[Fixture Wattage for Baseline Calculations],MATCH(Table_PrescriptLights_Input[[#This Row],[Detailed Baseline Fixture Lookup]], Table_TRM_Fixtures[Detailed Prescriptive Baseline Fixture Lookup],0))</f>
        <v>#N/A</v>
      </c>
      <c r="AK174" s="127" t="e">
        <f>INDEX(Table_Bldg_IEFD_IEFC[IEFE], MATCH( Input_HVACType,Table_Bldg_IEFD_IEFC[List_HVAC], 0))</f>
        <v>#N/A</v>
      </c>
      <c r="AL174" s="127" t="e">
        <f>INDEX( Table_Bldg_IEFD_IEFC[IEFE],MATCH( Input_HVACType, Table_Bldg_IEFD_IEFC[List_HVAC],0 ))</f>
        <v>#N/A</v>
      </c>
      <c r="AM174" s="127" t="e">
        <f>INDEX(Table_Control_PAF[PAF], MATCH(Table_PrescriptLights_Input[[#This Row],[Existing controls]], Table_Control_PAF[List_Control_Types], 0 ) )</f>
        <v>#N/A</v>
      </c>
      <c r="AN174"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74"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74"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74" s="53">
        <f>IFERROR(LEFT(Table_PrescriptLights_Input[[#This Row],[Existing lighting type]], FIND(",",Table_PrescriptLights_Input[[#This Row],[Existing lighting type]])-1), Table_PrescriptLights_Input[[#This Row],[Existing lighting type]])</f>
        <v>0</v>
      </c>
      <c r="AR174" s="53" t="str">
        <f>_xlfn.CONCAT(Table_PrescriptLights_Input[[#This Row],[Generalized Fixture Type]], ":",Table_PrescriptLights_Input[[#This Row],[Existing lamps per fixture]],":",Table_PrescriptLights_Input[[#This Row],[Existing lamp wattage]])</f>
        <v>0::</v>
      </c>
      <c r="AS174" s="53" t="e">
        <f>INDEX(Table_TRM_Fixtures[Fixture Code], MATCH(Table_PrescriptLights_Input[[#This Row],[Generalized Fixture Baseline Lookup]], Table_TRM_Fixtures[Generalized Baseline Fixture Lookup], 0))</f>
        <v>#N/A</v>
      </c>
      <c r="AT174"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74"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74"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74"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74"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74" s="53" t="e">
        <f>IFERROR(Table_PrescriptLights_Input[[#This Row],[Detailed Baseline Fixture Code]],Table_PrescriptLights_Input[[#This Row],[Generalized Baseline Fixture Code]])</f>
        <v>#N/A</v>
      </c>
      <c r="AZ174" s="4"/>
      <c r="BA174" s="4"/>
      <c r="BB174" s="4"/>
      <c r="BC174" s="4"/>
      <c r="BD174" s="4"/>
      <c r="BE174" s="4"/>
      <c r="BF174" s="4"/>
      <c r="BG174" s="4"/>
      <c r="BH174" s="4"/>
      <c r="BI174" s="4"/>
      <c r="BJ174" s="4"/>
      <c r="BK174" s="4"/>
      <c r="BL174" s="4"/>
      <c r="BM174" s="4"/>
      <c r="BN174" s="4"/>
      <c r="BO174" s="4"/>
      <c r="BP174" s="4"/>
      <c r="BQ174" s="4"/>
    </row>
    <row r="175" spans="1:69" x14ac:dyDescent="0.2">
      <c r="A175" s="4"/>
      <c r="B175" s="189">
        <v>171</v>
      </c>
      <c r="C175" s="61" t="str">
        <f>IFERROR(INDEX(Table_Prescript_Meas[Measure Number], MATCH(Table_PrescriptLights_Input[[#This Row],[Prescriptive lighting measure]], Table_Prescript_Meas[Measure Description], 0)), "")</f>
        <v/>
      </c>
      <c r="D175" s="192"/>
      <c r="E175" s="179"/>
      <c r="F175" s="179"/>
      <c r="G175" s="61" t="str">
        <f>IFERROR(INDEX(Table_Prescript_Meas[Unit], MATCH(Table_PrescriptLights_Input[[#This Row],[Measure number]], Table_Prescript_Meas[Measure Number], 0)), "")</f>
        <v/>
      </c>
      <c r="H175" s="180"/>
      <c r="I175" s="179"/>
      <c r="J175" s="179"/>
      <c r="K175" s="180"/>
      <c r="L175" s="179"/>
      <c r="M175" s="180"/>
      <c r="N175" s="180"/>
      <c r="O175" s="180"/>
      <c r="P175" s="180"/>
      <c r="Q175" s="180"/>
      <c r="R175" s="181"/>
      <c r="S175" s="181"/>
      <c r="T175"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75"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75" s="69" t="str">
        <f>IF(Table_PrescriptLights_Input[[#This Row],[Prescriptive lighting measure]]="","",Table_PrescriptLights_Input[[#This Row],[Calculated Energy Savings]])</f>
        <v/>
      </c>
      <c r="W175" s="73" t="str">
        <f>IF(Table_PrescriptLights_Input[[#This Row],[Prescriptive lighting measure]]="","",Table_PrescriptLights_Input[[#This Row],[Calculated Demand Savings]])</f>
        <v/>
      </c>
      <c r="X175" s="67" t="str">
        <f>IFERROR(Table_PrescriptLights_Input[[#This Row],[Energy savings (kWh)]]*Input_AvgkWhRate, "")</f>
        <v/>
      </c>
      <c r="Y175" s="67" t="str">
        <f>IF(Table_PrescriptLights_Input[[#This Row],[Prescriptive lighting measure]]="", "",Table_PrescriptLights_Input[[#This Row],[Material cost per fixture]]*Table_PrescriptLights_Input[[#This Row],[Number of proposed fixtures]]+Table_PrescriptLights_Input[[#This Row],[Total labor cost]])</f>
        <v/>
      </c>
      <c r="Z175" s="67" t="str">
        <f>IFERROR(Table_PrescriptLights_Input[[#This Row],[Gross measure cost]]-Table_PrescriptLights_Input[[#This Row],[Estimated incentive]], "")</f>
        <v/>
      </c>
      <c r="AA175" s="69" t="str">
        <f t="shared" si="5"/>
        <v/>
      </c>
      <c r="AB175" s="69" t="str">
        <f>IF(ISNUMBER(Table_PrescriptLights_Input[[#This Row],[Detailed Fixture Calculation Wattage]]), "Detailed", "General")</f>
        <v>General</v>
      </c>
      <c r="AC175" s="53" t="e">
        <f>INDEX(Table_IntExt_Match[Measure Selection List], MATCH(Table_PrescriptLights_Input[[#This Row],[Interior or exterior?]], Table_IntExt_Match[Inetrior or Exterior], 0))</f>
        <v>#N/A</v>
      </c>
      <c r="AD175" s="53" t="e">
        <f>INDEX(Table_Prescript_Meas[Unit], MATCH(C175, Table_Prescript_Meas[Measure Number], 0))</f>
        <v>#N/A</v>
      </c>
      <c r="AE175" s="53" t="e">
        <f>INDEX(Table_Prescript_Meas[Lighting Type Selection List], MATCH(C175, Table_Prescript_Meas[Measure Number], 0))</f>
        <v>#N/A</v>
      </c>
      <c r="AF175" s="53" t="e">
        <f>INDEX(Table_Prescript_Meas[AOH Type], MATCH(Table_PrescriptLights_Input[[#This Row],[Measure number]], Table_Prescript_Meas[Measure Number],0))</f>
        <v>#N/A</v>
      </c>
      <c r="AG175"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75" s="53" t="str">
        <f>_xlfn.CONCAT(Table_PrescriptLights_Input[[#This Row],[Existing lighting type]],":",Table_PrescriptLights_Input[[#This Row],[Existing lamps per fixture]], ":",Table_PrescriptLights_Input[[#This Row],[Existing lamp wattage]])</f>
        <v>::</v>
      </c>
      <c r="AI175" s="53" t="e">
        <f>INDEX(Table_TRM_Fixtures[Fixture Code], MATCH(Table_PrescriptLights_Input[[#This Row],[Detailed Baseline Fixture Lookup]], Table_TRM_Fixtures[Detailed Prescriptive Baseline Fixture Lookup], 0))</f>
        <v>#N/A</v>
      </c>
      <c r="AJ175" s="53" t="e">
        <f>INDEX(Table_TRM_Fixtures[Fixture Wattage for Baseline Calculations],MATCH(Table_PrescriptLights_Input[[#This Row],[Detailed Baseline Fixture Lookup]], Table_TRM_Fixtures[Detailed Prescriptive Baseline Fixture Lookup],0))</f>
        <v>#N/A</v>
      </c>
      <c r="AK175" s="127" t="e">
        <f>INDEX(Table_Bldg_IEFD_IEFC[IEFE], MATCH( Input_HVACType,Table_Bldg_IEFD_IEFC[List_HVAC], 0))</f>
        <v>#N/A</v>
      </c>
      <c r="AL175" s="127" t="e">
        <f>INDEX( Table_Bldg_IEFD_IEFC[IEFE],MATCH( Input_HVACType, Table_Bldg_IEFD_IEFC[List_HVAC],0 ))</f>
        <v>#N/A</v>
      </c>
      <c r="AM175" s="127" t="e">
        <f>INDEX(Table_Control_PAF[PAF], MATCH(Table_PrescriptLights_Input[[#This Row],[Existing controls]], Table_Control_PAF[List_Control_Types], 0 ) )</f>
        <v>#N/A</v>
      </c>
      <c r="AN175"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75"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75"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75" s="53">
        <f>IFERROR(LEFT(Table_PrescriptLights_Input[[#This Row],[Existing lighting type]], FIND(",",Table_PrescriptLights_Input[[#This Row],[Existing lighting type]])-1), Table_PrescriptLights_Input[[#This Row],[Existing lighting type]])</f>
        <v>0</v>
      </c>
      <c r="AR175" s="53" t="str">
        <f>_xlfn.CONCAT(Table_PrescriptLights_Input[[#This Row],[Generalized Fixture Type]], ":",Table_PrescriptLights_Input[[#This Row],[Existing lamps per fixture]],":",Table_PrescriptLights_Input[[#This Row],[Existing lamp wattage]])</f>
        <v>0::</v>
      </c>
      <c r="AS175" s="53" t="e">
        <f>INDEX(Table_TRM_Fixtures[Fixture Code], MATCH(Table_PrescriptLights_Input[[#This Row],[Generalized Fixture Baseline Lookup]], Table_TRM_Fixtures[Generalized Baseline Fixture Lookup], 0))</f>
        <v>#N/A</v>
      </c>
      <c r="AT175"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75"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75"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75"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75"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75" s="53" t="e">
        <f>IFERROR(Table_PrescriptLights_Input[[#This Row],[Detailed Baseline Fixture Code]],Table_PrescriptLights_Input[[#This Row],[Generalized Baseline Fixture Code]])</f>
        <v>#N/A</v>
      </c>
      <c r="AZ175" s="4"/>
      <c r="BA175" s="4"/>
      <c r="BB175" s="4"/>
      <c r="BC175" s="4"/>
      <c r="BD175" s="4"/>
      <c r="BE175" s="4"/>
      <c r="BF175" s="4"/>
      <c r="BG175" s="4"/>
      <c r="BH175" s="4"/>
      <c r="BI175" s="4"/>
      <c r="BJ175" s="4"/>
      <c r="BK175" s="4"/>
      <c r="BL175" s="4"/>
      <c r="BM175" s="4"/>
      <c r="BN175" s="4"/>
      <c r="BO175" s="4"/>
      <c r="BP175" s="4"/>
      <c r="BQ175" s="4"/>
    </row>
    <row r="176" spans="1:69" x14ac:dyDescent="0.2">
      <c r="A176" s="4"/>
      <c r="B176" s="189">
        <v>172</v>
      </c>
      <c r="C176" s="61" t="str">
        <f>IFERROR(INDEX(Table_Prescript_Meas[Measure Number], MATCH(Table_PrescriptLights_Input[[#This Row],[Prescriptive lighting measure]], Table_Prescript_Meas[Measure Description], 0)), "")</f>
        <v/>
      </c>
      <c r="D176" s="192"/>
      <c r="E176" s="179"/>
      <c r="F176" s="179"/>
      <c r="G176" s="61" t="str">
        <f>IFERROR(INDEX(Table_Prescript_Meas[Unit], MATCH(Table_PrescriptLights_Input[[#This Row],[Measure number]], Table_Prescript_Meas[Measure Number], 0)), "")</f>
        <v/>
      </c>
      <c r="H176" s="180"/>
      <c r="I176" s="179"/>
      <c r="J176" s="179"/>
      <c r="K176" s="180"/>
      <c r="L176" s="179"/>
      <c r="M176" s="180"/>
      <c r="N176" s="180"/>
      <c r="O176" s="180"/>
      <c r="P176" s="180"/>
      <c r="Q176" s="180"/>
      <c r="R176" s="181"/>
      <c r="S176" s="181"/>
      <c r="T176"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76"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76" s="69" t="str">
        <f>IF(Table_PrescriptLights_Input[[#This Row],[Prescriptive lighting measure]]="","",Table_PrescriptLights_Input[[#This Row],[Calculated Energy Savings]])</f>
        <v/>
      </c>
      <c r="W176" s="73" t="str">
        <f>IF(Table_PrescriptLights_Input[[#This Row],[Prescriptive lighting measure]]="","",Table_PrescriptLights_Input[[#This Row],[Calculated Demand Savings]])</f>
        <v/>
      </c>
      <c r="X176" s="67" t="str">
        <f>IFERROR(Table_PrescriptLights_Input[[#This Row],[Energy savings (kWh)]]*Input_AvgkWhRate, "")</f>
        <v/>
      </c>
      <c r="Y176" s="67" t="str">
        <f>IF(Table_PrescriptLights_Input[[#This Row],[Prescriptive lighting measure]]="", "",Table_PrescriptLights_Input[[#This Row],[Material cost per fixture]]*Table_PrescriptLights_Input[[#This Row],[Number of proposed fixtures]]+Table_PrescriptLights_Input[[#This Row],[Total labor cost]])</f>
        <v/>
      </c>
      <c r="Z176" s="67" t="str">
        <f>IFERROR(Table_PrescriptLights_Input[[#This Row],[Gross measure cost]]-Table_PrescriptLights_Input[[#This Row],[Estimated incentive]], "")</f>
        <v/>
      </c>
      <c r="AA176" s="69" t="str">
        <f t="shared" si="5"/>
        <v/>
      </c>
      <c r="AB176" s="69" t="str">
        <f>IF(ISNUMBER(Table_PrescriptLights_Input[[#This Row],[Detailed Fixture Calculation Wattage]]), "Detailed", "General")</f>
        <v>General</v>
      </c>
      <c r="AC176" s="53" t="e">
        <f>INDEX(Table_IntExt_Match[Measure Selection List], MATCH(Table_PrescriptLights_Input[[#This Row],[Interior or exterior?]], Table_IntExt_Match[Inetrior or Exterior], 0))</f>
        <v>#N/A</v>
      </c>
      <c r="AD176" s="53" t="e">
        <f>INDEX(Table_Prescript_Meas[Unit], MATCH(C176, Table_Prescript_Meas[Measure Number], 0))</f>
        <v>#N/A</v>
      </c>
      <c r="AE176" s="53" t="e">
        <f>INDEX(Table_Prescript_Meas[Lighting Type Selection List], MATCH(C176, Table_Prescript_Meas[Measure Number], 0))</f>
        <v>#N/A</v>
      </c>
      <c r="AF176" s="53" t="e">
        <f>INDEX(Table_Prescript_Meas[AOH Type], MATCH(Table_PrescriptLights_Input[[#This Row],[Measure number]], Table_Prescript_Meas[Measure Number],0))</f>
        <v>#N/A</v>
      </c>
      <c r="AG176"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76" s="53" t="str">
        <f>_xlfn.CONCAT(Table_PrescriptLights_Input[[#This Row],[Existing lighting type]],":",Table_PrescriptLights_Input[[#This Row],[Existing lamps per fixture]], ":",Table_PrescriptLights_Input[[#This Row],[Existing lamp wattage]])</f>
        <v>::</v>
      </c>
      <c r="AI176" s="53" t="e">
        <f>INDEX(Table_TRM_Fixtures[Fixture Code], MATCH(Table_PrescriptLights_Input[[#This Row],[Detailed Baseline Fixture Lookup]], Table_TRM_Fixtures[Detailed Prescriptive Baseline Fixture Lookup], 0))</f>
        <v>#N/A</v>
      </c>
      <c r="AJ176" s="53" t="e">
        <f>INDEX(Table_TRM_Fixtures[Fixture Wattage for Baseline Calculations],MATCH(Table_PrescriptLights_Input[[#This Row],[Detailed Baseline Fixture Lookup]], Table_TRM_Fixtures[Detailed Prescriptive Baseline Fixture Lookup],0))</f>
        <v>#N/A</v>
      </c>
      <c r="AK176" s="127" t="e">
        <f>INDEX(Table_Bldg_IEFD_IEFC[IEFE], MATCH( Input_HVACType,Table_Bldg_IEFD_IEFC[List_HVAC], 0))</f>
        <v>#N/A</v>
      </c>
      <c r="AL176" s="127" t="e">
        <f>INDEX( Table_Bldg_IEFD_IEFC[IEFE],MATCH( Input_HVACType, Table_Bldg_IEFD_IEFC[List_HVAC],0 ))</f>
        <v>#N/A</v>
      </c>
      <c r="AM176" s="127" t="e">
        <f>INDEX(Table_Control_PAF[PAF], MATCH(Table_PrescriptLights_Input[[#This Row],[Existing controls]], Table_Control_PAF[List_Control_Types], 0 ) )</f>
        <v>#N/A</v>
      </c>
      <c r="AN176"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76"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76"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76" s="53">
        <f>IFERROR(LEFT(Table_PrescriptLights_Input[[#This Row],[Existing lighting type]], FIND(",",Table_PrescriptLights_Input[[#This Row],[Existing lighting type]])-1), Table_PrescriptLights_Input[[#This Row],[Existing lighting type]])</f>
        <v>0</v>
      </c>
      <c r="AR176" s="53" t="str">
        <f>_xlfn.CONCAT(Table_PrescriptLights_Input[[#This Row],[Generalized Fixture Type]], ":",Table_PrescriptLights_Input[[#This Row],[Existing lamps per fixture]],":",Table_PrescriptLights_Input[[#This Row],[Existing lamp wattage]])</f>
        <v>0::</v>
      </c>
      <c r="AS176" s="53" t="e">
        <f>INDEX(Table_TRM_Fixtures[Fixture Code], MATCH(Table_PrescriptLights_Input[[#This Row],[Generalized Fixture Baseline Lookup]], Table_TRM_Fixtures[Generalized Baseline Fixture Lookup], 0))</f>
        <v>#N/A</v>
      </c>
      <c r="AT176"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76"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76"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76"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76"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76" s="53" t="e">
        <f>IFERROR(Table_PrescriptLights_Input[[#This Row],[Detailed Baseline Fixture Code]],Table_PrescriptLights_Input[[#This Row],[Generalized Baseline Fixture Code]])</f>
        <v>#N/A</v>
      </c>
      <c r="AZ176" s="4"/>
      <c r="BA176" s="4"/>
      <c r="BB176" s="4"/>
      <c r="BC176" s="4"/>
      <c r="BD176" s="4"/>
      <c r="BE176" s="4"/>
      <c r="BF176" s="4"/>
      <c r="BG176" s="4"/>
      <c r="BH176" s="4"/>
      <c r="BI176" s="4"/>
      <c r="BJ176" s="4"/>
      <c r="BK176" s="4"/>
      <c r="BL176" s="4"/>
      <c r="BM176" s="4"/>
      <c r="BN176" s="4"/>
      <c r="BO176" s="4"/>
      <c r="BP176" s="4"/>
      <c r="BQ176" s="4"/>
    </row>
    <row r="177" spans="1:69" x14ac:dyDescent="0.2">
      <c r="A177" s="4"/>
      <c r="B177" s="189">
        <v>173</v>
      </c>
      <c r="C177" s="61" t="str">
        <f>IFERROR(INDEX(Table_Prescript_Meas[Measure Number], MATCH(Table_PrescriptLights_Input[[#This Row],[Prescriptive lighting measure]], Table_Prescript_Meas[Measure Description], 0)), "")</f>
        <v/>
      </c>
      <c r="D177" s="192"/>
      <c r="E177" s="179"/>
      <c r="F177" s="179"/>
      <c r="G177" s="61" t="str">
        <f>IFERROR(INDEX(Table_Prescript_Meas[Unit], MATCH(Table_PrescriptLights_Input[[#This Row],[Measure number]], Table_Prescript_Meas[Measure Number], 0)), "")</f>
        <v/>
      </c>
      <c r="H177" s="180"/>
      <c r="I177" s="179"/>
      <c r="J177" s="179"/>
      <c r="K177" s="180"/>
      <c r="L177" s="179"/>
      <c r="M177" s="180"/>
      <c r="N177" s="180"/>
      <c r="O177" s="180"/>
      <c r="P177" s="180"/>
      <c r="Q177" s="180"/>
      <c r="R177" s="181"/>
      <c r="S177" s="181"/>
      <c r="T177"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77"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77" s="69" t="str">
        <f>IF(Table_PrescriptLights_Input[[#This Row],[Prescriptive lighting measure]]="","",Table_PrescriptLights_Input[[#This Row],[Calculated Energy Savings]])</f>
        <v/>
      </c>
      <c r="W177" s="73" t="str">
        <f>IF(Table_PrescriptLights_Input[[#This Row],[Prescriptive lighting measure]]="","",Table_PrescriptLights_Input[[#This Row],[Calculated Demand Savings]])</f>
        <v/>
      </c>
      <c r="X177" s="67" t="str">
        <f>IFERROR(Table_PrescriptLights_Input[[#This Row],[Energy savings (kWh)]]*Input_AvgkWhRate, "")</f>
        <v/>
      </c>
      <c r="Y177" s="67" t="str">
        <f>IF(Table_PrescriptLights_Input[[#This Row],[Prescriptive lighting measure]]="", "",Table_PrescriptLights_Input[[#This Row],[Material cost per fixture]]*Table_PrescriptLights_Input[[#This Row],[Number of proposed fixtures]]+Table_PrescriptLights_Input[[#This Row],[Total labor cost]])</f>
        <v/>
      </c>
      <c r="Z177" s="67" t="str">
        <f>IFERROR(Table_PrescriptLights_Input[[#This Row],[Gross measure cost]]-Table_PrescriptLights_Input[[#This Row],[Estimated incentive]], "")</f>
        <v/>
      </c>
      <c r="AA177" s="69" t="str">
        <f t="shared" si="5"/>
        <v/>
      </c>
      <c r="AB177" s="69" t="str">
        <f>IF(ISNUMBER(Table_PrescriptLights_Input[[#This Row],[Detailed Fixture Calculation Wattage]]), "Detailed", "General")</f>
        <v>General</v>
      </c>
      <c r="AC177" s="53" t="e">
        <f>INDEX(Table_IntExt_Match[Measure Selection List], MATCH(Table_PrescriptLights_Input[[#This Row],[Interior or exterior?]], Table_IntExt_Match[Inetrior or Exterior], 0))</f>
        <v>#N/A</v>
      </c>
      <c r="AD177" s="53" t="e">
        <f>INDEX(Table_Prescript_Meas[Unit], MATCH(C177, Table_Prescript_Meas[Measure Number], 0))</f>
        <v>#N/A</v>
      </c>
      <c r="AE177" s="53" t="e">
        <f>INDEX(Table_Prescript_Meas[Lighting Type Selection List], MATCH(C177, Table_Prescript_Meas[Measure Number], 0))</f>
        <v>#N/A</v>
      </c>
      <c r="AF177" s="53" t="e">
        <f>INDEX(Table_Prescript_Meas[AOH Type], MATCH(Table_PrescriptLights_Input[[#This Row],[Measure number]], Table_Prescript_Meas[Measure Number],0))</f>
        <v>#N/A</v>
      </c>
      <c r="AG177"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77" s="53" t="str">
        <f>_xlfn.CONCAT(Table_PrescriptLights_Input[[#This Row],[Existing lighting type]],":",Table_PrescriptLights_Input[[#This Row],[Existing lamps per fixture]], ":",Table_PrescriptLights_Input[[#This Row],[Existing lamp wattage]])</f>
        <v>::</v>
      </c>
      <c r="AI177" s="53" t="e">
        <f>INDEX(Table_TRM_Fixtures[Fixture Code], MATCH(Table_PrescriptLights_Input[[#This Row],[Detailed Baseline Fixture Lookup]], Table_TRM_Fixtures[Detailed Prescriptive Baseline Fixture Lookup], 0))</f>
        <v>#N/A</v>
      </c>
      <c r="AJ177" s="53" t="e">
        <f>INDEX(Table_TRM_Fixtures[Fixture Wattage for Baseline Calculations],MATCH(Table_PrescriptLights_Input[[#This Row],[Detailed Baseline Fixture Lookup]], Table_TRM_Fixtures[Detailed Prescriptive Baseline Fixture Lookup],0))</f>
        <v>#N/A</v>
      </c>
      <c r="AK177" s="127" t="e">
        <f>INDEX(Table_Bldg_IEFD_IEFC[IEFE], MATCH( Input_HVACType,Table_Bldg_IEFD_IEFC[List_HVAC], 0))</f>
        <v>#N/A</v>
      </c>
      <c r="AL177" s="127" t="e">
        <f>INDEX( Table_Bldg_IEFD_IEFC[IEFE],MATCH( Input_HVACType, Table_Bldg_IEFD_IEFC[List_HVAC],0 ))</f>
        <v>#N/A</v>
      </c>
      <c r="AM177" s="127" t="e">
        <f>INDEX(Table_Control_PAF[PAF], MATCH(Table_PrescriptLights_Input[[#This Row],[Existing controls]], Table_Control_PAF[List_Control_Types], 0 ) )</f>
        <v>#N/A</v>
      </c>
      <c r="AN177"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77"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77"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77" s="53">
        <f>IFERROR(LEFT(Table_PrescriptLights_Input[[#This Row],[Existing lighting type]], FIND(",",Table_PrescriptLights_Input[[#This Row],[Existing lighting type]])-1), Table_PrescriptLights_Input[[#This Row],[Existing lighting type]])</f>
        <v>0</v>
      </c>
      <c r="AR177" s="53" t="str">
        <f>_xlfn.CONCAT(Table_PrescriptLights_Input[[#This Row],[Generalized Fixture Type]], ":",Table_PrescriptLights_Input[[#This Row],[Existing lamps per fixture]],":",Table_PrescriptLights_Input[[#This Row],[Existing lamp wattage]])</f>
        <v>0::</v>
      </c>
      <c r="AS177" s="53" t="e">
        <f>INDEX(Table_TRM_Fixtures[Fixture Code], MATCH(Table_PrescriptLights_Input[[#This Row],[Generalized Fixture Baseline Lookup]], Table_TRM_Fixtures[Generalized Baseline Fixture Lookup], 0))</f>
        <v>#N/A</v>
      </c>
      <c r="AT177"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77"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77"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77"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77"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77" s="53" t="e">
        <f>IFERROR(Table_PrescriptLights_Input[[#This Row],[Detailed Baseline Fixture Code]],Table_PrescriptLights_Input[[#This Row],[Generalized Baseline Fixture Code]])</f>
        <v>#N/A</v>
      </c>
      <c r="AZ177" s="4"/>
      <c r="BA177" s="4"/>
      <c r="BB177" s="4"/>
      <c r="BC177" s="4"/>
      <c r="BD177" s="4"/>
      <c r="BE177" s="4"/>
      <c r="BF177" s="4"/>
      <c r="BG177" s="4"/>
      <c r="BH177" s="4"/>
      <c r="BI177" s="4"/>
      <c r="BJ177" s="4"/>
      <c r="BK177" s="4"/>
      <c r="BL177" s="4"/>
      <c r="BM177" s="4"/>
      <c r="BN177" s="4"/>
      <c r="BO177" s="4"/>
      <c r="BP177" s="4"/>
      <c r="BQ177" s="4"/>
    </row>
    <row r="178" spans="1:69" x14ac:dyDescent="0.2">
      <c r="A178" s="4"/>
      <c r="B178" s="189">
        <v>174</v>
      </c>
      <c r="C178" s="61" t="str">
        <f>IFERROR(INDEX(Table_Prescript_Meas[Measure Number], MATCH(Table_PrescriptLights_Input[[#This Row],[Prescriptive lighting measure]], Table_Prescript_Meas[Measure Description], 0)), "")</f>
        <v/>
      </c>
      <c r="D178" s="192"/>
      <c r="E178" s="179"/>
      <c r="F178" s="179"/>
      <c r="G178" s="61" t="str">
        <f>IFERROR(INDEX(Table_Prescript_Meas[Unit], MATCH(Table_PrescriptLights_Input[[#This Row],[Measure number]], Table_Prescript_Meas[Measure Number], 0)), "")</f>
        <v/>
      </c>
      <c r="H178" s="180"/>
      <c r="I178" s="179"/>
      <c r="J178" s="179"/>
      <c r="K178" s="180"/>
      <c r="L178" s="179"/>
      <c r="M178" s="180"/>
      <c r="N178" s="180"/>
      <c r="O178" s="180"/>
      <c r="P178" s="180"/>
      <c r="Q178" s="180"/>
      <c r="R178" s="181"/>
      <c r="S178" s="181"/>
      <c r="T178"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78"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78" s="69" t="str">
        <f>IF(Table_PrescriptLights_Input[[#This Row],[Prescriptive lighting measure]]="","",Table_PrescriptLights_Input[[#This Row],[Calculated Energy Savings]])</f>
        <v/>
      </c>
      <c r="W178" s="73" t="str">
        <f>IF(Table_PrescriptLights_Input[[#This Row],[Prescriptive lighting measure]]="","",Table_PrescriptLights_Input[[#This Row],[Calculated Demand Savings]])</f>
        <v/>
      </c>
      <c r="X178" s="67" t="str">
        <f>IFERROR(Table_PrescriptLights_Input[[#This Row],[Energy savings (kWh)]]*Input_AvgkWhRate, "")</f>
        <v/>
      </c>
      <c r="Y178" s="67" t="str">
        <f>IF(Table_PrescriptLights_Input[[#This Row],[Prescriptive lighting measure]]="", "",Table_PrescriptLights_Input[[#This Row],[Material cost per fixture]]*Table_PrescriptLights_Input[[#This Row],[Number of proposed fixtures]]+Table_PrescriptLights_Input[[#This Row],[Total labor cost]])</f>
        <v/>
      </c>
      <c r="Z178" s="67" t="str">
        <f>IFERROR(Table_PrescriptLights_Input[[#This Row],[Gross measure cost]]-Table_PrescriptLights_Input[[#This Row],[Estimated incentive]], "")</f>
        <v/>
      </c>
      <c r="AA178" s="69" t="str">
        <f t="shared" si="5"/>
        <v/>
      </c>
      <c r="AB178" s="69" t="str">
        <f>IF(ISNUMBER(Table_PrescriptLights_Input[[#This Row],[Detailed Fixture Calculation Wattage]]), "Detailed", "General")</f>
        <v>General</v>
      </c>
      <c r="AC178" s="53" t="e">
        <f>INDEX(Table_IntExt_Match[Measure Selection List], MATCH(Table_PrescriptLights_Input[[#This Row],[Interior or exterior?]], Table_IntExt_Match[Inetrior or Exterior], 0))</f>
        <v>#N/A</v>
      </c>
      <c r="AD178" s="53" t="e">
        <f>INDEX(Table_Prescript_Meas[Unit], MATCH(C178, Table_Prescript_Meas[Measure Number], 0))</f>
        <v>#N/A</v>
      </c>
      <c r="AE178" s="53" t="e">
        <f>INDEX(Table_Prescript_Meas[Lighting Type Selection List], MATCH(C178, Table_Prescript_Meas[Measure Number], 0))</f>
        <v>#N/A</v>
      </c>
      <c r="AF178" s="53" t="e">
        <f>INDEX(Table_Prescript_Meas[AOH Type], MATCH(Table_PrescriptLights_Input[[#This Row],[Measure number]], Table_Prescript_Meas[Measure Number],0))</f>
        <v>#N/A</v>
      </c>
      <c r="AG178"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78" s="53" t="str">
        <f>_xlfn.CONCAT(Table_PrescriptLights_Input[[#This Row],[Existing lighting type]],":",Table_PrescriptLights_Input[[#This Row],[Existing lamps per fixture]], ":",Table_PrescriptLights_Input[[#This Row],[Existing lamp wattage]])</f>
        <v>::</v>
      </c>
      <c r="AI178" s="53" t="e">
        <f>INDEX(Table_TRM_Fixtures[Fixture Code], MATCH(Table_PrescriptLights_Input[[#This Row],[Detailed Baseline Fixture Lookup]], Table_TRM_Fixtures[Detailed Prescriptive Baseline Fixture Lookup], 0))</f>
        <v>#N/A</v>
      </c>
      <c r="AJ178" s="53" t="e">
        <f>INDEX(Table_TRM_Fixtures[Fixture Wattage for Baseline Calculations],MATCH(Table_PrescriptLights_Input[[#This Row],[Detailed Baseline Fixture Lookup]], Table_TRM_Fixtures[Detailed Prescriptive Baseline Fixture Lookup],0))</f>
        <v>#N/A</v>
      </c>
      <c r="AK178" s="127" t="e">
        <f>INDEX(Table_Bldg_IEFD_IEFC[IEFE], MATCH( Input_HVACType,Table_Bldg_IEFD_IEFC[List_HVAC], 0))</f>
        <v>#N/A</v>
      </c>
      <c r="AL178" s="127" t="e">
        <f>INDEX( Table_Bldg_IEFD_IEFC[IEFE],MATCH( Input_HVACType, Table_Bldg_IEFD_IEFC[List_HVAC],0 ))</f>
        <v>#N/A</v>
      </c>
      <c r="AM178" s="127" t="e">
        <f>INDEX(Table_Control_PAF[PAF], MATCH(Table_PrescriptLights_Input[[#This Row],[Existing controls]], Table_Control_PAF[List_Control_Types], 0 ) )</f>
        <v>#N/A</v>
      </c>
      <c r="AN178"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78"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78"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78" s="53">
        <f>IFERROR(LEFT(Table_PrescriptLights_Input[[#This Row],[Existing lighting type]], FIND(",",Table_PrescriptLights_Input[[#This Row],[Existing lighting type]])-1), Table_PrescriptLights_Input[[#This Row],[Existing lighting type]])</f>
        <v>0</v>
      </c>
      <c r="AR178" s="53" t="str">
        <f>_xlfn.CONCAT(Table_PrescriptLights_Input[[#This Row],[Generalized Fixture Type]], ":",Table_PrescriptLights_Input[[#This Row],[Existing lamps per fixture]],":",Table_PrescriptLights_Input[[#This Row],[Existing lamp wattage]])</f>
        <v>0::</v>
      </c>
      <c r="AS178" s="53" t="e">
        <f>INDEX(Table_TRM_Fixtures[Fixture Code], MATCH(Table_PrescriptLights_Input[[#This Row],[Generalized Fixture Baseline Lookup]], Table_TRM_Fixtures[Generalized Baseline Fixture Lookup], 0))</f>
        <v>#N/A</v>
      </c>
      <c r="AT178"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78"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78"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78"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78"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78" s="53" t="e">
        <f>IFERROR(Table_PrescriptLights_Input[[#This Row],[Detailed Baseline Fixture Code]],Table_PrescriptLights_Input[[#This Row],[Generalized Baseline Fixture Code]])</f>
        <v>#N/A</v>
      </c>
      <c r="AZ178" s="4"/>
      <c r="BA178" s="4"/>
      <c r="BB178" s="4"/>
      <c r="BC178" s="4"/>
      <c r="BD178" s="4"/>
      <c r="BE178" s="4"/>
      <c r="BF178" s="4"/>
      <c r="BG178" s="4"/>
      <c r="BH178" s="4"/>
      <c r="BI178" s="4"/>
      <c r="BJ178" s="4"/>
      <c r="BK178" s="4"/>
      <c r="BL178" s="4"/>
      <c r="BM178" s="4"/>
      <c r="BN178" s="4"/>
      <c r="BO178" s="4"/>
      <c r="BP178" s="4"/>
      <c r="BQ178" s="4"/>
    </row>
    <row r="179" spans="1:69" x14ac:dyDescent="0.2">
      <c r="A179" s="4"/>
      <c r="B179" s="189">
        <v>175</v>
      </c>
      <c r="C179" s="61" t="str">
        <f>IFERROR(INDEX(Table_Prescript_Meas[Measure Number], MATCH(Table_PrescriptLights_Input[[#This Row],[Prescriptive lighting measure]], Table_Prescript_Meas[Measure Description], 0)), "")</f>
        <v/>
      </c>
      <c r="D179" s="192"/>
      <c r="E179" s="179"/>
      <c r="F179" s="179"/>
      <c r="G179" s="61" t="str">
        <f>IFERROR(INDEX(Table_Prescript_Meas[Unit], MATCH(Table_PrescriptLights_Input[[#This Row],[Measure number]], Table_Prescript_Meas[Measure Number], 0)), "")</f>
        <v/>
      </c>
      <c r="H179" s="180"/>
      <c r="I179" s="179"/>
      <c r="J179" s="179"/>
      <c r="K179" s="180"/>
      <c r="L179" s="179"/>
      <c r="M179" s="180"/>
      <c r="N179" s="180"/>
      <c r="O179" s="180"/>
      <c r="P179" s="180"/>
      <c r="Q179" s="180"/>
      <c r="R179" s="181"/>
      <c r="S179" s="181"/>
      <c r="T179"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79"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79" s="69" t="str">
        <f>IF(Table_PrescriptLights_Input[[#This Row],[Prescriptive lighting measure]]="","",Table_PrescriptLights_Input[[#This Row],[Calculated Energy Savings]])</f>
        <v/>
      </c>
      <c r="W179" s="73" t="str">
        <f>IF(Table_PrescriptLights_Input[[#This Row],[Prescriptive lighting measure]]="","",Table_PrescriptLights_Input[[#This Row],[Calculated Demand Savings]])</f>
        <v/>
      </c>
      <c r="X179" s="67" t="str">
        <f>IFERROR(Table_PrescriptLights_Input[[#This Row],[Energy savings (kWh)]]*Input_AvgkWhRate, "")</f>
        <v/>
      </c>
      <c r="Y179" s="67" t="str">
        <f>IF(Table_PrescriptLights_Input[[#This Row],[Prescriptive lighting measure]]="", "",Table_PrescriptLights_Input[[#This Row],[Material cost per fixture]]*Table_PrescriptLights_Input[[#This Row],[Number of proposed fixtures]]+Table_PrescriptLights_Input[[#This Row],[Total labor cost]])</f>
        <v/>
      </c>
      <c r="Z179" s="67" t="str">
        <f>IFERROR(Table_PrescriptLights_Input[[#This Row],[Gross measure cost]]-Table_PrescriptLights_Input[[#This Row],[Estimated incentive]], "")</f>
        <v/>
      </c>
      <c r="AA179" s="69" t="str">
        <f t="shared" si="5"/>
        <v/>
      </c>
      <c r="AB179" s="69" t="str">
        <f>IF(ISNUMBER(Table_PrescriptLights_Input[[#This Row],[Detailed Fixture Calculation Wattage]]), "Detailed", "General")</f>
        <v>General</v>
      </c>
      <c r="AC179" s="53" t="e">
        <f>INDEX(Table_IntExt_Match[Measure Selection List], MATCH(Table_PrescriptLights_Input[[#This Row],[Interior or exterior?]], Table_IntExt_Match[Inetrior or Exterior], 0))</f>
        <v>#N/A</v>
      </c>
      <c r="AD179" s="53" t="e">
        <f>INDEX(Table_Prescript_Meas[Unit], MATCH(C179, Table_Prescript_Meas[Measure Number], 0))</f>
        <v>#N/A</v>
      </c>
      <c r="AE179" s="53" t="e">
        <f>INDEX(Table_Prescript_Meas[Lighting Type Selection List], MATCH(C179, Table_Prescript_Meas[Measure Number], 0))</f>
        <v>#N/A</v>
      </c>
      <c r="AF179" s="53" t="e">
        <f>INDEX(Table_Prescript_Meas[AOH Type], MATCH(Table_PrescriptLights_Input[[#This Row],[Measure number]], Table_Prescript_Meas[Measure Number],0))</f>
        <v>#N/A</v>
      </c>
      <c r="AG179"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79" s="53" t="str">
        <f>_xlfn.CONCAT(Table_PrescriptLights_Input[[#This Row],[Existing lighting type]],":",Table_PrescriptLights_Input[[#This Row],[Existing lamps per fixture]], ":",Table_PrescriptLights_Input[[#This Row],[Existing lamp wattage]])</f>
        <v>::</v>
      </c>
      <c r="AI179" s="53" t="e">
        <f>INDEX(Table_TRM_Fixtures[Fixture Code], MATCH(Table_PrescriptLights_Input[[#This Row],[Detailed Baseline Fixture Lookup]], Table_TRM_Fixtures[Detailed Prescriptive Baseline Fixture Lookup], 0))</f>
        <v>#N/A</v>
      </c>
      <c r="AJ179" s="53" t="e">
        <f>INDEX(Table_TRM_Fixtures[Fixture Wattage for Baseline Calculations],MATCH(Table_PrescriptLights_Input[[#This Row],[Detailed Baseline Fixture Lookup]], Table_TRM_Fixtures[Detailed Prescriptive Baseline Fixture Lookup],0))</f>
        <v>#N/A</v>
      </c>
      <c r="AK179" s="127" t="e">
        <f>INDEX(Table_Bldg_IEFD_IEFC[IEFE], MATCH( Input_HVACType,Table_Bldg_IEFD_IEFC[List_HVAC], 0))</f>
        <v>#N/A</v>
      </c>
      <c r="AL179" s="127" t="e">
        <f>INDEX( Table_Bldg_IEFD_IEFC[IEFE],MATCH( Input_HVACType, Table_Bldg_IEFD_IEFC[List_HVAC],0 ))</f>
        <v>#N/A</v>
      </c>
      <c r="AM179" s="127" t="e">
        <f>INDEX(Table_Control_PAF[PAF], MATCH(Table_PrescriptLights_Input[[#This Row],[Existing controls]], Table_Control_PAF[List_Control_Types], 0 ) )</f>
        <v>#N/A</v>
      </c>
      <c r="AN179"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79"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79"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79" s="53">
        <f>IFERROR(LEFT(Table_PrescriptLights_Input[[#This Row],[Existing lighting type]], FIND(",",Table_PrescriptLights_Input[[#This Row],[Existing lighting type]])-1), Table_PrescriptLights_Input[[#This Row],[Existing lighting type]])</f>
        <v>0</v>
      </c>
      <c r="AR179" s="53" t="str">
        <f>_xlfn.CONCAT(Table_PrescriptLights_Input[[#This Row],[Generalized Fixture Type]], ":",Table_PrescriptLights_Input[[#This Row],[Existing lamps per fixture]],":",Table_PrescriptLights_Input[[#This Row],[Existing lamp wattage]])</f>
        <v>0::</v>
      </c>
      <c r="AS179" s="53" t="e">
        <f>INDEX(Table_TRM_Fixtures[Fixture Code], MATCH(Table_PrescriptLights_Input[[#This Row],[Generalized Fixture Baseline Lookup]], Table_TRM_Fixtures[Generalized Baseline Fixture Lookup], 0))</f>
        <v>#N/A</v>
      </c>
      <c r="AT179"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79"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79"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79"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79"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79" s="53" t="e">
        <f>IFERROR(Table_PrescriptLights_Input[[#This Row],[Detailed Baseline Fixture Code]],Table_PrescriptLights_Input[[#This Row],[Generalized Baseline Fixture Code]])</f>
        <v>#N/A</v>
      </c>
      <c r="AZ179" s="4"/>
      <c r="BA179" s="4"/>
      <c r="BB179" s="4"/>
      <c r="BC179" s="4"/>
      <c r="BD179" s="4"/>
      <c r="BE179" s="4"/>
      <c r="BF179" s="4"/>
      <c r="BG179" s="4"/>
      <c r="BH179" s="4"/>
      <c r="BI179" s="4"/>
      <c r="BJ179" s="4"/>
      <c r="BK179" s="4"/>
      <c r="BL179" s="4"/>
      <c r="BM179" s="4"/>
      <c r="BN179" s="4"/>
      <c r="BO179" s="4"/>
      <c r="BP179" s="4"/>
      <c r="BQ179" s="4"/>
    </row>
    <row r="180" spans="1:69" x14ac:dyDescent="0.2">
      <c r="A180" s="4"/>
      <c r="B180" s="189">
        <v>176</v>
      </c>
      <c r="C180" s="61" t="str">
        <f>IFERROR(INDEX(Table_Prescript_Meas[Measure Number], MATCH(Table_PrescriptLights_Input[[#This Row],[Prescriptive lighting measure]], Table_Prescript_Meas[Measure Description], 0)), "")</f>
        <v/>
      </c>
      <c r="D180" s="192"/>
      <c r="E180" s="179"/>
      <c r="F180" s="179"/>
      <c r="G180" s="61" t="str">
        <f>IFERROR(INDEX(Table_Prescript_Meas[Unit], MATCH(Table_PrescriptLights_Input[[#This Row],[Measure number]], Table_Prescript_Meas[Measure Number], 0)), "")</f>
        <v/>
      </c>
      <c r="H180" s="180"/>
      <c r="I180" s="179"/>
      <c r="J180" s="179"/>
      <c r="K180" s="180"/>
      <c r="L180" s="179"/>
      <c r="M180" s="180"/>
      <c r="N180" s="180"/>
      <c r="O180" s="180"/>
      <c r="P180" s="180"/>
      <c r="Q180" s="180"/>
      <c r="R180" s="181"/>
      <c r="S180" s="181"/>
      <c r="T180"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80"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80" s="69" t="str">
        <f>IF(Table_PrescriptLights_Input[[#This Row],[Prescriptive lighting measure]]="","",Table_PrescriptLights_Input[[#This Row],[Calculated Energy Savings]])</f>
        <v/>
      </c>
      <c r="W180" s="73" t="str">
        <f>IF(Table_PrescriptLights_Input[[#This Row],[Prescriptive lighting measure]]="","",Table_PrescriptLights_Input[[#This Row],[Calculated Demand Savings]])</f>
        <v/>
      </c>
      <c r="X180" s="67" t="str">
        <f>IFERROR(Table_PrescriptLights_Input[[#This Row],[Energy savings (kWh)]]*Input_AvgkWhRate, "")</f>
        <v/>
      </c>
      <c r="Y180" s="67" t="str">
        <f>IF(Table_PrescriptLights_Input[[#This Row],[Prescriptive lighting measure]]="", "",Table_PrescriptLights_Input[[#This Row],[Material cost per fixture]]*Table_PrescriptLights_Input[[#This Row],[Number of proposed fixtures]]+Table_PrescriptLights_Input[[#This Row],[Total labor cost]])</f>
        <v/>
      </c>
      <c r="Z180" s="67" t="str">
        <f>IFERROR(Table_PrescriptLights_Input[[#This Row],[Gross measure cost]]-Table_PrescriptLights_Input[[#This Row],[Estimated incentive]], "")</f>
        <v/>
      </c>
      <c r="AA180" s="69" t="str">
        <f t="shared" si="5"/>
        <v/>
      </c>
      <c r="AB180" s="69" t="str">
        <f>IF(ISNUMBER(Table_PrescriptLights_Input[[#This Row],[Detailed Fixture Calculation Wattage]]), "Detailed", "General")</f>
        <v>General</v>
      </c>
      <c r="AC180" s="53" t="e">
        <f>INDEX(Table_IntExt_Match[Measure Selection List], MATCH(Table_PrescriptLights_Input[[#This Row],[Interior or exterior?]], Table_IntExt_Match[Inetrior or Exterior], 0))</f>
        <v>#N/A</v>
      </c>
      <c r="AD180" s="53" t="e">
        <f>INDEX(Table_Prescript_Meas[Unit], MATCH(C180, Table_Prescript_Meas[Measure Number], 0))</f>
        <v>#N/A</v>
      </c>
      <c r="AE180" s="53" t="e">
        <f>INDEX(Table_Prescript_Meas[Lighting Type Selection List], MATCH(C180, Table_Prescript_Meas[Measure Number], 0))</f>
        <v>#N/A</v>
      </c>
      <c r="AF180" s="53" t="e">
        <f>INDEX(Table_Prescript_Meas[AOH Type], MATCH(Table_PrescriptLights_Input[[#This Row],[Measure number]], Table_Prescript_Meas[Measure Number],0))</f>
        <v>#N/A</v>
      </c>
      <c r="AG180"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80" s="53" t="str">
        <f>_xlfn.CONCAT(Table_PrescriptLights_Input[[#This Row],[Existing lighting type]],":",Table_PrescriptLights_Input[[#This Row],[Existing lamps per fixture]], ":",Table_PrescriptLights_Input[[#This Row],[Existing lamp wattage]])</f>
        <v>::</v>
      </c>
      <c r="AI180" s="53" t="e">
        <f>INDEX(Table_TRM_Fixtures[Fixture Code], MATCH(Table_PrescriptLights_Input[[#This Row],[Detailed Baseline Fixture Lookup]], Table_TRM_Fixtures[Detailed Prescriptive Baseline Fixture Lookup], 0))</f>
        <v>#N/A</v>
      </c>
      <c r="AJ180" s="53" t="e">
        <f>INDEX(Table_TRM_Fixtures[Fixture Wattage for Baseline Calculations],MATCH(Table_PrescriptLights_Input[[#This Row],[Detailed Baseline Fixture Lookup]], Table_TRM_Fixtures[Detailed Prescriptive Baseline Fixture Lookup],0))</f>
        <v>#N/A</v>
      </c>
      <c r="AK180" s="127" t="e">
        <f>INDEX(Table_Bldg_IEFD_IEFC[IEFE], MATCH( Input_HVACType,Table_Bldg_IEFD_IEFC[List_HVAC], 0))</f>
        <v>#N/A</v>
      </c>
      <c r="AL180" s="127" t="e">
        <f>INDEX( Table_Bldg_IEFD_IEFC[IEFE],MATCH( Input_HVACType, Table_Bldg_IEFD_IEFC[List_HVAC],0 ))</f>
        <v>#N/A</v>
      </c>
      <c r="AM180" s="127" t="e">
        <f>INDEX(Table_Control_PAF[PAF], MATCH(Table_PrescriptLights_Input[[#This Row],[Existing controls]], Table_Control_PAF[List_Control_Types], 0 ) )</f>
        <v>#N/A</v>
      </c>
      <c r="AN180"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80"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80"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80" s="53">
        <f>IFERROR(LEFT(Table_PrescriptLights_Input[[#This Row],[Existing lighting type]], FIND(",",Table_PrescriptLights_Input[[#This Row],[Existing lighting type]])-1), Table_PrescriptLights_Input[[#This Row],[Existing lighting type]])</f>
        <v>0</v>
      </c>
      <c r="AR180" s="53" t="str">
        <f>_xlfn.CONCAT(Table_PrescriptLights_Input[[#This Row],[Generalized Fixture Type]], ":",Table_PrescriptLights_Input[[#This Row],[Existing lamps per fixture]],":",Table_PrescriptLights_Input[[#This Row],[Existing lamp wattage]])</f>
        <v>0::</v>
      </c>
      <c r="AS180" s="53" t="e">
        <f>INDEX(Table_TRM_Fixtures[Fixture Code], MATCH(Table_PrescriptLights_Input[[#This Row],[Generalized Fixture Baseline Lookup]], Table_TRM_Fixtures[Generalized Baseline Fixture Lookup], 0))</f>
        <v>#N/A</v>
      </c>
      <c r="AT180"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80"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80"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80"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80"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80" s="53" t="e">
        <f>IFERROR(Table_PrescriptLights_Input[[#This Row],[Detailed Baseline Fixture Code]],Table_PrescriptLights_Input[[#This Row],[Generalized Baseline Fixture Code]])</f>
        <v>#N/A</v>
      </c>
      <c r="AZ180" s="4"/>
      <c r="BA180" s="4"/>
      <c r="BB180" s="4"/>
      <c r="BC180" s="4"/>
      <c r="BD180" s="4"/>
      <c r="BE180" s="4"/>
      <c r="BF180" s="4"/>
      <c r="BG180" s="4"/>
      <c r="BH180" s="4"/>
      <c r="BI180" s="4"/>
      <c r="BJ180" s="4"/>
      <c r="BK180" s="4"/>
      <c r="BL180" s="4"/>
      <c r="BM180" s="4"/>
      <c r="BN180" s="4"/>
      <c r="BO180" s="4"/>
      <c r="BP180" s="4"/>
      <c r="BQ180" s="4"/>
    </row>
    <row r="181" spans="1:69" x14ac:dyDescent="0.2">
      <c r="A181" s="4"/>
      <c r="B181" s="189">
        <v>177</v>
      </c>
      <c r="C181" s="61" t="str">
        <f>IFERROR(INDEX(Table_Prescript_Meas[Measure Number], MATCH(Table_PrescriptLights_Input[[#This Row],[Prescriptive lighting measure]], Table_Prescript_Meas[Measure Description], 0)), "")</f>
        <v/>
      </c>
      <c r="D181" s="192"/>
      <c r="E181" s="179"/>
      <c r="F181" s="179"/>
      <c r="G181" s="61" t="str">
        <f>IFERROR(INDEX(Table_Prescript_Meas[Unit], MATCH(Table_PrescriptLights_Input[[#This Row],[Measure number]], Table_Prescript_Meas[Measure Number], 0)), "")</f>
        <v/>
      </c>
      <c r="H181" s="180"/>
      <c r="I181" s="179"/>
      <c r="J181" s="179"/>
      <c r="K181" s="180"/>
      <c r="L181" s="179"/>
      <c r="M181" s="180"/>
      <c r="N181" s="180"/>
      <c r="O181" s="180"/>
      <c r="P181" s="180"/>
      <c r="Q181" s="180"/>
      <c r="R181" s="181"/>
      <c r="S181" s="181"/>
      <c r="T181"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81"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81" s="69" t="str">
        <f>IF(Table_PrescriptLights_Input[[#This Row],[Prescriptive lighting measure]]="","",Table_PrescriptLights_Input[[#This Row],[Calculated Energy Savings]])</f>
        <v/>
      </c>
      <c r="W181" s="73" t="str">
        <f>IF(Table_PrescriptLights_Input[[#This Row],[Prescriptive lighting measure]]="","",Table_PrescriptLights_Input[[#This Row],[Calculated Demand Savings]])</f>
        <v/>
      </c>
      <c r="X181" s="67" t="str">
        <f>IFERROR(Table_PrescriptLights_Input[[#This Row],[Energy savings (kWh)]]*Input_AvgkWhRate, "")</f>
        <v/>
      </c>
      <c r="Y181" s="67" t="str">
        <f>IF(Table_PrescriptLights_Input[[#This Row],[Prescriptive lighting measure]]="", "",Table_PrescriptLights_Input[[#This Row],[Material cost per fixture]]*Table_PrescriptLights_Input[[#This Row],[Number of proposed fixtures]]+Table_PrescriptLights_Input[[#This Row],[Total labor cost]])</f>
        <v/>
      </c>
      <c r="Z181" s="67" t="str">
        <f>IFERROR(Table_PrescriptLights_Input[[#This Row],[Gross measure cost]]-Table_PrescriptLights_Input[[#This Row],[Estimated incentive]], "")</f>
        <v/>
      </c>
      <c r="AA181" s="69" t="str">
        <f t="shared" si="5"/>
        <v/>
      </c>
      <c r="AB181" s="69" t="str">
        <f>IF(ISNUMBER(Table_PrescriptLights_Input[[#This Row],[Detailed Fixture Calculation Wattage]]), "Detailed", "General")</f>
        <v>General</v>
      </c>
      <c r="AC181" s="53" t="e">
        <f>INDEX(Table_IntExt_Match[Measure Selection List], MATCH(Table_PrescriptLights_Input[[#This Row],[Interior or exterior?]], Table_IntExt_Match[Inetrior or Exterior], 0))</f>
        <v>#N/A</v>
      </c>
      <c r="AD181" s="53" t="e">
        <f>INDEX(Table_Prescript_Meas[Unit], MATCH(C181, Table_Prescript_Meas[Measure Number], 0))</f>
        <v>#N/A</v>
      </c>
      <c r="AE181" s="53" t="e">
        <f>INDEX(Table_Prescript_Meas[Lighting Type Selection List], MATCH(C181, Table_Prescript_Meas[Measure Number], 0))</f>
        <v>#N/A</v>
      </c>
      <c r="AF181" s="53" t="e">
        <f>INDEX(Table_Prescript_Meas[AOH Type], MATCH(Table_PrescriptLights_Input[[#This Row],[Measure number]], Table_Prescript_Meas[Measure Number],0))</f>
        <v>#N/A</v>
      </c>
      <c r="AG181"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81" s="53" t="str">
        <f>_xlfn.CONCAT(Table_PrescriptLights_Input[[#This Row],[Existing lighting type]],":",Table_PrescriptLights_Input[[#This Row],[Existing lamps per fixture]], ":",Table_PrescriptLights_Input[[#This Row],[Existing lamp wattage]])</f>
        <v>::</v>
      </c>
      <c r="AI181" s="53" t="e">
        <f>INDEX(Table_TRM_Fixtures[Fixture Code], MATCH(Table_PrescriptLights_Input[[#This Row],[Detailed Baseline Fixture Lookup]], Table_TRM_Fixtures[Detailed Prescriptive Baseline Fixture Lookup], 0))</f>
        <v>#N/A</v>
      </c>
      <c r="AJ181" s="53" t="e">
        <f>INDEX(Table_TRM_Fixtures[Fixture Wattage for Baseline Calculations],MATCH(Table_PrescriptLights_Input[[#This Row],[Detailed Baseline Fixture Lookup]], Table_TRM_Fixtures[Detailed Prescriptive Baseline Fixture Lookup],0))</f>
        <v>#N/A</v>
      </c>
      <c r="AK181" s="127" t="e">
        <f>INDEX(Table_Bldg_IEFD_IEFC[IEFE], MATCH( Input_HVACType,Table_Bldg_IEFD_IEFC[List_HVAC], 0))</f>
        <v>#N/A</v>
      </c>
      <c r="AL181" s="127" t="e">
        <f>INDEX( Table_Bldg_IEFD_IEFC[IEFE],MATCH( Input_HVACType, Table_Bldg_IEFD_IEFC[List_HVAC],0 ))</f>
        <v>#N/A</v>
      </c>
      <c r="AM181" s="127" t="e">
        <f>INDEX(Table_Control_PAF[PAF], MATCH(Table_PrescriptLights_Input[[#This Row],[Existing controls]], Table_Control_PAF[List_Control_Types], 0 ) )</f>
        <v>#N/A</v>
      </c>
      <c r="AN181"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81"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81"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81" s="53">
        <f>IFERROR(LEFT(Table_PrescriptLights_Input[[#This Row],[Existing lighting type]], FIND(",",Table_PrescriptLights_Input[[#This Row],[Existing lighting type]])-1), Table_PrescriptLights_Input[[#This Row],[Existing lighting type]])</f>
        <v>0</v>
      </c>
      <c r="AR181" s="53" t="str">
        <f>_xlfn.CONCAT(Table_PrescriptLights_Input[[#This Row],[Generalized Fixture Type]], ":",Table_PrescriptLights_Input[[#This Row],[Existing lamps per fixture]],":",Table_PrescriptLights_Input[[#This Row],[Existing lamp wattage]])</f>
        <v>0::</v>
      </c>
      <c r="AS181" s="53" t="e">
        <f>INDEX(Table_TRM_Fixtures[Fixture Code], MATCH(Table_PrescriptLights_Input[[#This Row],[Generalized Fixture Baseline Lookup]], Table_TRM_Fixtures[Generalized Baseline Fixture Lookup], 0))</f>
        <v>#N/A</v>
      </c>
      <c r="AT181"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81"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81"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81"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81"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81" s="53" t="e">
        <f>IFERROR(Table_PrescriptLights_Input[[#This Row],[Detailed Baseline Fixture Code]],Table_PrescriptLights_Input[[#This Row],[Generalized Baseline Fixture Code]])</f>
        <v>#N/A</v>
      </c>
      <c r="AZ181" s="4"/>
      <c r="BA181" s="4"/>
      <c r="BB181" s="4"/>
      <c r="BC181" s="4"/>
      <c r="BD181" s="4"/>
      <c r="BE181" s="4"/>
      <c r="BF181" s="4"/>
      <c r="BG181" s="4"/>
      <c r="BH181" s="4"/>
      <c r="BI181" s="4"/>
      <c r="BJ181" s="4"/>
      <c r="BK181" s="4"/>
      <c r="BL181" s="4"/>
      <c r="BM181" s="4"/>
      <c r="BN181" s="4"/>
      <c r="BO181" s="4"/>
      <c r="BP181" s="4"/>
      <c r="BQ181" s="4"/>
    </row>
    <row r="182" spans="1:69" x14ac:dyDescent="0.2">
      <c r="A182" s="4"/>
      <c r="B182" s="189">
        <v>178</v>
      </c>
      <c r="C182" s="61" t="str">
        <f>IFERROR(INDEX(Table_Prescript_Meas[Measure Number], MATCH(Table_PrescriptLights_Input[[#This Row],[Prescriptive lighting measure]], Table_Prescript_Meas[Measure Description], 0)), "")</f>
        <v/>
      </c>
      <c r="D182" s="192"/>
      <c r="E182" s="179"/>
      <c r="F182" s="179"/>
      <c r="G182" s="61" t="str">
        <f>IFERROR(INDEX(Table_Prescript_Meas[Unit], MATCH(Table_PrescriptLights_Input[[#This Row],[Measure number]], Table_Prescript_Meas[Measure Number], 0)), "")</f>
        <v/>
      </c>
      <c r="H182" s="180"/>
      <c r="I182" s="179"/>
      <c r="J182" s="179"/>
      <c r="K182" s="180"/>
      <c r="L182" s="179"/>
      <c r="M182" s="180"/>
      <c r="N182" s="180"/>
      <c r="O182" s="180"/>
      <c r="P182" s="180"/>
      <c r="Q182" s="180"/>
      <c r="R182" s="181"/>
      <c r="S182" s="181"/>
      <c r="T182"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82"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82" s="69" t="str">
        <f>IF(Table_PrescriptLights_Input[[#This Row],[Prescriptive lighting measure]]="","",Table_PrescriptLights_Input[[#This Row],[Calculated Energy Savings]])</f>
        <v/>
      </c>
      <c r="W182" s="73" t="str">
        <f>IF(Table_PrescriptLights_Input[[#This Row],[Prescriptive lighting measure]]="","",Table_PrescriptLights_Input[[#This Row],[Calculated Demand Savings]])</f>
        <v/>
      </c>
      <c r="X182" s="67" t="str">
        <f>IFERROR(Table_PrescriptLights_Input[[#This Row],[Energy savings (kWh)]]*Input_AvgkWhRate, "")</f>
        <v/>
      </c>
      <c r="Y182" s="67" t="str">
        <f>IF(Table_PrescriptLights_Input[[#This Row],[Prescriptive lighting measure]]="", "",Table_PrescriptLights_Input[[#This Row],[Material cost per fixture]]*Table_PrescriptLights_Input[[#This Row],[Number of proposed fixtures]]+Table_PrescriptLights_Input[[#This Row],[Total labor cost]])</f>
        <v/>
      </c>
      <c r="Z182" s="67" t="str">
        <f>IFERROR(Table_PrescriptLights_Input[[#This Row],[Gross measure cost]]-Table_PrescriptLights_Input[[#This Row],[Estimated incentive]], "")</f>
        <v/>
      </c>
      <c r="AA182" s="69" t="str">
        <f t="shared" si="5"/>
        <v/>
      </c>
      <c r="AB182" s="69" t="str">
        <f>IF(ISNUMBER(Table_PrescriptLights_Input[[#This Row],[Detailed Fixture Calculation Wattage]]), "Detailed", "General")</f>
        <v>General</v>
      </c>
      <c r="AC182" s="53" t="e">
        <f>INDEX(Table_IntExt_Match[Measure Selection List], MATCH(Table_PrescriptLights_Input[[#This Row],[Interior or exterior?]], Table_IntExt_Match[Inetrior or Exterior], 0))</f>
        <v>#N/A</v>
      </c>
      <c r="AD182" s="53" t="e">
        <f>INDEX(Table_Prescript_Meas[Unit], MATCH(C182, Table_Prescript_Meas[Measure Number], 0))</f>
        <v>#N/A</v>
      </c>
      <c r="AE182" s="53" t="e">
        <f>INDEX(Table_Prescript_Meas[Lighting Type Selection List], MATCH(C182, Table_Prescript_Meas[Measure Number], 0))</f>
        <v>#N/A</v>
      </c>
      <c r="AF182" s="53" t="e">
        <f>INDEX(Table_Prescript_Meas[AOH Type], MATCH(Table_PrescriptLights_Input[[#This Row],[Measure number]], Table_Prescript_Meas[Measure Number],0))</f>
        <v>#N/A</v>
      </c>
      <c r="AG182"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82" s="53" t="str">
        <f>_xlfn.CONCAT(Table_PrescriptLights_Input[[#This Row],[Existing lighting type]],":",Table_PrescriptLights_Input[[#This Row],[Existing lamps per fixture]], ":",Table_PrescriptLights_Input[[#This Row],[Existing lamp wattage]])</f>
        <v>::</v>
      </c>
      <c r="AI182" s="53" t="e">
        <f>INDEX(Table_TRM_Fixtures[Fixture Code], MATCH(Table_PrescriptLights_Input[[#This Row],[Detailed Baseline Fixture Lookup]], Table_TRM_Fixtures[Detailed Prescriptive Baseline Fixture Lookup], 0))</f>
        <v>#N/A</v>
      </c>
      <c r="AJ182" s="53" t="e">
        <f>INDEX(Table_TRM_Fixtures[Fixture Wattage for Baseline Calculations],MATCH(Table_PrescriptLights_Input[[#This Row],[Detailed Baseline Fixture Lookup]], Table_TRM_Fixtures[Detailed Prescriptive Baseline Fixture Lookup],0))</f>
        <v>#N/A</v>
      </c>
      <c r="AK182" s="127" t="e">
        <f>INDEX(Table_Bldg_IEFD_IEFC[IEFE], MATCH( Input_HVACType,Table_Bldg_IEFD_IEFC[List_HVAC], 0))</f>
        <v>#N/A</v>
      </c>
      <c r="AL182" s="127" t="e">
        <f>INDEX( Table_Bldg_IEFD_IEFC[IEFE],MATCH( Input_HVACType, Table_Bldg_IEFD_IEFC[List_HVAC],0 ))</f>
        <v>#N/A</v>
      </c>
      <c r="AM182" s="127" t="e">
        <f>INDEX(Table_Control_PAF[PAF], MATCH(Table_PrescriptLights_Input[[#This Row],[Existing controls]], Table_Control_PAF[List_Control_Types], 0 ) )</f>
        <v>#N/A</v>
      </c>
      <c r="AN182"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82"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82"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82" s="53">
        <f>IFERROR(LEFT(Table_PrescriptLights_Input[[#This Row],[Existing lighting type]], FIND(",",Table_PrescriptLights_Input[[#This Row],[Existing lighting type]])-1), Table_PrescriptLights_Input[[#This Row],[Existing lighting type]])</f>
        <v>0</v>
      </c>
      <c r="AR182" s="53" t="str">
        <f>_xlfn.CONCAT(Table_PrescriptLights_Input[[#This Row],[Generalized Fixture Type]], ":",Table_PrescriptLights_Input[[#This Row],[Existing lamps per fixture]],":",Table_PrescriptLights_Input[[#This Row],[Existing lamp wattage]])</f>
        <v>0::</v>
      </c>
      <c r="AS182" s="53" t="e">
        <f>INDEX(Table_TRM_Fixtures[Fixture Code], MATCH(Table_PrescriptLights_Input[[#This Row],[Generalized Fixture Baseline Lookup]], Table_TRM_Fixtures[Generalized Baseline Fixture Lookup], 0))</f>
        <v>#N/A</v>
      </c>
      <c r="AT182"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82"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82"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82"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82"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82" s="53" t="e">
        <f>IFERROR(Table_PrescriptLights_Input[[#This Row],[Detailed Baseline Fixture Code]],Table_PrescriptLights_Input[[#This Row],[Generalized Baseline Fixture Code]])</f>
        <v>#N/A</v>
      </c>
      <c r="AZ182" s="4"/>
      <c r="BA182" s="4"/>
      <c r="BB182" s="4"/>
      <c r="BC182" s="4"/>
      <c r="BD182" s="4"/>
      <c r="BE182" s="4"/>
      <c r="BF182" s="4"/>
      <c r="BG182" s="4"/>
      <c r="BH182" s="4"/>
      <c r="BI182" s="4"/>
      <c r="BJ182" s="4"/>
      <c r="BK182" s="4"/>
      <c r="BL182" s="4"/>
      <c r="BM182" s="4"/>
      <c r="BN182" s="4"/>
      <c r="BO182" s="4"/>
      <c r="BP182" s="4"/>
      <c r="BQ182" s="4"/>
    </row>
    <row r="183" spans="1:69" x14ac:dyDescent="0.2">
      <c r="A183" s="4"/>
      <c r="B183" s="189">
        <v>179</v>
      </c>
      <c r="C183" s="61" t="str">
        <f>IFERROR(INDEX(Table_Prescript_Meas[Measure Number], MATCH(Table_PrescriptLights_Input[[#This Row],[Prescriptive lighting measure]], Table_Prescript_Meas[Measure Description], 0)), "")</f>
        <v/>
      </c>
      <c r="D183" s="192"/>
      <c r="E183" s="179"/>
      <c r="F183" s="179"/>
      <c r="G183" s="61" t="str">
        <f>IFERROR(INDEX(Table_Prescript_Meas[Unit], MATCH(Table_PrescriptLights_Input[[#This Row],[Measure number]], Table_Prescript_Meas[Measure Number], 0)), "")</f>
        <v/>
      </c>
      <c r="H183" s="180"/>
      <c r="I183" s="179"/>
      <c r="J183" s="179"/>
      <c r="K183" s="180"/>
      <c r="L183" s="179"/>
      <c r="M183" s="180"/>
      <c r="N183" s="180"/>
      <c r="O183" s="180"/>
      <c r="P183" s="180"/>
      <c r="Q183" s="180"/>
      <c r="R183" s="181"/>
      <c r="S183" s="181"/>
      <c r="T183"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83"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83" s="69" t="str">
        <f>IF(Table_PrescriptLights_Input[[#This Row],[Prescriptive lighting measure]]="","",Table_PrescriptLights_Input[[#This Row],[Calculated Energy Savings]])</f>
        <v/>
      </c>
      <c r="W183" s="73" t="str">
        <f>IF(Table_PrescriptLights_Input[[#This Row],[Prescriptive lighting measure]]="","",Table_PrescriptLights_Input[[#This Row],[Calculated Demand Savings]])</f>
        <v/>
      </c>
      <c r="X183" s="67" t="str">
        <f>IFERROR(Table_PrescriptLights_Input[[#This Row],[Energy savings (kWh)]]*Input_AvgkWhRate, "")</f>
        <v/>
      </c>
      <c r="Y183" s="67" t="str">
        <f>IF(Table_PrescriptLights_Input[[#This Row],[Prescriptive lighting measure]]="", "",Table_PrescriptLights_Input[[#This Row],[Material cost per fixture]]*Table_PrescriptLights_Input[[#This Row],[Number of proposed fixtures]]+Table_PrescriptLights_Input[[#This Row],[Total labor cost]])</f>
        <v/>
      </c>
      <c r="Z183" s="67" t="str">
        <f>IFERROR(Table_PrescriptLights_Input[[#This Row],[Gross measure cost]]-Table_PrescriptLights_Input[[#This Row],[Estimated incentive]], "")</f>
        <v/>
      </c>
      <c r="AA183" s="69" t="str">
        <f t="shared" si="5"/>
        <v/>
      </c>
      <c r="AB183" s="69" t="str">
        <f>IF(ISNUMBER(Table_PrescriptLights_Input[[#This Row],[Detailed Fixture Calculation Wattage]]), "Detailed", "General")</f>
        <v>General</v>
      </c>
      <c r="AC183" s="53" t="e">
        <f>INDEX(Table_IntExt_Match[Measure Selection List], MATCH(Table_PrescriptLights_Input[[#This Row],[Interior or exterior?]], Table_IntExt_Match[Inetrior or Exterior], 0))</f>
        <v>#N/A</v>
      </c>
      <c r="AD183" s="53" t="e">
        <f>INDEX(Table_Prescript_Meas[Unit], MATCH(C183, Table_Prescript_Meas[Measure Number], 0))</f>
        <v>#N/A</v>
      </c>
      <c r="AE183" s="53" t="e">
        <f>INDEX(Table_Prescript_Meas[Lighting Type Selection List], MATCH(C183, Table_Prescript_Meas[Measure Number], 0))</f>
        <v>#N/A</v>
      </c>
      <c r="AF183" s="53" t="e">
        <f>INDEX(Table_Prescript_Meas[AOH Type], MATCH(Table_PrescriptLights_Input[[#This Row],[Measure number]], Table_Prescript_Meas[Measure Number],0))</f>
        <v>#N/A</v>
      </c>
      <c r="AG183"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83" s="53" t="str">
        <f>_xlfn.CONCAT(Table_PrescriptLights_Input[[#This Row],[Existing lighting type]],":",Table_PrescriptLights_Input[[#This Row],[Existing lamps per fixture]], ":",Table_PrescriptLights_Input[[#This Row],[Existing lamp wattage]])</f>
        <v>::</v>
      </c>
      <c r="AI183" s="53" t="e">
        <f>INDEX(Table_TRM_Fixtures[Fixture Code], MATCH(Table_PrescriptLights_Input[[#This Row],[Detailed Baseline Fixture Lookup]], Table_TRM_Fixtures[Detailed Prescriptive Baseline Fixture Lookup], 0))</f>
        <v>#N/A</v>
      </c>
      <c r="AJ183" s="53" t="e">
        <f>INDEX(Table_TRM_Fixtures[Fixture Wattage for Baseline Calculations],MATCH(Table_PrescriptLights_Input[[#This Row],[Detailed Baseline Fixture Lookup]], Table_TRM_Fixtures[Detailed Prescriptive Baseline Fixture Lookup],0))</f>
        <v>#N/A</v>
      </c>
      <c r="AK183" s="127" t="e">
        <f>INDEX(Table_Bldg_IEFD_IEFC[IEFE], MATCH( Input_HVACType,Table_Bldg_IEFD_IEFC[List_HVAC], 0))</f>
        <v>#N/A</v>
      </c>
      <c r="AL183" s="127" t="e">
        <f>INDEX( Table_Bldg_IEFD_IEFC[IEFE],MATCH( Input_HVACType, Table_Bldg_IEFD_IEFC[List_HVAC],0 ))</f>
        <v>#N/A</v>
      </c>
      <c r="AM183" s="127" t="e">
        <f>INDEX(Table_Control_PAF[PAF], MATCH(Table_PrescriptLights_Input[[#This Row],[Existing controls]], Table_Control_PAF[List_Control_Types], 0 ) )</f>
        <v>#N/A</v>
      </c>
      <c r="AN183"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83"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83"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83" s="53">
        <f>IFERROR(LEFT(Table_PrescriptLights_Input[[#This Row],[Existing lighting type]], FIND(",",Table_PrescriptLights_Input[[#This Row],[Existing lighting type]])-1), Table_PrescriptLights_Input[[#This Row],[Existing lighting type]])</f>
        <v>0</v>
      </c>
      <c r="AR183" s="53" t="str">
        <f>_xlfn.CONCAT(Table_PrescriptLights_Input[[#This Row],[Generalized Fixture Type]], ":",Table_PrescriptLights_Input[[#This Row],[Existing lamps per fixture]],":",Table_PrescriptLights_Input[[#This Row],[Existing lamp wattage]])</f>
        <v>0::</v>
      </c>
      <c r="AS183" s="53" t="e">
        <f>INDEX(Table_TRM_Fixtures[Fixture Code], MATCH(Table_PrescriptLights_Input[[#This Row],[Generalized Fixture Baseline Lookup]], Table_TRM_Fixtures[Generalized Baseline Fixture Lookup], 0))</f>
        <v>#N/A</v>
      </c>
      <c r="AT183"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83"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83"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83"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83"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83" s="53" t="e">
        <f>IFERROR(Table_PrescriptLights_Input[[#This Row],[Detailed Baseline Fixture Code]],Table_PrescriptLights_Input[[#This Row],[Generalized Baseline Fixture Code]])</f>
        <v>#N/A</v>
      </c>
      <c r="AZ183" s="4"/>
      <c r="BA183" s="4"/>
      <c r="BB183" s="4"/>
      <c r="BC183" s="4"/>
      <c r="BD183" s="4"/>
      <c r="BE183" s="4"/>
      <c r="BF183" s="4"/>
      <c r="BG183" s="4"/>
      <c r="BH183" s="4"/>
      <c r="BI183" s="4"/>
      <c r="BJ183" s="4"/>
      <c r="BK183" s="4"/>
      <c r="BL183" s="4"/>
      <c r="BM183" s="4"/>
      <c r="BN183" s="4"/>
      <c r="BO183" s="4"/>
      <c r="BP183" s="4"/>
      <c r="BQ183" s="4"/>
    </row>
    <row r="184" spans="1:69" x14ac:dyDescent="0.2">
      <c r="A184" s="4"/>
      <c r="B184" s="189">
        <v>180</v>
      </c>
      <c r="C184" s="61" t="str">
        <f>IFERROR(INDEX(Table_Prescript_Meas[Measure Number], MATCH(Table_PrescriptLights_Input[[#This Row],[Prescriptive lighting measure]], Table_Prescript_Meas[Measure Description], 0)), "")</f>
        <v/>
      </c>
      <c r="D184" s="192"/>
      <c r="E184" s="179"/>
      <c r="F184" s="179"/>
      <c r="G184" s="61" t="str">
        <f>IFERROR(INDEX(Table_Prescript_Meas[Unit], MATCH(Table_PrescriptLights_Input[[#This Row],[Measure number]], Table_Prescript_Meas[Measure Number], 0)), "")</f>
        <v/>
      </c>
      <c r="H184" s="180"/>
      <c r="I184" s="179"/>
      <c r="J184" s="179"/>
      <c r="K184" s="180"/>
      <c r="L184" s="179"/>
      <c r="M184" s="180"/>
      <c r="N184" s="180"/>
      <c r="O184" s="180"/>
      <c r="P184" s="180"/>
      <c r="Q184" s="180"/>
      <c r="R184" s="181"/>
      <c r="S184" s="181"/>
      <c r="T184"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84"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84" s="69" t="str">
        <f>IF(Table_PrescriptLights_Input[[#This Row],[Prescriptive lighting measure]]="","",Table_PrescriptLights_Input[[#This Row],[Calculated Energy Savings]])</f>
        <v/>
      </c>
      <c r="W184" s="73" t="str">
        <f>IF(Table_PrescriptLights_Input[[#This Row],[Prescriptive lighting measure]]="","",Table_PrescriptLights_Input[[#This Row],[Calculated Demand Savings]])</f>
        <v/>
      </c>
      <c r="X184" s="67" t="str">
        <f>IFERROR(Table_PrescriptLights_Input[[#This Row],[Energy savings (kWh)]]*Input_AvgkWhRate, "")</f>
        <v/>
      </c>
      <c r="Y184" s="67" t="str">
        <f>IF(Table_PrescriptLights_Input[[#This Row],[Prescriptive lighting measure]]="", "",Table_PrescriptLights_Input[[#This Row],[Material cost per fixture]]*Table_PrescriptLights_Input[[#This Row],[Number of proposed fixtures]]+Table_PrescriptLights_Input[[#This Row],[Total labor cost]])</f>
        <v/>
      </c>
      <c r="Z184" s="67" t="str">
        <f>IFERROR(Table_PrescriptLights_Input[[#This Row],[Gross measure cost]]-Table_PrescriptLights_Input[[#This Row],[Estimated incentive]], "")</f>
        <v/>
      </c>
      <c r="AA184" s="69" t="str">
        <f t="shared" si="5"/>
        <v/>
      </c>
      <c r="AB184" s="69" t="str">
        <f>IF(ISNUMBER(Table_PrescriptLights_Input[[#This Row],[Detailed Fixture Calculation Wattage]]), "Detailed", "General")</f>
        <v>General</v>
      </c>
      <c r="AC184" s="53" t="e">
        <f>INDEX(Table_IntExt_Match[Measure Selection List], MATCH(Table_PrescriptLights_Input[[#This Row],[Interior or exterior?]], Table_IntExt_Match[Inetrior or Exterior], 0))</f>
        <v>#N/A</v>
      </c>
      <c r="AD184" s="53" t="e">
        <f>INDEX(Table_Prescript_Meas[Unit], MATCH(C184, Table_Prescript_Meas[Measure Number], 0))</f>
        <v>#N/A</v>
      </c>
      <c r="AE184" s="53" t="e">
        <f>INDEX(Table_Prescript_Meas[Lighting Type Selection List], MATCH(C184, Table_Prescript_Meas[Measure Number], 0))</f>
        <v>#N/A</v>
      </c>
      <c r="AF184" s="53" t="e">
        <f>INDEX(Table_Prescript_Meas[AOH Type], MATCH(Table_PrescriptLights_Input[[#This Row],[Measure number]], Table_Prescript_Meas[Measure Number],0))</f>
        <v>#N/A</v>
      </c>
      <c r="AG184"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84" s="53" t="str">
        <f>_xlfn.CONCAT(Table_PrescriptLights_Input[[#This Row],[Existing lighting type]],":",Table_PrescriptLights_Input[[#This Row],[Existing lamps per fixture]], ":",Table_PrescriptLights_Input[[#This Row],[Existing lamp wattage]])</f>
        <v>::</v>
      </c>
      <c r="AI184" s="53" t="e">
        <f>INDEX(Table_TRM_Fixtures[Fixture Code], MATCH(Table_PrescriptLights_Input[[#This Row],[Detailed Baseline Fixture Lookup]], Table_TRM_Fixtures[Detailed Prescriptive Baseline Fixture Lookup], 0))</f>
        <v>#N/A</v>
      </c>
      <c r="AJ184" s="53" t="e">
        <f>INDEX(Table_TRM_Fixtures[Fixture Wattage for Baseline Calculations],MATCH(Table_PrescriptLights_Input[[#This Row],[Detailed Baseline Fixture Lookup]], Table_TRM_Fixtures[Detailed Prescriptive Baseline Fixture Lookup],0))</f>
        <v>#N/A</v>
      </c>
      <c r="AK184" s="127" t="e">
        <f>INDEX(Table_Bldg_IEFD_IEFC[IEFE], MATCH( Input_HVACType,Table_Bldg_IEFD_IEFC[List_HVAC], 0))</f>
        <v>#N/A</v>
      </c>
      <c r="AL184" s="127" t="e">
        <f>INDEX( Table_Bldg_IEFD_IEFC[IEFE],MATCH( Input_HVACType, Table_Bldg_IEFD_IEFC[List_HVAC],0 ))</f>
        <v>#N/A</v>
      </c>
      <c r="AM184" s="127" t="e">
        <f>INDEX(Table_Control_PAF[PAF], MATCH(Table_PrescriptLights_Input[[#This Row],[Existing controls]], Table_Control_PAF[List_Control_Types], 0 ) )</f>
        <v>#N/A</v>
      </c>
      <c r="AN184"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84"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84"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84" s="53">
        <f>IFERROR(LEFT(Table_PrescriptLights_Input[[#This Row],[Existing lighting type]], FIND(",",Table_PrescriptLights_Input[[#This Row],[Existing lighting type]])-1), Table_PrescriptLights_Input[[#This Row],[Existing lighting type]])</f>
        <v>0</v>
      </c>
      <c r="AR184" s="53" t="str">
        <f>_xlfn.CONCAT(Table_PrescriptLights_Input[[#This Row],[Generalized Fixture Type]], ":",Table_PrescriptLights_Input[[#This Row],[Existing lamps per fixture]],":",Table_PrescriptLights_Input[[#This Row],[Existing lamp wattage]])</f>
        <v>0::</v>
      </c>
      <c r="AS184" s="53" t="e">
        <f>INDEX(Table_TRM_Fixtures[Fixture Code], MATCH(Table_PrescriptLights_Input[[#This Row],[Generalized Fixture Baseline Lookup]], Table_TRM_Fixtures[Generalized Baseline Fixture Lookup], 0))</f>
        <v>#N/A</v>
      </c>
      <c r="AT184"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84"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84"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84"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84"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84" s="53" t="e">
        <f>IFERROR(Table_PrescriptLights_Input[[#This Row],[Detailed Baseline Fixture Code]],Table_PrescriptLights_Input[[#This Row],[Generalized Baseline Fixture Code]])</f>
        <v>#N/A</v>
      </c>
      <c r="AZ184" s="4"/>
      <c r="BA184" s="4"/>
      <c r="BB184" s="4"/>
      <c r="BC184" s="4"/>
      <c r="BD184" s="4"/>
      <c r="BE184" s="4"/>
      <c r="BF184" s="4"/>
      <c r="BG184" s="4"/>
      <c r="BH184" s="4"/>
      <c r="BI184" s="4"/>
      <c r="BJ184" s="4"/>
      <c r="BK184" s="4"/>
      <c r="BL184" s="4"/>
      <c r="BM184" s="4"/>
      <c r="BN184" s="4"/>
      <c r="BO184" s="4"/>
      <c r="BP184" s="4"/>
      <c r="BQ184" s="4"/>
    </row>
    <row r="185" spans="1:69" x14ac:dyDescent="0.2">
      <c r="A185" s="4"/>
      <c r="B185" s="189">
        <v>181</v>
      </c>
      <c r="C185" s="61" t="str">
        <f>IFERROR(INDEX(Table_Prescript_Meas[Measure Number], MATCH(Table_PrescriptLights_Input[[#This Row],[Prescriptive lighting measure]], Table_Prescript_Meas[Measure Description], 0)), "")</f>
        <v/>
      </c>
      <c r="D185" s="192"/>
      <c r="E185" s="179"/>
      <c r="F185" s="179"/>
      <c r="G185" s="61" t="str">
        <f>IFERROR(INDEX(Table_Prescript_Meas[Unit], MATCH(Table_PrescriptLights_Input[[#This Row],[Measure number]], Table_Prescript_Meas[Measure Number], 0)), "")</f>
        <v/>
      </c>
      <c r="H185" s="180"/>
      <c r="I185" s="179"/>
      <c r="J185" s="179"/>
      <c r="K185" s="180"/>
      <c r="L185" s="179"/>
      <c r="M185" s="180"/>
      <c r="N185" s="180"/>
      <c r="O185" s="180"/>
      <c r="P185" s="180"/>
      <c r="Q185" s="180"/>
      <c r="R185" s="181"/>
      <c r="S185" s="181"/>
      <c r="T185"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85"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85" s="69" t="str">
        <f>IF(Table_PrescriptLights_Input[[#This Row],[Prescriptive lighting measure]]="","",Table_PrescriptLights_Input[[#This Row],[Calculated Energy Savings]])</f>
        <v/>
      </c>
      <c r="W185" s="73" t="str">
        <f>IF(Table_PrescriptLights_Input[[#This Row],[Prescriptive lighting measure]]="","",Table_PrescriptLights_Input[[#This Row],[Calculated Demand Savings]])</f>
        <v/>
      </c>
      <c r="X185" s="67" t="str">
        <f>IFERROR(Table_PrescriptLights_Input[[#This Row],[Energy savings (kWh)]]*Input_AvgkWhRate, "")</f>
        <v/>
      </c>
      <c r="Y185" s="67" t="str">
        <f>IF(Table_PrescriptLights_Input[[#This Row],[Prescriptive lighting measure]]="", "",Table_PrescriptLights_Input[[#This Row],[Material cost per fixture]]*Table_PrescriptLights_Input[[#This Row],[Number of proposed fixtures]]+Table_PrescriptLights_Input[[#This Row],[Total labor cost]])</f>
        <v/>
      </c>
      <c r="Z185" s="67" t="str">
        <f>IFERROR(Table_PrescriptLights_Input[[#This Row],[Gross measure cost]]-Table_PrescriptLights_Input[[#This Row],[Estimated incentive]], "")</f>
        <v/>
      </c>
      <c r="AA185" s="69" t="str">
        <f t="shared" si="5"/>
        <v/>
      </c>
      <c r="AB185" s="69" t="str">
        <f>IF(ISNUMBER(Table_PrescriptLights_Input[[#This Row],[Detailed Fixture Calculation Wattage]]), "Detailed", "General")</f>
        <v>General</v>
      </c>
      <c r="AC185" s="53" t="e">
        <f>INDEX(Table_IntExt_Match[Measure Selection List], MATCH(Table_PrescriptLights_Input[[#This Row],[Interior or exterior?]], Table_IntExt_Match[Inetrior or Exterior], 0))</f>
        <v>#N/A</v>
      </c>
      <c r="AD185" s="53" t="e">
        <f>INDEX(Table_Prescript_Meas[Unit], MATCH(C185, Table_Prescript_Meas[Measure Number], 0))</f>
        <v>#N/A</v>
      </c>
      <c r="AE185" s="53" t="e">
        <f>INDEX(Table_Prescript_Meas[Lighting Type Selection List], MATCH(C185, Table_Prescript_Meas[Measure Number], 0))</f>
        <v>#N/A</v>
      </c>
      <c r="AF185" s="53" t="e">
        <f>INDEX(Table_Prescript_Meas[AOH Type], MATCH(Table_PrescriptLights_Input[[#This Row],[Measure number]], Table_Prescript_Meas[Measure Number],0))</f>
        <v>#N/A</v>
      </c>
      <c r="AG185"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85" s="53" t="str">
        <f>_xlfn.CONCAT(Table_PrescriptLights_Input[[#This Row],[Existing lighting type]],":",Table_PrescriptLights_Input[[#This Row],[Existing lamps per fixture]], ":",Table_PrescriptLights_Input[[#This Row],[Existing lamp wattage]])</f>
        <v>::</v>
      </c>
      <c r="AI185" s="53" t="e">
        <f>INDEX(Table_TRM_Fixtures[Fixture Code], MATCH(Table_PrescriptLights_Input[[#This Row],[Detailed Baseline Fixture Lookup]], Table_TRM_Fixtures[Detailed Prescriptive Baseline Fixture Lookup], 0))</f>
        <v>#N/A</v>
      </c>
      <c r="AJ185" s="53" t="e">
        <f>INDEX(Table_TRM_Fixtures[Fixture Wattage for Baseline Calculations],MATCH(Table_PrescriptLights_Input[[#This Row],[Detailed Baseline Fixture Lookup]], Table_TRM_Fixtures[Detailed Prescriptive Baseline Fixture Lookup],0))</f>
        <v>#N/A</v>
      </c>
      <c r="AK185" s="127" t="e">
        <f>INDEX(Table_Bldg_IEFD_IEFC[IEFE], MATCH( Input_HVACType,Table_Bldg_IEFD_IEFC[List_HVAC], 0))</f>
        <v>#N/A</v>
      </c>
      <c r="AL185" s="127" t="e">
        <f>INDEX( Table_Bldg_IEFD_IEFC[IEFE],MATCH( Input_HVACType, Table_Bldg_IEFD_IEFC[List_HVAC],0 ))</f>
        <v>#N/A</v>
      </c>
      <c r="AM185" s="127" t="e">
        <f>INDEX(Table_Control_PAF[PAF], MATCH(Table_PrescriptLights_Input[[#This Row],[Existing controls]], Table_Control_PAF[List_Control_Types], 0 ) )</f>
        <v>#N/A</v>
      </c>
      <c r="AN185"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85"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85"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85" s="53">
        <f>IFERROR(LEFT(Table_PrescriptLights_Input[[#This Row],[Existing lighting type]], FIND(",",Table_PrescriptLights_Input[[#This Row],[Existing lighting type]])-1), Table_PrescriptLights_Input[[#This Row],[Existing lighting type]])</f>
        <v>0</v>
      </c>
      <c r="AR185" s="53" t="str">
        <f>_xlfn.CONCAT(Table_PrescriptLights_Input[[#This Row],[Generalized Fixture Type]], ":",Table_PrescriptLights_Input[[#This Row],[Existing lamps per fixture]],":",Table_PrescriptLights_Input[[#This Row],[Existing lamp wattage]])</f>
        <v>0::</v>
      </c>
      <c r="AS185" s="53" t="e">
        <f>INDEX(Table_TRM_Fixtures[Fixture Code], MATCH(Table_PrescriptLights_Input[[#This Row],[Generalized Fixture Baseline Lookup]], Table_TRM_Fixtures[Generalized Baseline Fixture Lookup], 0))</f>
        <v>#N/A</v>
      </c>
      <c r="AT185"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85"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85"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85"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85"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85" s="53" t="e">
        <f>IFERROR(Table_PrescriptLights_Input[[#This Row],[Detailed Baseline Fixture Code]],Table_PrescriptLights_Input[[#This Row],[Generalized Baseline Fixture Code]])</f>
        <v>#N/A</v>
      </c>
      <c r="AZ185" s="4"/>
      <c r="BA185" s="4"/>
      <c r="BB185" s="4"/>
      <c r="BC185" s="4"/>
      <c r="BD185" s="4"/>
      <c r="BE185" s="4"/>
      <c r="BF185" s="4"/>
      <c r="BG185" s="4"/>
      <c r="BH185" s="4"/>
      <c r="BI185" s="4"/>
      <c r="BJ185" s="4"/>
      <c r="BK185" s="4"/>
      <c r="BL185" s="4"/>
      <c r="BM185" s="4"/>
      <c r="BN185" s="4"/>
      <c r="BO185" s="4"/>
      <c r="BP185" s="4"/>
      <c r="BQ185" s="4"/>
    </row>
    <row r="186" spans="1:69" x14ac:dyDescent="0.2">
      <c r="A186" s="4"/>
      <c r="B186" s="189">
        <v>182</v>
      </c>
      <c r="C186" s="61" t="str">
        <f>IFERROR(INDEX(Table_Prescript_Meas[Measure Number], MATCH(Table_PrescriptLights_Input[[#This Row],[Prescriptive lighting measure]], Table_Prescript_Meas[Measure Description], 0)), "")</f>
        <v/>
      </c>
      <c r="D186" s="192"/>
      <c r="E186" s="179"/>
      <c r="F186" s="179"/>
      <c r="G186" s="61" t="str">
        <f>IFERROR(INDEX(Table_Prescript_Meas[Unit], MATCH(Table_PrescriptLights_Input[[#This Row],[Measure number]], Table_Prescript_Meas[Measure Number], 0)), "")</f>
        <v/>
      </c>
      <c r="H186" s="180"/>
      <c r="I186" s="179"/>
      <c r="J186" s="179"/>
      <c r="K186" s="180"/>
      <c r="L186" s="179"/>
      <c r="M186" s="180"/>
      <c r="N186" s="180"/>
      <c r="O186" s="180"/>
      <c r="P186" s="180"/>
      <c r="Q186" s="180"/>
      <c r="R186" s="181"/>
      <c r="S186" s="181"/>
      <c r="T186"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86"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86" s="69" t="str">
        <f>IF(Table_PrescriptLights_Input[[#This Row],[Prescriptive lighting measure]]="","",Table_PrescriptLights_Input[[#This Row],[Calculated Energy Savings]])</f>
        <v/>
      </c>
      <c r="W186" s="73" t="str">
        <f>IF(Table_PrescriptLights_Input[[#This Row],[Prescriptive lighting measure]]="","",Table_PrescriptLights_Input[[#This Row],[Calculated Demand Savings]])</f>
        <v/>
      </c>
      <c r="X186" s="67" t="str">
        <f>IFERROR(Table_PrescriptLights_Input[[#This Row],[Energy savings (kWh)]]*Input_AvgkWhRate, "")</f>
        <v/>
      </c>
      <c r="Y186" s="67" t="str">
        <f>IF(Table_PrescriptLights_Input[[#This Row],[Prescriptive lighting measure]]="", "",Table_PrescriptLights_Input[[#This Row],[Material cost per fixture]]*Table_PrescriptLights_Input[[#This Row],[Number of proposed fixtures]]+Table_PrescriptLights_Input[[#This Row],[Total labor cost]])</f>
        <v/>
      </c>
      <c r="Z186" s="67" t="str">
        <f>IFERROR(Table_PrescriptLights_Input[[#This Row],[Gross measure cost]]-Table_PrescriptLights_Input[[#This Row],[Estimated incentive]], "")</f>
        <v/>
      </c>
      <c r="AA186" s="69" t="str">
        <f t="shared" si="5"/>
        <v/>
      </c>
      <c r="AB186" s="69" t="str">
        <f>IF(ISNUMBER(Table_PrescriptLights_Input[[#This Row],[Detailed Fixture Calculation Wattage]]), "Detailed", "General")</f>
        <v>General</v>
      </c>
      <c r="AC186" s="53" t="e">
        <f>INDEX(Table_IntExt_Match[Measure Selection List], MATCH(Table_PrescriptLights_Input[[#This Row],[Interior or exterior?]], Table_IntExt_Match[Inetrior or Exterior], 0))</f>
        <v>#N/A</v>
      </c>
      <c r="AD186" s="53" t="e">
        <f>INDEX(Table_Prescript_Meas[Unit], MATCH(C186, Table_Prescript_Meas[Measure Number], 0))</f>
        <v>#N/A</v>
      </c>
      <c r="AE186" s="53" t="e">
        <f>INDEX(Table_Prescript_Meas[Lighting Type Selection List], MATCH(C186, Table_Prescript_Meas[Measure Number], 0))</f>
        <v>#N/A</v>
      </c>
      <c r="AF186" s="53" t="e">
        <f>INDEX(Table_Prescript_Meas[AOH Type], MATCH(Table_PrescriptLights_Input[[#This Row],[Measure number]], Table_Prescript_Meas[Measure Number],0))</f>
        <v>#N/A</v>
      </c>
      <c r="AG186"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86" s="53" t="str">
        <f>_xlfn.CONCAT(Table_PrescriptLights_Input[[#This Row],[Existing lighting type]],":",Table_PrescriptLights_Input[[#This Row],[Existing lamps per fixture]], ":",Table_PrescriptLights_Input[[#This Row],[Existing lamp wattage]])</f>
        <v>::</v>
      </c>
      <c r="AI186" s="53" t="e">
        <f>INDEX(Table_TRM_Fixtures[Fixture Code], MATCH(Table_PrescriptLights_Input[[#This Row],[Detailed Baseline Fixture Lookup]], Table_TRM_Fixtures[Detailed Prescriptive Baseline Fixture Lookup], 0))</f>
        <v>#N/A</v>
      </c>
      <c r="AJ186" s="53" t="e">
        <f>INDEX(Table_TRM_Fixtures[Fixture Wattage for Baseline Calculations],MATCH(Table_PrescriptLights_Input[[#This Row],[Detailed Baseline Fixture Lookup]], Table_TRM_Fixtures[Detailed Prescriptive Baseline Fixture Lookup],0))</f>
        <v>#N/A</v>
      </c>
      <c r="AK186" s="127" t="e">
        <f>INDEX(Table_Bldg_IEFD_IEFC[IEFE], MATCH( Input_HVACType,Table_Bldg_IEFD_IEFC[List_HVAC], 0))</f>
        <v>#N/A</v>
      </c>
      <c r="AL186" s="127" t="e">
        <f>INDEX( Table_Bldg_IEFD_IEFC[IEFE],MATCH( Input_HVACType, Table_Bldg_IEFD_IEFC[List_HVAC],0 ))</f>
        <v>#N/A</v>
      </c>
      <c r="AM186" s="127" t="e">
        <f>INDEX(Table_Control_PAF[PAF], MATCH(Table_PrescriptLights_Input[[#This Row],[Existing controls]], Table_Control_PAF[List_Control_Types], 0 ) )</f>
        <v>#N/A</v>
      </c>
      <c r="AN186"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86"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86"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86" s="53">
        <f>IFERROR(LEFT(Table_PrescriptLights_Input[[#This Row],[Existing lighting type]], FIND(",",Table_PrescriptLights_Input[[#This Row],[Existing lighting type]])-1), Table_PrescriptLights_Input[[#This Row],[Existing lighting type]])</f>
        <v>0</v>
      </c>
      <c r="AR186" s="53" t="str">
        <f>_xlfn.CONCAT(Table_PrescriptLights_Input[[#This Row],[Generalized Fixture Type]], ":",Table_PrescriptLights_Input[[#This Row],[Existing lamps per fixture]],":",Table_PrescriptLights_Input[[#This Row],[Existing lamp wattage]])</f>
        <v>0::</v>
      </c>
      <c r="AS186" s="53" t="e">
        <f>INDEX(Table_TRM_Fixtures[Fixture Code], MATCH(Table_PrescriptLights_Input[[#This Row],[Generalized Fixture Baseline Lookup]], Table_TRM_Fixtures[Generalized Baseline Fixture Lookup], 0))</f>
        <v>#N/A</v>
      </c>
      <c r="AT186"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86"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86"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86"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86"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86" s="53" t="e">
        <f>IFERROR(Table_PrescriptLights_Input[[#This Row],[Detailed Baseline Fixture Code]],Table_PrescriptLights_Input[[#This Row],[Generalized Baseline Fixture Code]])</f>
        <v>#N/A</v>
      </c>
      <c r="AZ186" s="4"/>
      <c r="BA186" s="4"/>
      <c r="BB186" s="4"/>
      <c r="BC186" s="4"/>
      <c r="BD186" s="4"/>
      <c r="BE186" s="4"/>
      <c r="BF186" s="4"/>
      <c r="BG186" s="4"/>
      <c r="BH186" s="4"/>
      <c r="BI186" s="4"/>
      <c r="BJ186" s="4"/>
      <c r="BK186" s="4"/>
      <c r="BL186" s="4"/>
      <c r="BM186" s="4"/>
      <c r="BN186" s="4"/>
      <c r="BO186" s="4"/>
      <c r="BP186" s="4"/>
      <c r="BQ186" s="4"/>
    </row>
    <row r="187" spans="1:69" x14ac:dyDescent="0.2">
      <c r="A187" s="4"/>
      <c r="B187" s="189">
        <v>183</v>
      </c>
      <c r="C187" s="61" t="str">
        <f>IFERROR(INDEX(Table_Prescript_Meas[Measure Number], MATCH(Table_PrescriptLights_Input[[#This Row],[Prescriptive lighting measure]], Table_Prescript_Meas[Measure Description], 0)), "")</f>
        <v/>
      </c>
      <c r="D187" s="192"/>
      <c r="E187" s="179"/>
      <c r="F187" s="179"/>
      <c r="G187" s="61" t="str">
        <f>IFERROR(INDEX(Table_Prescript_Meas[Unit], MATCH(Table_PrescriptLights_Input[[#This Row],[Measure number]], Table_Prescript_Meas[Measure Number], 0)), "")</f>
        <v/>
      </c>
      <c r="H187" s="180"/>
      <c r="I187" s="179"/>
      <c r="J187" s="179"/>
      <c r="K187" s="180"/>
      <c r="L187" s="179"/>
      <c r="M187" s="180"/>
      <c r="N187" s="180"/>
      <c r="O187" s="180"/>
      <c r="P187" s="180"/>
      <c r="Q187" s="180"/>
      <c r="R187" s="181"/>
      <c r="S187" s="181"/>
      <c r="T187"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87"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87" s="69" t="str">
        <f>IF(Table_PrescriptLights_Input[[#This Row],[Prescriptive lighting measure]]="","",Table_PrescriptLights_Input[[#This Row],[Calculated Energy Savings]])</f>
        <v/>
      </c>
      <c r="W187" s="73" t="str">
        <f>IF(Table_PrescriptLights_Input[[#This Row],[Prescriptive lighting measure]]="","",Table_PrescriptLights_Input[[#This Row],[Calculated Demand Savings]])</f>
        <v/>
      </c>
      <c r="X187" s="67" t="str">
        <f>IFERROR(Table_PrescriptLights_Input[[#This Row],[Energy savings (kWh)]]*Input_AvgkWhRate, "")</f>
        <v/>
      </c>
      <c r="Y187" s="67" t="str">
        <f>IF(Table_PrescriptLights_Input[[#This Row],[Prescriptive lighting measure]]="", "",Table_PrescriptLights_Input[[#This Row],[Material cost per fixture]]*Table_PrescriptLights_Input[[#This Row],[Number of proposed fixtures]]+Table_PrescriptLights_Input[[#This Row],[Total labor cost]])</f>
        <v/>
      </c>
      <c r="Z187" s="67" t="str">
        <f>IFERROR(Table_PrescriptLights_Input[[#This Row],[Gross measure cost]]-Table_PrescriptLights_Input[[#This Row],[Estimated incentive]], "")</f>
        <v/>
      </c>
      <c r="AA187" s="69" t="str">
        <f t="shared" si="5"/>
        <v/>
      </c>
      <c r="AB187" s="69" t="str">
        <f>IF(ISNUMBER(Table_PrescriptLights_Input[[#This Row],[Detailed Fixture Calculation Wattage]]), "Detailed", "General")</f>
        <v>General</v>
      </c>
      <c r="AC187" s="53" t="e">
        <f>INDEX(Table_IntExt_Match[Measure Selection List], MATCH(Table_PrescriptLights_Input[[#This Row],[Interior or exterior?]], Table_IntExt_Match[Inetrior or Exterior], 0))</f>
        <v>#N/A</v>
      </c>
      <c r="AD187" s="53" t="e">
        <f>INDEX(Table_Prescript_Meas[Unit], MATCH(C187, Table_Prescript_Meas[Measure Number], 0))</f>
        <v>#N/A</v>
      </c>
      <c r="AE187" s="53" t="e">
        <f>INDEX(Table_Prescript_Meas[Lighting Type Selection List], MATCH(C187, Table_Prescript_Meas[Measure Number], 0))</f>
        <v>#N/A</v>
      </c>
      <c r="AF187" s="53" t="e">
        <f>INDEX(Table_Prescript_Meas[AOH Type], MATCH(Table_PrescriptLights_Input[[#This Row],[Measure number]], Table_Prescript_Meas[Measure Number],0))</f>
        <v>#N/A</v>
      </c>
      <c r="AG187"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87" s="53" t="str">
        <f>_xlfn.CONCAT(Table_PrescriptLights_Input[[#This Row],[Existing lighting type]],":",Table_PrescriptLights_Input[[#This Row],[Existing lamps per fixture]], ":",Table_PrescriptLights_Input[[#This Row],[Existing lamp wattage]])</f>
        <v>::</v>
      </c>
      <c r="AI187" s="53" t="e">
        <f>INDEX(Table_TRM_Fixtures[Fixture Code], MATCH(Table_PrescriptLights_Input[[#This Row],[Detailed Baseline Fixture Lookup]], Table_TRM_Fixtures[Detailed Prescriptive Baseline Fixture Lookup], 0))</f>
        <v>#N/A</v>
      </c>
      <c r="AJ187" s="53" t="e">
        <f>INDEX(Table_TRM_Fixtures[Fixture Wattage for Baseline Calculations],MATCH(Table_PrescriptLights_Input[[#This Row],[Detailed Baseline Fixture Lookup]], Table_TRM_Fixtures[Detailed Prescriptive Baseline Fixture Lookup],0))</f>
        <v>#N/A</v>
      </c>
      <c r="AK187" s="127" t="e">
        <f>INDEX(Table_Bldg_IEFD_IEFC[IEFE], MATCH( Input_HVACType,Table_Bldg_IEFD_IEFC[List_HVAC], 0))</f>
        <v>#N/A</v>
      </c>
      <c r="AL187" s="127" t="e">
        <f>INDEX( Table_Bldg_IEFD_IEFC[IEFE],MATCH( Input_HVACType, Table_Bldg_IEFD_IEFC[List_HVAC],0 ))</f>
        <v>#N/A</v>
      </c>
      <c r="AM187" s="127" t="e">
        <f>INDEX(Table_Control_PAF[PAF], MATCH(Table_PrescriptLights_Input[[#This Row],[Existing controls]], Table_Control_PAF[List_Control_Types], 0 ) )</f>
        <v>#N/A</v>
      </c>
      <c r="AN187"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87"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87"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87" s="53">
        <f>IFERROR(LEFT(Table_PrescriptLights_Input[[#This Row],[Existing lighting type]], FIND(",",Table_PrescriptLights_Input[[#This Row],[Existing lighting type]])-1), Table_PrescriptLights_Input[[#This Row],[Existing lighting type]])</f>
        <v>0</v>
      </c>
      <c r="AR187" s="53" t="str">
        <f>_xlfn.CONCAT(Table_PrescriptLights_Input[[#This Row],[Generalized Fixture Type]], ":",Table_PrescriptLights_Input[[#This Row],[Existing lamps per fixture]],":",Table_PrescriptLights_Input[[#This Row],[Existing lamp wattage]])</f>
        <v>0::</v>
      </c>
      <c r="AS187" s="53" t="e">
        <f>INDEX(Table_TRM_Fixtures[Fixture Code], MATCH(Table_PrescriptLights_Input[[#This Row],[Generalized Fixture Baseline Lookup]], Table_TRM_Fixtures[Generalized Baseline Fixture Lookup], 0))</f>
        <v>#N/A</v>
      </c>
      <c r="AT187"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87"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87"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87"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87"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87" s="53" t="e">
        <f>IFERROR(Table_PrescriptLights_Input[[#This Row],[Detailed Baseline Fixture Code]],Table_PrescriptLights_Input[[#This Row],[Generalized Baseline Fixture Code]])</f>
        <v>#N/A</v>
      </c>
      <c r="AZ187" s="4"/>
      <c r="BA187" s="4"/>
      <c r="BB187" s="4"/>
      <c r="BC187" s="4"/>
      <c r="BD187" s="4"/>
      <c r="BE187" s="4"/>
      <c r="BF187" s="4"/>
      <c r="BG187" s="4"/>
      <c r="BH187" s="4"/>
      <c r="BI187" s="4"/>
      <c r="BJ187" s="4"/>
      <c r="BK187" s="4"/>
      <c r="BL187" s="4"/>
      <c r="BM187" s="4"/>
      <c r="BN187" s="4"/>
      <c r="BO187" s="4"/>
      <c r="BP187" s="4"/>
      <c r="BQ187" s="4"/>
    </row>
    <row r="188" spans="1:69" x14ac:dyDescent="0.2">
      <c r="A188" s="4"/>
      <c r="B188" s="189">
        <v>184</v>
      </c>
      <c r="C188" s="61" t="str">
        <f>IFERROR(INDEX(Table_Prescript_Meas[Measure Number], MATCH(Table_PrescriptLights_Input[[#This Row],[Prescriptive lighting measure]], Table_Prescript_Meas[Measure Description], 0)), "")</f>
        <v/>
      </c>
      <c r="D188" s="192"/>
      <c r="E188" s="179"/>
      <c r="F188" s="179"/>
      <c r="G188" s="61" t="str">
        <f>IFERROR(INDEX(Table_Prescript_Meas[Unit], MATCH(Table_PrescriptLights_Input[[#This Row],[Measure number]], Table_Prescript_Meas[Measure Number], 0)), "")</f>
        <v/>
      </c>
      <c r="H188" s="180"/>
      <c r="I188" s="179"/>
      <c r="J188" s="179"/>
      <c r="K188" s="180"/>
      <c r="L188" s="179"/>
      <c r="M188" s="180"/>
      <c r="N188" s="180"/>
      <c r="O188" s="180"/>
      <c r="P188" s="180"/>
      <c r="Q188" s="180"/>
      <c r="R188" s="181"/>
      <c r="S188" s="181"/>
      <c r="T188"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88"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88" s="69" t="str">
        <f>IF(Table_PrescriptLights_Input[[#This Row],[Prescriptive lighting measure]]="","",Table_PrescriptLights_Input[[#This Row],[Calculated Energy Savings]])</f>
        <v/>
      </c>
      <c r="W188" s="73" t="str">
        <f>IF(Table_PrescriptLights_Input[[#This Row],[Prescriptive lighting measure]]="","",Table_PrescriptLights_Input[[#This Row],[Calculated Demand Savings]])</f>
        <v/>
      </c>
      <c r="X188" s="67" t="str">
        <f>IFERROR(Table_PrescriptLights_Input[[#This Row],[Energy savings (kWh)]]*Input_AvgkWhRate, "")</f>
        <v/>
      </c>
      <c r="Y188" s="67" t="str">
        <f>IF(Table_PrescriptLights_Input[[#This Row],[Prescriptive lighting measure]]="", "",Table_PrescriptLights_Input[[#This Row],[Material cost per fixture]]*Table_PrescriptLights_Input[[#This Row],[Number of proposed fixtures]]+Table_PrescriptLights_Input[[#This Row],[Total labor cost]])</f>
        <v/>
      </c>
      <c r="Z188" s="67" t="str">
        <f>IFERROR(Table_PrescriptLights_Input[[#This Row],[Gross measure cost]]-Table_PrescriptLights_Input[[#This Row],[Estimated incentive]], "")</f>
        <v/>
      </c>
      <c r="AA188" s="69" t="str">
        <f t="shared" si="5"/>
        <v/>
      </c>
      <c r="AB188" s="69" t="str">
        <f>IF(ISNUMBER(Table_PrescriptLights_Input[[#This Row],[Detailed Fixture Calculation Wattage]]), "Detailed", "General")</f>
        <v>General</v>
      </c>
      <c r="AC188" s="53" t="e">
        <f>INDEX(Table_IntExt_Match[Measure Selection List], MATCH(Table_PrescriptLights_Input[[#This Row],[Interior or exterior?]], Table_IntExt_Match[Inetrior or Exterior], 0))</f>
        <v>#N/A</v>
      </c>
      <c r="AD188" s="53" t="e">
        <f>INDEX(Table_Prescript_Meas[Unit], MATCH(C188, Table_Prescript_Meas[Measure Number], 0))</f>
        <v>#N/A</v>
      </c>
      <c r="AE188" s="53" t="e">
        <f>INDEX(Table_Prescript_Meas[Lighting Type Selection List], MATCH(C188, Table_Prescript_Meas[Measure Number], 0))</f>
        <v>#N/A</v>
      </c>
      <c r="AF188" s="53" t="e">
        <f>INDEX(Table_Prescript_Meas[AOH Type], MATCH(Table_PrescriptLights_Input[[#This Row],[Measure number]], Table_Prescript_Meas[Measure Number],0))</f>
        <v>#N/A</v>
      </c>
      <c r="AG188"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88" s="53" t="str">
        <f>_xlfn.CONCAT(Table_PrescriptLights_Input[[#This Row],[Existing lighting type]],":",Table_PrescriptLights_Input[[#This Row],[Existing lamps per fixture]], ":",Table_PrescriptLights_Input[[#This Row],[Existing lamp wattage]])</f>
        <v>::</v>
      </c>
      <c r="AI188" s="53" t="e">
        <f>INDEX(Table_TRM_Fixtures[Fixture Code], MATCH(Table_PrescriptLights_Input[[#This Row],[Detailed Baseline Fixture Lookup]], Table_TRM_Fixtures[Detailed Prescriptive Baseline Fixture Lookup], 0))</f>
        <v>#N/A</v>
      </c>
      <c r="AJ188" s="53" t="e">
        <f>INDEX(Table_TRM_Fixtures[Fixture Wattage for Baseline Calculations],MATCH(Table_PrescriptLights_Input[[#This Row],[Detailed Baseline Fixture Lookup]], Table_TRM_Fixtures[Detailed Prescriptive Baseline Fixture Lookup],0))</f>
        <v>#N/A</v>
      </c>
      <c r="AK188" s="127" t="e">
        <f>INDEX(Table_Bldg_IEFD_IEFC[IEFE], MATCH( Input_HVACType,Table_Bldg_IEFD_IEFC[List_HVAC], 0))</f>
        <v>#N/A</v>
      </c>
      <c r="AL188" s="127" t="e">
        <f>INDEX( Table_Bldg_IEFD_IEFC[IEFE],MATCH( Input_HVACType, Table_Bldg_IEFD_IEFC[List_HVAC],0 ))</f>
        <v>#N/A</v>
      </c>
      <c r="AM188" s="127" t="e">
        <f>INDEX(Table_Control_PAF[PAF], MATCH(Table_PrescriptLights_Input[[#This Row],[Existing controls]], Table_Control_PAF[List_Control_Types], 0 ) )</f>
        <v>#N/A</v>
      </c>
      <c r="AN188"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88"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88"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88" s="53">
        <f>IFERROR(LEFT(Table_PrescriptLights_Input[[#This Row],[Existing lighting type]], FIND(",",Table_PrescriptLights_Input[[#This Row],[Existing lighting type]])-1), Table_PrescriptLights_Input[[#This Row],[Existing lighting type]])</f>
        <v>0</v>
      </c>
      <c r="AR188" s="53" t="str">
        <f>_xlfn.CONCAT(Table_PrescriptLights_Input[[#This Row],[Generalized Fixture Type]], ":",Table_PrescriptLights_Input[[#This Row],[Existing lamps per fixture]],":",Table_PrescriptLights_Input[[#This Row],[Existing lamp wattage]])</f>
        <v>0::</v>
      </c>
      <c r="AS188" s="53" t="e">
        <f>INDEX(Table_TRM_Fixtures[Fixture Code], MATCH(Table_PrescriptLights_Input[[#This Row],[Generalized Fixture Baseline Lookup]], Table_TRM_Fixtures[Generalized Baseline Fixture Lookup], 0))</f>
        <v>#N/A</v>
      </c>
      <c r="AT188"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88"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88"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88"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88"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88" s="53" t="e">
        <f>IFERROR(Table_PrescriptLights_Input[[#This Row],[Detailed Baseline Fixture Code]],Table_PrescriptLights_Input[[#This Row],[Generalized Baseline Fixture Code]])</f>
        <v>#N/A</v>
      </c>
      <c r="AZ188" s="4"/>
      <c r="BA188" s="4"/>
      <c r="BB188" s="4"/>
      <c r="BC188" s="4"/>
      <c r="BD188" s="4"/>
      <c r="BE188" s="4"/>
      <c r="BF188" s="4"/>
      <c r="BG188" s="4"/>
      <c r="BH188" s="4"/>
      <c r="BI188" s="4"/>
      <c r="BJ188" s="4"/>
      <c r="BK188" s="4"/>
      <c r="BL188" s="4"/>
      <c r="BM188" s="4"/>
      <c r="BN188" s="4"/>
      <c r="BO188" s="4"/>
      <c r="BP188" s="4"/>
      <c r="BQ188" s="4"/>
    </row>
    <row r="189" spans="1:69" x14ac:dyDescent="0.2">
      <c r="A189" s="4"/>
      <c r="B189" s="189">
        <v>185</v>
      </c>
      <c r="C189" s="61" t="str">
        <f>IFERROR(INDEX(Table_Prescript_Meas[Measure Number], MATCH(Table_PrescriptLights_Input[[#This Row],[Prescriptive lighting measure]], Table_Prescript_Meas[Measure Description], 0)), "")</f>
        <v/>
      </c>
      <c r="D189" s="192"/>
      <c r="E189" s="179"/>
      <c r="F189" s="179"/>
      <c r="G189" s="61" t="str">
        <f>IFERROR(INDEX(Table_Prescript_Meas[Unit], MATCH(Table_PrescriptLights_Input[[#This Row],[Measure number]], Table_Prescript_Meas[Measure Number], 0)), "")</f>
        <v/>
      </c>
      <c r="H189" s="180"/>
      <c r="I189" s="179"/>
      <c r="J189" s="179"/>
      <c r="K189" s="180"/>
      <c r="L189" s="179"/>
      <c r="M189" s="180"/>
      <c r="N189" s="180"/>
      <c r="O189" s="180"/>
      <c r="P189" s="180"/>
      <c r="Q189" s="180"/>
      <c r="R189" s="181"/>
      <c r="S189" s="181"/>
      <c r="T189"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89"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89" s="69" t="str">
        <f>IF(Table_PrescriptLights_Input[[#This Row],[Prescriptive lighting measure]]="","",Table_PrescriptLights_Input[[#This Row],[Calculated Energy Savings]])</f>
        <v/>
      </c>
      <c r="W189" s="73" t="str">
        <f>IF(Table_PrescriptLights_Input[[#This Row],[Prescriptive lighting measure]]="","",Table_PrescriptLights_Input[[#This Row],[Calculated Demand Savings]])</f>
        <v/>
      </c>
      <c r="X189" s="67" t="str">
        <f>IFERROR(Table_PrescriptLights_Input[[#This Row],[Energy savings (kWh)]]*Input_AvgkWhRate, "")</f>
        <v/>
      </c>
      <c r="Y189" s="67" t="str">
        <f>IF(Table_PrescriptLights_Input[[#This Row],[Prescriptive lighting measure]]="", "",Table_PrescriptLights_Input[[#This Row],[Material cost per fixture]]*Table_PrescriptLights_Input[[#This Row],[Number of proposed fixtures]]+Table_PrescriptLights_Input[[#This Row],[Total labor cost]])</f>
        <v/>
      </c>
      <c r="Z189" s="67" t="str">
        <f>IFERROR(Table_PrescriptLights_Input[[#This Row],[Gross measure cost]]-Table_PrescriptLights_Input[[#This Row],[Estimated incentive]], "")</f>
        <v/>
      </c>
      <c r="AA189" s="69" t="str">
        <f t="shared" si="5"/>
        <v/>
      </c>
      <c r="AB189" s="69" t="str">
        <f>IF(ISNUMBER(Table_PrescriptLights_Input[[#This Row],[Detailed Fixture Calculation Wattage]]), "Detailed", "General")</f>
        <v>General</v>
      </c>
      <c r="AC189" s="53" t="e">
        <f>INDEX(Table_IntExt_Match[Measure Selection List], MATCH(Table_PrescriptLights_Input[[#This Row],[Interior or exterior?]], Table_IntExt_Match[Inetrior or Exterior], 0))</f>
        <v>#N/A</v>
      </c>
      <c r="AD189" s="53" t="e">
        <f>INDEX(Table_Prescript_Meas[Unit], MATCH(C189, Table_Prescript_Meas[Measure Number], 0))</f>
        <v>#N/A</v>
      </c>
      <c r="AE189" s="53" t="e">
        <f>INDEX(Table_Prescript_Meas[Lighting Type Selection List], MATCH(C189, Table_Prescript_Meas[Measure Number], 0))</f>
        <v>#N/A</v>
      </c>
      <c r="AF189" s="53" t="e">
        <f>INDEX(Table_Prescript_Meas[AOH Type], MATCH(Table_PrescriptLights_Input[[#This Row],[Measure number]], Table_Prescript_Meas[Measure Number],0))</f>
        <v>#N/A</v>
      </c>
      <c r="AG189"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89" s="53" t="str">
        <f>_xlfn.CONCAT(Table_PrescriptLights_Input[[#This Row],[Existing lighting type]],":",Table_PrescriptLights_Input[[#This Row],[Existing lamps per fixture]], ":",Table_PrescriptLights_Input[[#This Row],[Existing lamp wattage]])</f>
        <v>::</v>
      </c>
      <c r="AI189" s="53" t="e">
        <f>INDEX(Table_TRM_Fixtures[Fixture Code], MATCH(Table_PrescriptLights_Input[[#This Row],[Detailed Baseline Fixture Lookup]], Table_TRM_Fixtures[Detailed Prescriptive Baseline Fixture Lookup], 0))</f>
        <v>#N/A</v>
      </c>
      <c r="AJ189" s="53" t="e">
        <f>INDEX(Table_TRM_Fixtures[Fixture Wattage for Baseline Calculations],MATCH(Table_PrescriptLights_Input[[#This Row],[Detailed Baseline Fixture Lookup]], Table_TRM_Fixtures[Detailed Prescriptive Baseline Fixture Lookup],0))</f>
        <v>#N/A</v>
      </c>
      <c r="AK189" s="127" t="e">
        <f>INDEX(Table_Bldg_IEFD_IEFC[IEFE], MATCH( Input_HVACType,Table_Bldg_IEFD_IEFC[List_HVAC], 0))</f>
        <v>#N/A</v>
      </c>
      <c r="AL189" s="127" t="e">
        <f>INDEX( Table_Bldg_IEFD_IEFC[IEFE],MATCH( Input_HVACType, Table_Bldg_IEFD_IEFC[List_HVAC],0 ))</f>
        <v>#N/A</v>
      </c>
      <c r="AM189" s="127" t="e">
        <f>INDEX(Table_Control_PAF[PAF], MATCH(Table_PrescriptLights_Input[[#This Row],[Existing controls]], Table_Control_PAF[List_Control_Types], 0 ) )</f>
        <v>#N/A</v>
      </c>
      <c r="AN189"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89"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89"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89" s="53">
        <f>IFERROR(LEFT(Table_PrescriptLights_Input[[#This Row],[Existing lighting type]], FIND(",",Table_PrescriptLights_Input[[#This Row],[Existing lighting type]])-1), Table_PrescriptLights_Input[[#This Row],[Existing lighting type]])</f>
        <v>0</v>
      </c>
      <c r="AR189" s="53" t="str">
        <f>_xlfn.CONCAT(Table_PrescriptLights_Input[[#This Row],[Generalized Fixture Type]], ":",Table_PrescriptLights_Input[[#This Row],[Existing lamps per fixture]],":",Table_PrescriptLights_Input[[#This Row],[Existing lamp wattage]])</f>
        <v>0::</v>
      </c>
      <c r="AS189" s="53" t="e">
        <f>INDEX(Table_TRM_Fixtures[Fixture Code], MATCH(Table_PrescriptLights_Input[[#This Row],[Generalized Fixture Baseline Lookup]], Table_TRM_Fixtures[Generalized Baseline Fixture Lookup], 0))</f>
        <v>#N/A</v>
      </c>
      <c r="AT189"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89"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89"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89"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89"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89" s="53" t="e">
        <f>IFERROR(Table_PrescriptLights_Input[[#This Row],[Detailed Baseline Fixture Code]],Table_PrescriptLights_Input[[#This Row],[Generalized Baseline Fixture Code]])</f>
        <v>#N/A</v>
      </c>
      <c r="AZ189" s="4"/>
      <c r="BA189" s="4"/>
      <c r="BB189" s="4"/>
      <c r="BC189" s="4"/>
      <c r="BD189" s="4"/>
      <c r="BE189" s="4"/>
      <c r="BF189" s="4"/>
      <c r="BG189" s="4"/>
      <c r="BH189" s="4"/>
      <c r="BI189" s="4"/>
      <c r="BJ189" s="4"/>
      <c r="BK189" s="4"/>
      <c r="BL189" s="4"/>
      <c r="BM189" s="4"/>
      <c r="BN189" s="4"/>
      <c r="BO189" s="4"/>
      <c r="BP189" s="4"/>
      <c r="BQ189" s="4"/>
    </row>
    <row r="190" spans="1:69" x14ac:dyDescent="0.2">
      <c r="A190" s="4"/>
      <c r="B190" s="189">
        <v>186</v>
      </c>
      <c r="C190" s="61" t="str">
        <f>IFERROR(INDEX(Table_Prescript_Meas[Measure Number], MATCH(Table_PrescriptLights_Input[[#This Row],[Prescriptive lighting measure]], Table_Prescript_Meas[Measure Description], 0)), "")</f>
        <v/>
      </c>
      <c r="D190" s="192"/>
      <c r="E190" s="179"/>
      <c r="F190" s="179"/>
      <c r="G190" s="61" t="str">
        <f>IFERROR(INDEX(Table_Prescript_Meas[Unit], MATCH(Table_PrescriptLights_Input[[#This Row],[Measure number]], Table_Prescript_Meas[Measure Number], 0)), "")</f>
        <v/>
      </c>
      <c r="H190" s="180"/>
      <c r="I190" s="179"/>
      <c r="J190" s="179"/>
      <c r="K190" s="180"/>
      <c r="L190" s="179"/>
      <c r="M190" s="180"/>
      <c r="N190" s="180"/>
      <c r="O190" s="180"/>
      <c r="P190" s="180"/>
      <c r="Q190" s="180"/>
      <c r="R190" s="181"/>
      <c r="S190" s="181"/>
      <c r="T190"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90"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90" s="69" t="str">
        <f>IF(Table_PrescriptLights_Input[[#This Row],[Prescriptive lighting measure]]="","",Table_PrescriptLights_Input[[#This Row],[Calculated Energy Savings]])</f>
        <v/>
      </c>
      <c r="W190" s="73" t="str">
        <f>IF(Table_PrescriptLights_Input[[#This Row],[Prescriptive lighting measure]]="","",Table_PrescriptLights_Input[[#This Row],[Calculated Demand Savings]])</f>
        <v/>
      </c>
      <c r="X190" s="67" t="str">
        <f>IFERROR(Table_PrescriptLights_Input[[#This Row],[Energy savings (kWh)]]*Input_AvgkWhRate, "")</f>
        <v/>
      </c>
      <c r="Y190" s="67" t="str">
        <f>IF(Table_PrescriptLights_Input[[#This Row],[Prescriptive lighting measure]]="", "",Table_PrescriptLights_Input[[#This Row],[Material cost per fixture]]*Table_PrescriptLights_Input[[#This Row],[Number of proposed fixtures]]+Table_PrescriptLights_Input[[#This Row],[Total labor cost]])</f>
        <v/>
      </c>
      <c r="Z190" s="67" t="str">
        <f>IFERROR(Table_PrescriptLights_Input[[#This Row],[Gross measure cost]]-Table_PrescriptLights_Input[[#This Row],[Estimated incentive]], "")</f>
        <v/>
      </c>
      <c r="AA190" s="69" t="str">
        <f t="shared" si="5"/>
        <v/>
      </c>
      <c r="AB190" s="69" t="str">
        <f>IF(ISNUMBER(Table_PrescriptLights_Input[[#This Row],[Detailed Fixture Calculation Wattage]]), "Detailed", "General")</f>
        <v>General</v>
      </c>
      <c r="AC190" s="53" t="e">
        <f>INDEX(Table_IntExt_Match[Measure Selection List], MATCH(Table_PrescriptLights_Input[[#This Row],[Interior or exterior?]], Table_IntExt_Match[Inetrior or Exterior], 0))</f>
        <v>#N/A</v>
      </c>
      <c r="AD190" s="53" t="e">
        <f>INDEX(Table_Prescript_Meas[Unit], MATCH(C190, Table_Prescript_Meas[Measure Number], 0))</f>
        <v>#N/A</v>
      </c>
      <c r="AE190" s="53" t="e">
        <f>INDEX(Table_Prescript_Meas[Lighting Type Selection List], MATCH(C190, Table_Prescript_Meas[Measure Number], 0))</f>
        <v>#N/A</v>
      </c>
      <c r="AF190" s="53" t="e">
        <f>INDEX(Table_Prescript_Meas[AOH Type], MATCH(Table_PrescriptLights_Input[[#This Row],[Measure number]], Table_Prescript_Meas[Measure Number],0))</f>
        <v>#N/A</v>
      </c>
      <c r="AG190"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90" s="53" t="str">
        <f>_xlfn.CONCAT(Table_PrescriptLights_Input[[#This Row],[Existing lighting type]],":",Table_PrescriptLights_Input[[#This Row],[Existing lamps per fixture]], ":",Table_PrescriptLights_Input[[#This Row],[Existing lamp wattage]])</f>
        <v>::</v>
      </c>
      <c r="AI190" s="53" t="e">
        <f>INDEX(Table_TRM_Fixtures[Fixture Code], MATCH(Table_PrescriptLights_Input[[#This Row],[Detailed Baseline Fixture Lookup]], Table_TRM_Fixtures[Detailed Prescriptive Baseline Fixture Lookup], 0))</f>
        <v>#N/A</v>
      </c>
      <c r="AJ190" s="53" t="e">
        <f>INDEX(Table_TRM_Fixtures[Fixture Wattage for Baseline Calculations],MATCH(Table_PrescriptLights_Input[[#This Row],[Detailed Baseline Fixture Lookup]], Table_TRM_Fixtures[Detailed Prescriptive Baseline Fixture Lookup],0))</f>
        <v>#N/A</v>
      </c>
      <c r="AK190" s="127" t="e">
        <f>INDEX(Table_Bldg_IEFD_IEFC[IEFE], MATCH( Input_HVACType,Table_Bldg_IEFD_IEFC[List_HVAC], 0))</f>
        <v>#N/A</v>
      </c>
      <c r="AL190" s="127" t="e">
        <f>INDEX( Table_Bldg_IEFD_IEFC[IEFE],MATCH( Input_HVACType, Table_Bldg_IEFD_IEFC[List_HVAC],0 ))</f>
        <v>#N/A</v>
      </c>
      <c r="AM190" s="127" t="e">
        <f>INDEX(Table_Control_PAF[PAF], MATCH(Table_PrescriptLights_Input[[#This Row],[Existing controls]], Table_Control_PAF[List_Control_Types], 0 ) )</f>
        <v>#N/A</v>
      </c>
      <c r="AN190"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90"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90"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90" s="53">
        <f>IFERROR(LEFT(Table_PrescriptLights_Input[[#This Row],[Existing lighting type]], FIND(",",Table_PrescriptLights_Input[[#This Row],[Existing lighting type]])-1), Table_PrescriptLights_Input[[#This Row],[Existing lighting type]])</f>
        <v>0</v>
      </c>
      <c r="AR190" s="53" t="str">
        <f>_xlfn.CONCAT(Table_PrescriptLights_Input[[#This Row],[Generalized Fixture Type]], ":",Table_PrescriptLights_Input[[#This Row],[Existing lamps per fixture]],":",Table_PrescriptLights_Input[[#This Row],[Existing lamp wattage]])</f>
        <v>0::</v>
      </c>
      <c r="AS190" s="53" t="e">
        <f>INDEX(Table_TRM_Fixtures[Fixture Code], MATCH(Table_PrescriptLights_Input[[#This Row],[Generalized Fixture Baseline Lookup]], Table_TRM_Fixtures[Generalized Baseline Fixture Lookup], 0))</f>
        <v>#N/A</v>
      </c>
      <c r="AT190"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90"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90"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90"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90"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90" s="53" t="e">
        <f>IFERROR(Table_PrescriptLights_Input[[#This Row],[Detailed Baseline Fixture Code]],Table_PrescriptLights_Input[[#This Row],[Generalized Baseline Fixture Code]])</f>
        <v>#N/A</v>
      </c>
      <c r="AZ190" s="4"/>
      <c r="BA190" s="4"/>
      <c r="BB190" s="4"/>
      <c r="BC190" s="4"/>
      <c r="BD190" s="4"/>
      <c r="BE190" s="4"/>
      <c r="BF190" s="4"/>
      <c r="BG190" s="4"/>
      <c r="BH190" s="4"/>
      <c r="BI190" s="4"/>
      <c r="BJ190" s="4"/>
      <c r="BK190" s="4"/>
      <c r="BL190" s="4"/>
      <c r="BM190" s="4"/>
      <c r="BN190" s="4"/>
      <c r="BO190" s="4"/>
      <c r="BP190" s="4"/>
      <c r="BQ190" s="4"/>
    </row>
    <row r="191" spans="1:69" x14ac:dyDescent="0.2">
      <c r="A191" s="4"/>
      <c r="B191" s="189">
        <v>187</v>
      </c>
      <c r="C191" s="61" t="str">
        <f>IFERROR(INDEX(Table_Prescript_Meas[Measure Number], MATCH(Table_PrescriptLights_Input[[#This Row],[Prescriptive lighting measure]], Table_Prescript_Meas[Measure Description], 0)), "")</f>
        <v/>
      </c>
      <c r="D191" s="192"/>
      <c r="E191" s="179"/>
      <c r="F191" s="179"/>
      <c r="G191" s="61" t="str">
        <f>IFERROR(INDEX(Table_Prescript_Meas[Unit], MATCH(Table_PrescriptLights_Input[[#This Row],[Measure number]], Table_Prescript_Meas[Measure Number], 0)), "")</f>
        <v/>
      </c>
      <c r="H191" s="180"/>
      <c r="I191" s="179"/>
      <c r="J191" s="179"/>
      <c r="K191" s="180"/>
      <c r="L191" s="179"/>
      <c r="M191" s="180"/>
      <c r="N191" s="180"/>
      <c r="O191" s="180"/>
      <c r="P191" s="180"/>
      <c r="Q191" s="180"/>
      <c r="R191" s="181"/>
      <c r="S191" s="181"/>
      <c r="T191"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91"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91" s="69" t="str">
        <f>IF(Table_PrescriptLights_Input[[#This Row],[Prescriptive lighting measure]]="","",Table_PrescriptLights_Input[[#This Row],[Calculated Energy Savings]])</f>
        <v/>
      </c>
      <c r="W191" s="73" t="str">
        <f>IF(Table_PrescriptLights_Input[[#This Row],[Prescriptive lighting measure]]="","",Table_PrescriptLights_Input[[#This Row],[Calculated Demand Savings]])</f>
        <v/>
      </c>
      <c r="X191" s="67" t="str">
        <f>IFERROR(Table_PrescriptLights_Input[[#This Row],[Energy savings (kWh)]]*Input_AvgkWhRate, "")</f>
        <v/>
      </c>
      <c r="Y191" s="67" t="str">
        <f>IF(Table_PrescriptLights_Input[[#This Row],[Prescriptive lighting measure]]="", "",Table_PrescriptLights_Input[[#This Row],[Material cost per fixture]]*Table_PrescriptLights_Input[[#This Row],[Number of proposed fixtures]]+Table_PrescriptLights_Input[[#This Row],[Total labor cost]])</f>
        <v/>
      </c>
      <c r="Z191" s="67" t="str">
        <f>IFERROR(Table_PrescriptLights_Input[[#This Row],[Gross measure cost]]-Table_PrescriptLights_Input[[#This Row],[Estimated incentive]], "")</f>
        <v/>
      </c>
      <c r="AA191" s="69" t="str">
        <f t="shared" si="5"/>
        <v/>
      </c>
      <c r="AB191" s="69" t="str">
        <f>IF(ISNUMBER(Table_PrescriptLights_Input[[#This Row],[Detailed Fixture Calculation Wattage]]), "Detailed", "General")</f>
        <v>General</v>
      </c>
      <c r="AC191" s="53" t="e">
        <f>INDEX(Table_IntExt_Match[Measure Selection List], MATCH(Table_PrescriptLights_Input[[#This Row],[Interior or exterior?]], Table_IntExt_Match[Inetrior or Exterior], 0))</f>
        <v>#N/A</v>
      </c>
      <c r="AD191" s="53" t="e">
        <f>INDEX(Table_Prescript_Meas[Unit], MATCH(C191, Table_Prescript_Meas[Measure Number], 0))</f>
        <v>#N/A</v>
      </c>
      <c r="AE191" s="53" t="e">
        <f>INDEX(Table_Prescript_Meas[Lighting Type Selection List], MATCH(C191, Table_Prescript_Meas[Measure Number], 0))</f>
        <v>#N/A</v>
      </c>
      <c r="AF191" s="53" t="e">
        <f>INDEX(Table_Prescript_Meas[AOH Type], MATCH(Table_PrescriptLights_Input[[#This Row],[Measure number]], Table_Prescript_Meas[Measure Number],0))</f>
        <v>#N/A</v>
      </c>
      <c r="AG191"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91" s="53" t="str">
        <f>_xlfn.CONCAT(Table_PrescriptLights_Input[[#This Row],[Existing lighting type]],":",Table_PrescriptLights_Input[[#This Row],[Existing lamps per fixture]], ":",Table_PrescriptLights_Input[[#This Row],[Existing lamp wattage]])</f>
        <v>::</v>
      </c>
      <c r="AI191" s="53" t="e">
        <f>INDEX(Table_TRM_Fixtures[Fixture Code], MATCH(Table_PrescriptLights_Input[[#This Row],[Detailed Baseline Fixture Lookup]], Table_TRM_Fixtures[Detailed Prescriptive Baseline Fixture Lookup], 0))</f>
        <v>#N/A</v>
      </c>
      <c r="AJ191" s="53" t="e">
        <f>INDEX(Table_TRM_Fixtures[Fixture Wattage for Baseline Calculations],MATCH(Table_PrescriptLights_Input[[#This Row],[Detailed Baseline Fixture Lookup]], Table_TRM_Fixtures[Detailed Prescriptive Baseline Fixture Lookup],0))</f>
        <v>#N/A</v>
      </c>
      <c r="AK191" s="127" t="e">
        <f>INDEX(Table_Bldg_IEFD_IEFC[IEFE], MATCH( Input_HVACType,Table_Bldg_IEFD_IEFC[List_HVAC], 0))</f>
        <v>#N/A</v>
      </c>
      <c r="AL191" s="127" t="e">
        <f>INDEX( Table_Bldg_IEFD_IEFC[IEFE],MATCH( Input_HVACType, Table_Bldg_IEFD_IEFC[List_HVAC],0 ))</f>
        <v>#N/A</v>
      </c>
      <c r="AM191" s="127" t="e">
        <f>INDEX(Table_Control_PAF[PAF], MATCH(Table_PrescriptLights_Input[[#This Row],[Existing controls]], Table_Control_PAF[List_Control_Types], 0 ) )</f>
        <v>#N/A</v>
      </c>
      <c r="AN191"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91"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91"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91" s="53">
        <f>IFERROR(LEFT(Table_PrescriptLights_Input[[#This Row],[Existing lighting type]], FIND(",",Table_PrescriptLights_Input[[#This Row],[Existing lighting type]])-1), Table_PrescriptLights_Input[[#This Row],[Existing lighting type]])</f>
        <v>0</v>
      </c>
      <c r="AR191" s="53" t="str">
        <f>_xlfn.CONCAT(Table_PrescriptLights_Input[[#This Row],[Generalized Fixture Type]], ":",Table_PrescriptLights_Input[[#This Row],[Existing lamps per fixture]],":",Table_PrescriptLights_Input[[#This Row],[Existing lamp wattage]])</f>
        <v>0::</v>
      </c>
      <c r="AS191" s="53" t="e">
        <f>INDEX(Table_TRM_Fixtures[Fixture Code], MATCH(Table_PrescriptLights_Input[[#This Row],[Generalized Fixture Baseline Lookup]], Table_TRM_Fixtures[Generalized Baseline Fixture Lookup], 0))</f>
        <v>#N/A</v>
      </c>
      <c r="AT191"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91"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91"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91"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91"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91" s="53" t="e">
        <f>IFERROR(Table_PrescriptLights_Input[[#This Row],[Detailed Baseline Fixture Code]],Table_PrescriptLights_Input[[#This Row],[Generalized Baseline Fixture Code]])</f>
        <v>#N/A</v>
      </c>
      <c r="AZ191" s="4"/>
      <c r="BA191" s="4"/>
      <c r="BB191" s="4"/>
      <c r="BC191" s="4"/>
      <c r="BD191" s="4"/>
      <c r="BE191" s="4"/>
      <c r="BF191" s="4"/>
      <c r="BG191" s="4"/>
      <c r="BH191" s="4"/>
      <c r="BI191" s="4"/>
      <c r="BJ191" s="4"/>
      <c r="BK191" s="4"/>
      <c r="BL191" s="4"/>
      <c r="BM191" s="4"/>
      <c r="BN191" s="4"/>
      <c r="BO191" s="4"/>
      <c r="BP191" s="4"/>
      <c r="BQ191" s="4"/>
    </row>
    <row r="192" spans="1:69" x14ac:dyDescent="0.2">
      <c r="A192" s="4"/>
      <c r="B192" s="189">
        <v>188</v>
      </c>
      <c r="C192" s="61" t="str">
        <f>IFERROR(INDEX(Table_Prescript_Meas[Measure Number], MATCH(Table_PrescriptLights_Input[[#This Row],[Prescriptive lighting measure]], Table_Prescript_Meas[Measure Description], 0)), "")</f>
        <v/>
      </c>
      <c r="D192" s="192"/>
      <c r="E192" s="179"/>
      <c r="F192" s="179"/>
      <c r="G192" s="61" t="str">
        <f>IFERROR(INDEX(Table_Prescript_Meas[Unit], MATCH(Table_PrescriptLights_Input[[#This Row],[Measure number]], Table_Prescript_Meas[Measure Number], 0)), "")</f>
        <v/>
      </c>
      <c r="H192" s="180"/>
      <c r="I192" s="179"/>
      <c r="J192" s="179"/>
      <c r="K192" s="180"/>
      <c r="L192" s="179"/>
      <c r="M192" s="180"/>
      <c r="N192" s="180"/>
      <c r="O192" s="180"/>
      <c r="P192" s="180"/>
      <c r="Q192" s="180"/>
      <c r="R192" s="181"/>
      <c r="S192" s="181"/>
      <c r="T192"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92"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92" s="69" t="str">
        <f>IF(Table_PrescriptLights_Input[[#This Row],[Prescriptive lighting measure]]="","",Table_PrescriptLights_Input[[#This Row],[Calculated Energy Savings]])</f>
        <v/>
      </c>
      <c r="W192" s="73" t="str">
        <f>IF(Table_PrescriptLights_Input[[#This Row],[Prescriptive lighting measure]]="","",Table_PrescriptLights_Input[[#This Row],[Calculated Demand Savings]])</f>
        <v/>
      </c>
      <c r="X192" s="67" t="str">
        <f>IFERROR(Table_PrescriptLights_Input[[#This Row],[Energy savings (kWh)]]*Input_AvgkWhRate, "")</f>
        <v/>
      </c>
      <c r="Y192" s="67" t="str">
        <f>IF(Table_PrescriptLights_Input[[#This Row],[Prescriptive lighting measure]]="", "",Table_PrescriptLights_Input[[#This Row],[Material cost per fixture]]*Table_PrescriptLights_Input[[#This Row],[Number of proposed fixtures]]+Table_PrescriptLights_Input[[#This Row],[Total labor cost]])</f>
        <v/>
      </c>
      <c r="Z192" s="67" t="str">
        <f>IFERROR(Table_PrescriptLights_Input[[#This Row],[Gross measure cost]]-Table_PrescriptLights_Input[[#This Row],[Estimated incentive]], "")</f>
        <v/>
      </c>
      <c r="AA192" s="69" t="str">
        <f t="shared" si="5"/>
        <v/>
      </c>
      <c r="AB192" s="69" t="str">
        <f>IF(ISNUMBER(Table_PrescriptLights_Input[[#This Row],[Detailed Fixture Calculation Wattage]]), "Detailed", "General")</f>
        <v>General</v>
      </c>
      <c r="AC192" s="53" t="e">
        <f>INDEX(Table_IntExt_Match[Measure Selection List], MATCH(Table_PrescriptLights_Input[[#This Row],[Interior or exterior?]], Table_IntExt_Match[Inetrior or Exterior], 0))</f>
        <v>#N/A</v>
      </c>
      <c r="AD192" s="53" t="e">
        <f>INDEX(Table_Prescript_Meas[Unit], MATCH(C192, Table_Prescript_Meas[Measure Number], 0))</f>
        <v>#N/A</v>
      </c>
      <c r="AE192" s="53" t="e">
        <f>INDEX(Table_Prescript_Meas[Lighting Type Selection List], MATCH(C192, Table_Prescript_Meas[Measure Number], 0))</f>
        <v>#N/A</v>
      </c>
      <c r="AF192" s="53" t="e">
        <f>INDEX(Table_Prescript_Meas[AOH Type], MATCH(Table_PrescriptLights_Input[[#This Row],[Measure number]], Table_Prescript_Meas[Measure Number],0))</f>
        <v>#N/A</v>
      </c>
      <c r="AG192"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92" s="53" t="str">
        <f>_xlfn.CONCAT(Table_PrescriptLights_Input[[#This Row],[Existing lighting type]],":",Table_PrescriptLights_Input[[#This Row],[Existing lamps per fixture]], ":",Table_PrescriptLights_Input[[#This Row],[Existing lamp wattage]])</f>
        <v>::</v>
      </c>
      <c r="AI192" s="53" t="e">
        <f>INDEX(Table_TRM_Fixtures[Fixture Code], MATCH(Table_PrescriptLights_Input[[#This Row],[Detailed Baseline Fixture Lookup]], Table_TRM_Fixtures[Detailed Prescriptive Baseline Fixture Lookup], 0))</f>
        <v>#N/A</v>
      </c>
      <c r="AJ192" s="53" t="e">
        <f>INDEX(Table_TRM_Fixtures[Fixture Wattage for Baseline Calculations],MATCH(Table_PrescriptLights_Input[[#This Row],[Detailed Baseline Fixture Lookup]], Table_TRM_Fixtures[Detailed Prescriptive Baseline Fixture Lookup],0))</f>
        <v>#N/A</v>
      </c>
      <c r="AK192" s="127" t="e">
        <f>INDEX(Table_Bldg_IEFD_IEFC[IEFE], MATCH( Input_HVACType,Table_Bldg_IEFD_IEFC[List_HVAC], 0))</f>
        <v>#N/A</v>
      </c>
      <c r="AL192" s="127" t="e">
        <f>INDEX( Table_Bldg_IEFD_IEFC[IEFE],MATCH( Input_HVACType, Table_Bldg_IEFD_IEFC[List_HVAC],0 ))</f>
        <v>#N/A</v>
      </c>
      <c r="AM192" s="127" t="e">
        <f>INDEX(Table_Control_PAF[PAF], MATCH(Table_PrescriptLights_Input[[#This Row],[Existing controls]], Table_Control_PAF[List_Control_Types], 0 ) )</f>
        <v>#N/A</v>
      </c>
      <c r="AN192"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92"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92"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92" s="53">
        <f>IFERROR(LEFT(Table_PrescriptLights_Input[[#This Row],[Existing lighting type]], FIND(",",Table_PrescriptLights_Input[[#This Row],[Existing lighting type]])-1), Table_PrescriptLights_Input[[#This Row],[Existing lighting type]])</f>
        <v>0</v>
      </c>
      <c r="AR192" s="53" t="str">
        <f>_xlfn.CONCAT(Table_PrescriptLights_Input[[#This Row],[Generalized Fixture Type]], ":",Table_PrescriptLights_Input[[#This Row],[Existing lamps per fixture]],":",Table_PrescriptLights_Input[[#This Row],[Existing lamp wattage]])</f>
        <v>0::</v>
      </c>
      <c r="AS192" s="53" t="e">
        <f>INDEX(Table_TRM_Fixtures[Fixture Code], MATCH(Table_PrescriptLights_Input[[#This Row],[Generalized Fixture Baseline Lookup]], Table_TRM_Fixtures[Generalized Baseline Fixture Lookup], 0))</f>
        <v>#N/A</v>
      </c>
      <c r="AT192"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92"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92"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92"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92"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92" s="53" t="e">
        <f>IFERROR(Table_PrescriptLights_Input[[#This Row],[Detailed Baseline Fixture Code]],Table_PrescriptLights_Input[[#This Row],[Generalized Baseline Fixture Code]])</f>
        <v>#N/A</v>
      </c>
      <c r="AZ192" s="4"/>
      <c r="BA192" s="4"/>
      <c r="BB192" s="4"/>
      <c r="BC192" s="4"/>
      <c r="BD192" s="4"/>
      <c r="BE192" s="4"/>
      <c r="BF192" s="4"/>
      <c r="BG192" s="4"/>
      <c r="BH192" s="4"/>
      <c r="BI192" s="4"/>
      <c r="BJ192" s="4"/>
      <c r="BK192" s="4"/>
      <c r="BL192" s="4"/>
      <c r="BM192" s="4"/>
      <c r="BN192" s="4"/>
      <c r="BO192" s="4"/>
      <c r="BP192" s="4"/>
      <c r="BQ192" s="4"/>
    </row>
    <row r="193" spans="1:69" x14ac:dyDescent="0.2">
      <c r="A193" s="4"/>
      <c r="B193" s="189">
        <v>189</v>
      </c>
      <c r="C193" s="61" t="str">
        <f>IFERROR(INDEX(Table_Prescript_Meas[Measure Number], MATCH(Table_PrescriptLights_Input[[#This Row],[Prescriptive lighting measure]], Table_Prescript_Meas[Measure Description], 0)), "")</f>
        <v/>
      </c>
      <c r="D193" s="192"/>
      <c r="E193" s="179"/>
      <c r="F193" s="179"/>
      <c r="G193" s="61" t="str">
        <f>IFERROR(INDEX(Table_Prescript_Meas[Unit], MATCH(Table_PrescriptLights_Input[[#This Row],[Measure number]], Table_Prescript_Meas[Measure Number], 0)), "")</f>
        <v/>
      </c>
      <c r="H193" s="180"/>
      <c r="I193" s="179"/>
      <c r="J193" s="179"/>
      <c r="K193" s="180"/>
      <c r="L193" s="179"/>
      <c r="M193" s="180"/>
      <c r="N193" s="180"/>
      <c r="O193" s="180"/>
      <c r="P193" s="180"/>
      <c r="Q193" s="180"/>
      <c r="R193" s="181"/>
      <c r="S193" s="181"/>
      <c r="T193"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93"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93" s="69" t="str">
        <f>IF(Table_PrescriptLights_Input[[#This Row],[Prescriptive lighting measure]]="","",Table_PrescriptLights_Input[[#This Row],[Calculated Energy Savings]])</f>
        <v/>
      </c>
      <c r="W193" s="73" t="str">
        <f>IF(Table_PrescriptLights_Input[[#This Row],[Prescriptive lighting measure]]="","",Table_PrescriptLights_Input[[#This Row],[Calculated Demand Savings]])</f>
        <v/>
      </c>
      <c r="X193" s="67" t="str">
        <f>IFERROR(Table_PrescriptLights_Input[[#This Row],[Energy savings (kWh)]]*Input_AvgkWhRate, "")</f>
        <v/>
      </c>
      <c r="Y193" s="67" t="str">
        <f>IF(Table_PrescriptLights_Input[[#This Row],[Prescriptive lighting measure]]="", "",Table_PrescriptLights_Input[[#This Row],[Material cost per fixture]]*Table_PrescriptLights_Input[[#This Row],[Number of proposed fixtures]]+Table_PrescriptLights_Input[[#This Row],[Total labor cost]])</f>
        <v/>
      </c>
      <c r="Z193" s="67" t="str">
        <f>IFERROR(Table_PrescriptLights_Input[[#This Row],[Gross measure cost]]-Table_PrescriptLights_Input[[#This Row],[Estimated incentive]], "")</f>
        <v/>
      </c>
      <c r="AA193" s="69" t="str">
        <f t="shared" si="5"/>
        <v/>
      </c>
      <c r="AB193" s="69" t="str">
        <f>IF(ISNUMBER(Table_PrescriptLights_Input[[#This Row],[Detailed Fixture Calculation Wattage]]), "Detailed", "General")</f>
        <v>General</v>
      </c>
      <c r="AC193" s="53" t="e">
        <f>INDEX(Table_IntExt_Match[Measure Selection List], MATCH(Table_PrescriptLights_Input[[#This Row],[Interior or exterior?]], Table_IntExt_Match[Inetrior or Exterior], 0))</f>
        <v>#N/A</v>
      </c>
      <c r="AD193" s="53" t="e">
        <f>INDEX(Table_Prescript_Meas[Unit], MATCH(C193, Table_Prescript_Meas[Measure Number], 0))</f>
        <v>#N/A</v>
      </c>
      <c r="AE193" s="53" t="e">
        <f>INDEX(Table_Prescript_Meas[Lighting Type Selection List], MATCH(C193, Table_Prescript_Meas[Measure Number], 0))</f>
        <v>#N/A</v>
      </c>
      <c r="AF193" s="53" t="e">
        <f>INDEX(Table_Prescript_Meas[AOH Type], MATCH(Table_PrescriptLights_Input[[#This Row],[Measure number]], Table_Prescript_Meas[Measure Number],0))</f>
        <v>#N/A</v>
      </c>
      <c r="AG193"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93" s="53" t="str">
        <f>_xlfn.CONCAT(Table_PrescriptLights_Input[[#This Row],[Existing lighting type]],":",Table_PrescriptLights_Input[[#This Row],[Existing lamps per fixture]], ":",Table_PrescriptLights_Input[[#This Row],[Existing lamp wattage]])</f>
        <v>::</v>
      </c>
      <c r="AI193" s="53" t="e">
        <f>INDEX(Table_TRM_Fixtures[Fixture Code], MATCH(Table_PrescriptLights_Input[[#This Row],[Detailed Baseline Fixture Lookup]], Table_TRM_Fixtures[Detailed Prescriptive Baseline Fixture Lookup], 0))</f>
        <v>#N/A</v>
      </c>
      <c r="AJ193" s="53" t="e">
        <f>INDEX(Table_TRM_Fixtures[Fixture Wattage for Baseline Calculations],MATCH(Table_PrescriptLights_Input[[#This Row],[Detailed Baseline Fixture Lookup]], Table_TRM_Fixtures[Detailed Prescriptive Baseline Fixture Lookup],0))</f>
        <v>#N/A</v>
      </c>
      <c r="AK193" s="127" t="e">
        <f>INDEX(Table_Bldg_IEFD_IEFC[IEFE], MATCH( Input_HVACType,Table_Bldg_IEFD_IEFC[List_HVAC], 0))</f>
        <v>#N/A</v>
      </c>
      <c r="AL193" s="127" t="e">
        <f>INDEX( Table_Bldg_IEFD_IEFC[IEFE],MATCH( Input_HVACType, Table_Bldg_IEFD_IEFC[List_HVAC],0 ))</f>
        <v>#N/A</v>
      </c>
      <c r="AM193" s="127" t="e">
        <f>INDEX(Table_Control_PAF[PAF], MATCH(Table_PrescriptLights_Input[[#This Row],[Existing controls]], Table_Control_PAF[List_Control_Types], 0 ) )</f>
        <v>#N/A</v>
      </c>
      <c r="AN193"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93"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93"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93" s="53">
        <f>IFERROR(LEFT(Table_PrescriptLights_Input[[#This Row],[Existing lighting type]], FIND(",",Table_PrescriptLights_Input[[#This Row],[Existing lighting type]])-1), Table_PrescriptLights_Input[[#This Row],[Existing lighting type]])</f>
        <v>0</v>
      </c>
      <c r="AR193" s="53" t="str">
        <f>_xlfn.CONCAT(Table_PrescriptLights_Input[[#This Row],[Generalized Fixture Type]], ":",Table_PrescriptLights_Input[[#This Row],[Existing lamps per fixture]],":",Table_PrescriptLights_Input[[#This Row],[Existing lamp wattage]])</f>
        <v>0::</v>
      </c>
      <c r="AS193" s="53" t="e">
        <f>INDEX(Table_TRM_Fixtures[Fixture Code], MATCH(Table_PrescriptLights_Input[[#This Row],[Generalized Fixture Baseline Lookup]], Table_TRM_Fixtures[Generalized Baseline Fixture Lookup], 0))</f>
        <v>#N/A</v>
      </c>
      <c r="AT193"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93"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93"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93"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93"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93" s="53" t="e">
        <f>IFERROR(Table_PrescriptLights_Input[[#This Row],[Detailed Baseline Fixture Code]],Table_PrescriptLights_Input[[#This Row],[Generalized Baseline Fixture Code]])</f>
        <v>#N/A</v>
      </c>
      <c r="AZ193" s="4"/>
      <c r="BA193" s="4"/>
      <c r="BB193" s="4"/>
      <c r="BC193" s="4"/>
      <c r="BD193" s="4"/>
      <c r="BE193" s="4"/>
      <c r="BF193" s="4"/>
      <c r="BG193" s="4"/>
      <c r="BH193" s="4"/>
      <c r="BI193" s="4"/>
      <c r="BJ193" s="4"/>
      <c r="BK193" s="4"/>
      <c r="BL193" s="4"/>
      <c r="BM193" s="4"/>
      <c r="BN193" s="4"/>
      <c r="BO193" s="4"/>
      <c r="BP193" s="4"/>
      <c r="BQ193" s="4"/>
    </row>
    <row r="194" spans="1:69" x14ac:dyDescent="0.2">
      <c r="A194" s="4"/>
      <c r="B194" s="189">
        <v>190</v>
      </c>
      <c r="C194" s="61" t="str">
        <f>IFERROR(INDEX(Table_Prescript_Meas[Measure Number], MATCH(Table_PrescriptLights_Input[[#This Row],[Prescriptive lighting measure]], Table_Prescript_Meas[Measure Description], 0)), "")</f>
        <v/>
      </c>
      <c r="D194" s="192"/>
      <c r="E194" s="179"/>
      <c r="F194" s="179"/>
      <c r="G194" s="61" t="str">
        <f>IFERROR(INDEX(Table_Prescript_Meas[Unit], MATCH(Table_PrescriptLights_Input[[#This Row],[Measure number]], Table_Prescript_Meas[Measure Number], 0)), "")</f>
        <v/>
      </c>
      <c r="H194" s="180"/>
      <c r="I194" s="179"/>
      <c r="J194" s="179"/>
      <c r="K194" s="180"/>
      <c r="L194" s="179"/>
      <c r="M194" s="180"/>
      <c r="N194" s="180"/>
      <c r="O194" s="180"/>
      <c r="P194" s="180"/>
      <c r="Q194" s="180"/>
      <c r="R194" s="181"/>
      <c r="S194" s="181"/>
      <c r="T194"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94"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94" s="69" t="str">
        <f>IF(Table_PrescriptLights_Input[[#This Row],[Prescriptive lighting measure]]="","",Table_PrescriptLights_Input[[#This Row],[Calculated Energy Savings]])</f>
        <v/>
      </c>
      <c r="W194" s="73" t="str">
        <f>IF(Table_PrescriptLights_Input[[#This Row],[Prescriptive lighting measure]]="","",Table_PrescriptLights_Input[[#This Row],[Calculated Demand Savings]])</f>
        <v/>
      </c>
      <c r="X194" s="67" t="str">
        <f>IFERROR(Table_PrescriptLights_Input[[#This Row],[Energy savings (kWh)]]*Input_AvgkWhRate, "")</f>
        <v/>
      </c>
      <c r="Y194" s="67" t="str">
        <f>IF(Table_PrescriptLights_Input[[#This Row],[Prescriptive lighting measure]]="", "",Table_PrescriptLights_Input[[#This Row],[Material cost per fixture]]*Table_PrescriptLights_Input[[#This Row],[Number of proposed fixtures]]+Table_PrescriptLights_Input[[#This Row],[Total labor cost]])</f>
        <v/>
      </c>
      <c r="Z194" s="67" t="str">
        <f>IFERROR(Table_PrescriptLights_Input[[#This Row],[Gross measure cost]]-Table_PrescriptLights_Input[[#This Row],[Estimated incentive]], "")</f>
        <v/>
      </c>
      <c r="AA194" s="69" t="str">
        <f t="shared" si="5"/>
        <v/>
      </c>
      <c r="AB194" s="69" t="str">
        <f>IF(ISNUMBER(Table_PrescriptLights_Input[[#This Row],[Detailed Fixture Calculation Wattage]]), "Detailed", "General")</f>
        <v>General</v>
      </c>
      <c r="AC194" s="53" t="e">
        <f>INDEX(Table_IntExt_Match[Measure Selection List], MATCH(Table_PrescriptLights_Input[[#This Row],[Interior or exterior?]], Table_IntExt_Match[Inetrior or Exterior], 0))</f>
        <v>#N/A</v>
      </c>
      <c r="AD194" s="53" t="e">
        <f>INDEX(Table_Prescript_Meas[Unit], MATCH(C194, Table_Prescript_Meas[Measure Number], 0))</f>
        <v>#N/A</v>
      </c>
      <c r="AE194" s="53" t="e">
        <f>INDEX(Table_Prescript_Meas[Lighting Type Selection List], MATCH(C194, Table_Prescript_Meas[Measure Number], 0))</f>
        <v>#N/A</v>
      </c>
      <c r="AF194" s="53" t="e">
        <f>INDEX(Table_Prescript_Meas[AOH Type], MATCH(Table_PrescriptLights_Input[[#This Row],[Measure number]], Table_Prescript_Meas[Measure Number],0))</f>
        <v>#N/A</v>
      </c>
      <c r="AG194"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94" s="53" t="str">
        <f>_xlfn.CONCAT(Table_PrescriptLights_Input[[#This Row],[Existing lighting type]],":",Table_PrescriptLights_Input[[#This Row],[Existing lamps per fixture]], ":",Table_PrescriptLights_Input[[#This Row],[Existing lamp wattage]])</f>
        <v>::</v>
      </c>
      <c r="AI194" s="53" t="e">
        <f>INDEX(Table_TRM_Fixtures[Fixture Code], MATCH(Table_PrescriptLights_Input[[#This Row],[Detailed Baseline Fixture Lookup]], Table_TRM_Fixtures[Detailed Prescriptive Baseline Fixture Lookup], 0))</f>
        <v>#N/A</v>
      </c>
      <c r="AJ194" s="53" t="e">
        <f>INDEX(Table_TRM_Fixtures[Fixture Wattage for Baseline Calculations],MATCH(Table_PrescriptLights_Input[[#This Row],[Detailed Baseline Fixture Lookup]], Table_TRM_Fixtures[Detailed Prescriptive Baseline Fixture Lookup],0))</f>
        <v>#N/A</v>
      </c>
      <c r="AK194" s="127" t="e">
        <f>INDEX(Table_Bldg_IEFD_IEFC[IEFE], MATCH( Input_HVACType,Table_Bldg_IEFD_IEFC[List_HVAC], 0))</f>
        <v>#N/A</v>
      </c>
      <c r="AL194" s="127" t="e">
        <f>INDEX( Table_Bldg_IEFD_IEFC[IEFE],MATCH( Input_HVACType, Table_Bldg_IEFD_IEFC[List_HVAC],0 ))</f>
        <v>#N/A</v>
      </c>
      <c r="AM194" s="127" t="e">
        <f>INDEX(Table_Control_PAF[PAF], MATCH(Table_PrescriptLights_Input[[#This Row],[Existing controls]], Table_Control_PAF[List_Control_Types], 0 ) )</f>
        <v>#N/A</v>
      </c>
      <c r="AN194"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94"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94"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94" s="53">
        <f>IFERROR(LEFT(Table_PrescriptLights_Input[[#This Row],[Existing lighting type]], FIND(",",Table_PrescriptLights_Input[[#This Row],[Existing lighting type]])-1), Table_PrescriptLights_Input[[#This Row],[Existing lighting type]])</f>
        <v>0</v>
      </c>
      <c r="AR194" s="53" t="str">
        <f>_xlfn.CONCAT(Table_PrescriptLights_Input[[#This Row],[Generalized Fixture Type]], ":",Table_PrescriptLights_Input[[#This Row],[Existing lamps per fixture]],":",Table_PrescriptLights_Input[[#This Row],[Existing lamp wattage]])</f>
        <v>0::</v>
      </c>
      <c r="AS194" s="53" t="e">
        <f>INDEX(Table_TRM_Fixtures[Fixture Code], MATCH(Table_PrescriptLights_Input[[#This Row],[Generalized Fixture Baseline Lookup]], Table_TRM_Fixtures[Generalized Baseline Fixture Lookup], 0))</f>
        <v>#N/A</v>
      </c>
      <c r="AT194"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94"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94"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94"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94"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94" s="53" t="e">
        <f>IFERROR(Table_PrescriptLights_Input[[#This Row],[Detailed Baseline Fixture Code]],Table_PrescriptLights_Input[[#This Row],[Generalized Baseline Fixture Code]])</f>
        <v>#N/A</v>
      </c>
      <c r="AZ194" s="4"/>
      <c r="BA194" s="4"/>
      <c r="BB194" s="4"/>
      <c r="BC194" s="4"/>
      <c r="BD194" s="4"/>
      <c r="BE194" s="4"/>
      <c r="BF194" s="4"/>
      <c r="BG194" s="4"/>
      <c r="BH194" s="4"/>
      <c r="BI194" s="4"/>
      <c r="BJ194" s="4"/>
      <c r="BK194" s="4"/>
      <c r="BL194" s="4"/>
      <c r="BM194" s="4"/>
      <c r="BN194" s="4"/>
      <c r="BO194" s="4"/>
      <c r="BP194" s="4"/>
      <c r="BQ194" s="4"/>
    </row>
    <row r="195" spans="1:69" x14ac:dyDescent="0.2">
      <c r="A195" s="4"/>
      <c r="B195" s="189">
        <v>191</v>
      </c>
      <c r="C195" s="61" t="str">
        <f>IFERROR(INDEX(Table_Prescript_Meas[Measure Number], MATCH(Table_PrescriptLights_Input[[#This Row],[Prescriptive lighting measure]], Table_Prescript_Meas[Measure Description], 0)), "")</f>
        <v/>
      </c>
      <c r="D195" s="192"/>
      <c r="E195" s="179"/>
      <c r="F195" s="179"/>
      <c r="G195" s="61" t="str">
        <f>IFERROR(INDEX(Table_Prescript_Meas[Unit], MATCH(Table_PrescriptLights_Input[[#This Row],[Measure number]], Table_Prescript_Meas[Measure Number], 0)), "")</f>
        <v/>
      </c>
      <c r="H195" s="180"/>
      <c r="I195" s="179"/>
      <c r="J195" s="179"/>
      <c r="K195" s="180"/>
      <c r="L195" s="179"/>
      <c r="M195" s="180"/>
      <c r="N195" s="180"/>
      <c r="O195" s="180"/>
      <c r="P195" s="180"/>
      <c r="Q195" s="180"/>
      <c r="R195" s="181"/>
      <c r="S195" s="181"/>
      <c r="T195"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95"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95" s="69" t="str">
        <f>IF(Table_PrescriptLights_Input[[#This Row],[Prescriptive lighting measure]]="","",Table_PrescriptLights_Input[[#This Row],[Calculated Energy Savings]])</f>
        <v/>
      </c>
      <c r="W195" s="73" t="str">
        <f>IF(Table_PrescriptLights_Input[[#This Row],[Prescriptive lighting measure]]="","",Table_PrescriptLights_Input[[#This Row],[Calculated Demand Savings]])</f>
        <v/>
      </c>
      <c r="X195" s="67" t="str">
        <f>IFERROR(Table_PrescriptLights_Input[[#This Row],[Energy savings (kWh)]]*Input_AvgkWhRate, "")</f>
        <v/>
      </c>
      <c r="Y195" s="67" t="str">
        <f>IF(Table_PrescriptLights_Input[[#This Row],[Prescriptive lighting measure]]="", "",Table_PrescriptLights_Input[[#This Row],[Material cost per fixture]]*Table_PrescriptLights_Input[[#This Row],[Number of proposed fixtures]]+Table_PrescriptLights_Input[[#This Row],[Total labor cost]])</f>
        <v/>
      </c>
      <c r="Z195" s="67" t="str">
        <f>IFERROR(Table_PrescriptLights_Input[[#This Row],[Gross measure cost]]-Table_PrescriptLights_Input[[#This Row],[Estimated incentive]], "")</f>
        <v/>
      </c>
      <c r="AA195" s="69" t="str">
        <f t="shared" si="5"/>
        <v/>
      </c>
      <c r="AB195" s="69" t="str">
        <f>IF(ISNUMBER(Table_PrescriptLights_Input[[#This Row],[Detailed Fixture Calculation Wattage]]), "Detailed", "General")</f>
        <v>General</v>
      </c>
      <c r="AC195" s="53" t="e">
        <f>INDEX(Table_IntExt_Match[Measure Selection List], MATCH(Table_PrescriptLights_Input[[#This Row],[Interior or exterior?]], Table_IntExt_Match[Inetrior or Exterior], 0))</f>
        <v>#N/A</v>
      </c>
      <c r="AD195" s="53" t="e">
        <f>INDEX(Table_Prescript_Meas[Unit], MATCH(C195, Table_Prescript_Meas[Measure Number], 0))</f>
        <v>#N/A</v>
      </c>
      <c r="AE195" s="53" t="e">
        <f>INDEX(Table_Prescript_Meas[Lighting Type Selection List], MATCH(C195, Table_Prescript_Meas[Measure Number], 0))</f>
        <v>#N/A</v>
      </c>
      <c r="AF195" s="53" t="e">
        <f>INDEX(Table_Prescript_Meas[AOH Type], MATCH(Table_PrescriptLights_Input[[#This Row],[Measure number]], Table_Prescript_Meas[Measure Number],0))</f>
        <v>#N/A</v>
      </c>
      <c r="AG195"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95" s="53" t="str">
        <f>_xlfn.CONCAT(Table_PrescriptLights_Input[[#This Row],[Existing lighting type]],":",Table_PrescriptLights_Input[[#This Row],[Existing lamps per fixture]], ":",Table_PrescriptLights_Input[[#This Row],[Existing lamp wattage]])</f>
        <v>::</v>
      </c>
      <c r="AI195" s="53" t="e">
        <f>INDEX(Table_TRM_Fixtures[Fixture Code], MATCH(Table_PrescriptLights_Input[[#This Row],[Detailed Baseline Fixture Lookup]], Table_TRM_Fixtures[Detailed Prescriptive Baseline Fixture Lookup], 0))</f>
        <v>#N/A</v>
      </c>
      <c r="AJ195" s="53" t="e">
        <f>INDEX(Table_TRM_Fixtures[Fixture Wattage for Baseline Calculations],MATCH(Table_PrescriptLights_Input[[#This Row],[Detailed Baseline Fixture Lookup]], Table_TRM_Fixtures[Detailed Prescriptive Baseline Fixture Lookup],0))</f>
        <v>#N/A</v>
      </c>
      <c r="AK195" s="127" t="e">
        <f>INDEX(Table_Bldg_IEFD_IEFC[IEFE], MATCH( Input_HVACType,Table_Bldg_IEFD_IEFC[List_HVAC], 0))</f>
        <v>#N/A</v>
      </c>
      <c r="AL195" s="127" t="e">
        <f>INDEX( Table_Bldg_IEFD_IEFC[IEFE],MATCH( Input_HVACType, Table_Bldg_IEFD_IEFC[List_HVAC],0 ))</f>
        <v>#N/A</v>
      </c>
      <c r="AM195" s="127" t="e">
        <f>INDEX(Table_Control_PAF[PAF], MATCH(Table_PrescriptLights_Input[[#This Row],[Existing controls]], Table_Control_PAF[List_Control_Types], 0 ) )</f>
        <v>#N/A</v>
      </c>
      <c r="AN195"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95"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95"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95" s="53">
        <f>IFERROR(LEFT(Table_PrescriptLights_Input[[#This Row],[Existing lighting type]], FIND(",",Table_PrescriptLights_Input[[#This Row],[Existing lighting type]])-1), Table_PrescriptLights_Input[[#This Row],[Existing lighting type]])</f>
        <v>0</v>
      </c>
      <c r="AR195" s="53" t="str">
        <f>_xlfn.CONCAT(Table_PrescriptLights_Input[[#This Row],[Generalized Fixture Type]], ":",Table_PrescriptLights_Input[[#This Row],[Existing lamps per fixture]],":",Table_PrescriptLights_Input[[#This Row],[Existing lamp wattage]])</f>
        <v>0::</v>
      </c>
      <c r="AS195" s="53" t="e">
        <f>INDEX(Table_TRM_Fixtures[Fixture Code], MATCH(Table_PrescriptLights_Input[[#This Row],[Generalized Fixture Baseline Lookup]], Table_TRM_Fixtures[Generalized Baseline Fixture Lookup], 0))</f>
        <v>#N/A</v>
      </c>
      <c r="AT195"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95"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95"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95"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95"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95" s="53" t="e">
        <f>IFERROR(Table_PrescriptLights_Input[[#This Row],[Detailed Baseline Fixture Code]],Table_PrescriptLights_Input[[#This Row],[Generalized Baseline Fixture Code]])</f>
        <v>#N/A</v>
      </c>
      <c r="AZ195" s="4"/>
      <c r="BA195" s="4"/>
      <c r="BB195" s="4"/>
      <c r="BC195" s="4"/>
      <c r="BD195" s="4"/>
      <c r="BE195" s="4"/>
      <c r="BF195" s="4"/>
      <c r="BG195" s="4"/>
      <c r="BH195" s="4"/>
      <c r="BI195" s="4"/>
      <c r="BJ195" s="4"/>
      <c r="BK195" s="4"/>
      <c r="BL195" s="4"/>
      <c r="BM195" s="4"/>
      <c r="BN195" s="4"/>
      <c r="BO195" s="4"/>
      <c r="BP195" s="4"/>
      <c r="BQ195" s="4"/>
    </row>
    <row r="196" spans="1:69" x14ac:dyDescent="0.2">
      <c r="A196" s="4"/>
      <c r="B196" s="189">
        <v>192</v>
      </c>
      <c r="C196" s="61" t="str">
        <f>IFERROR(INDEX(Table_Prescript_Meas[Measure Number], MATCH(Table_PrescriptLights_Input[[#This Row],[Prescriptive lighting measure]], Table_Prescript_Meas[Measure Description], 0)), "")</f>
        <v/>
      </c>
      <c r="D196" s="192"/>
      <c r="E196" s="179"/>
      <c r="F196" s="179"/>
      <c r="G196" s="61" t="str">
        <f>IFERROR(INDEX(Table_Prescript_Meas[Unit], MATCH(Table_PrescriptLights_Input[[#This Row],[Measure number]], Table_Prescript_Meas[Measure Number], 0)), "")</f>
        <v/>
      </c>
      <c r="H196" s="180"/>
      <c r="I196" s="179"/>
      <c r="J196" s="179"/>
      <c r="K196" s="180"/>
      <c r="L196" s="179"/>
      <c r="M196" s="180"/>
      <c r="N196" s="180"/>
      <c r="O196" s="180"/>
      <c r="P196" s="180"/>
      <c r="Q196" s="180"/>
      <c r="R196" s="181"/>
      <c r="S196" s="181"/>
      <c r="T196"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96"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96" s="69" t="str">
        <f>IF(Table_PrescriptLights_Input[[#This Row],[Prescriptive lighting measure]]="","",Table_PrescriptLights_Input[[#This Row],[Calculated Energy Savings]])</f>
        <v/>
      </c>
      <c r="W196" s="73" t="str">
        <f>IF(Table_PrescriptLights_Input[[#This Row],[Prescriptive lighting measure]]="","",Table_PrescriptLights_Input[[#This Row],[Calculated Demand Savings]])</f>
        <v/>
      </c>
      <c r="X196" s="67" t="str">
        <f>IFERROR(Table_PrescriptLights_Input[[#This Row],[Energy savings (kWh)]]*Input_AvgkWhRate, "")</f>
        <v/>
      </c>
      <c r="Y196" s="67" t="str">
        <f>IF(Table_PrescriptLights_Input[[#This Row],[Prescriptive lighting measure]]="", "",Table_PrescriptLights_Input[[#This Row],[Material cost per fixture]]*Table_PrescriptLights_Input[[#This Row],[Number of proposed fixtures]]+Table_PrescriptLights_Input[[#This Row],[Total labor cost]])</f>
        <v/>
      </c>
      <c r="Z196" s="67" t="str">
        <f>IFERROR(Table_PrescriptLights_Input[[#This Row],[Gross measure cost]]-Table_PrescriptLights_Input[[#This Row],[Estimated incentive]], "")</f>
        <v/>
      </c>
      <c r="AA196" s="69" t="str">
        <f t="shared" si="5"/>
        <v/>
      </c>
      <c r="AB196" s="69" t="str">
        <f>IF(ISNUMBER(Table_PrescriptLights_Input[[#This Row],[Detailed Fixture Calculation Wattage]]), "Detailed", "General")</f>
        <v>General</v>
      </c>
      <c r="AC196" s="53" t="e">
        <f>INDEX(Table_IntExt_Match[Measure Selection List], MATCH(Table_PrescriptLights_Input[[#This Row],[Interior or exterior?]], Table_IntExt_Match[Inetrior or Exterior], 0))</f>
        <v>#N/A</v>
      </c>
      <c r="AD196" s="53" t="e">
        <f>INDEX(Table_Prescript_Meas[Unit], MATCH(C196, Table_Prescript_Meas[Measure Number], 0))</f>
        <v>#N/A</v>
      </c>
      <c r="AE196" s="53" t="e">
        <f>INDEX(Table_Prescript_Meas[Lighting Type Selection List], MATCH(C196, Table_Prescript_Meas[Measure Number], 0))</f>
        <v>#N/A</v>
      </c>
      <c r="AF196" s="53" t="e">
        <f>INDEX(Table_Prescript_Meas[AOH Type], MATCH(Table_PrescriptLights_Input[[#This Row],[Measure number]], Table_Prescript_Meas[Measure Number],0))</f>
        <v>#N/A</v>
      </c>
      <c r="AG196"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96" s="53" t="str">
        <f>_xlfn.CONCAT(Table_PrescriptLights_Input[[#This Row],[Existing lighting type]],":",Table_PrescriptLights_Input[[#This Row],[Existing lamps per fixture]], ":",Table_PrescriptLights_Input[[#This Row],[Existing lamp wattage]])</f>
        <v>::</v>
      </c>
      <c r="AI196" s="53" t="e">
        <f>INDEX(Table_TRM_Fixtures[Fixture Code], MATCH(Table_PrescriptLights_Input[[#This Row],[Detailed Baseline Fixture Lookup]], Table_TRM_Fixtures[Detailed Prescriptive Baseline Fixture Lookup], 0))</f>
        <v>#N/A</v>
      </c>
      <c r="AJ196" s="53" t="e">
        <f>INDEX(Table_TRM_Fixtures[Fixture Wattage for Baseline Calculations],MATCH(Table_PrescriptLights_Input[[#This Row],[Detailed Baseline Fixture Lookup]], Table_TRM_Fixtures[Detailed Prescriptive Baseline Fixture Lookup],0))</f>
        <v>#N/A</v>
      </c>
      <c r="AK196" s="127" t="e">
        <f>INDEX(Table_Bldg_IEFD_IEFC[IEFE], MATCH( Input_HVACType,Table_Bldg_IEFD_IEFC[List_HVAC], 0))</f>
        <v>#N/A</v>
      </c>
      <c r="AL196" s="127" t="e">
        <f>INDEX( Table_Bldg_IEFD_IEFC[IEFE],MATCH( Input_HVACType, Table_Bldg_IEFD_IEFC[List_HVAC],0 ))</f>
        <v>#N/A</v>
      </c>
      <c r="AM196" s="127" t="e">
        <f>INDEX(Table_Control_PAF[PAF], MATCH(Table_PrescriptLights_Input[[#This Row],[Existing controls]], Table_Control_PAF[List_Control_Types], 0 ) )</f>
        <v>#N/A</v>
      </c>
      <c r="AN196"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96"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96"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96" s="53">
        <f>IFERROR(LEFT(Table_PrescriptLights_Input[[#This Row],[Existing lighting type]], FIND(",",Table_PrescriptLights_Input[[#This Row],[Existing lighting type]])-1), Table_PrescriptLights_Input[[#This Row],[Existing lighting type]])</f>
        <v>0</v>
      </c>
      <c r="AR196" s="53" t="str">
        <f>_xlfn.CONCAT(Table_PrescriptLights_Input[[#This Row],[Generalized Fixture Type]], ":",Table_PrescriptLights_Input[[#This Row],[Existing lamps per fixture]],":",Table_PrescriptLights_Input[[#This Row],[Existing lamp wattage]])</f>
        <v>0::</v>
      </c>
      <c r="AS196" s="53" t="e">
        <f>INDEX(Table_TRM_Fixtures[Fixture Code], MATCH(Table_PrescriptLights_Input[[#This Row],[Generalized Fixture Baseline Lookup]], Table_TRM_Fixtures[Generalized Baseline Fixture Lookup], 0))</f>
        <v>#N/A</v>
      </c>
      <c r="AT196"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96"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96"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96"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96"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96" s="53" t="e">
        <f>IFERROR(Table_PrescriptLights_Input[[#This Row],[Detailed Baseline Fixture Code]],Table_PrescriptLights_Input[[#This Row],[Generalized Baseline Fixture Code]])</f>
        <v>#N/A</v>
      </c>
      <c r="AZ196" s="4"/>
      <c r="BA196" s="4"/>
      <c r="BB196" s="4"/>
      <c r="BC196" s="4"/>
      <c r="BD196" s="4"/>
      <c r="BE196" s="4"/>
      <c r="BF196" s="4"/>
      <c r="BG196" s="4"/>
      <c r="BH196" s="4"/>
      <c r="BI196" s="4"/>
      <c r="BJ196" s="4"/>
      <c r="BK196" s="4"/>
      <c r="BL196" s="4"/>
      <c r="BM196" s="4"/>
      <c r="BN196" s="4"/>
      <c r="BO196" s="4"/>
      <c r="BP196" s="4"/>
      <c r="BQ196" s="4"/>
    </row>
    <row r="197" spans="1:69" x14ac:dyDescent="0.2">
      <c r="A197" s="4"/>
      <c r="B197" s="189">
        <v>193</v>
      </c>
      <c r="C197" s="61" t="str">
        <f>IFERROR(INDEX(Table_Prescript_Meas[Measure Number], MATCH(Table_PrescriptLights_Input[[#This Row],[Prescriptive lighting measure]], Table_Prescript_Meas[Measure Description], 0)), "")</f>
        <v/>
      </c>
      <c r="D197" s="192"/>
      <c r="E197" s="179"/>
      <c r="F197" s="179"/>
      <c r="G197" s="61" t="str">
        <f>IFERROR(INDEX(Table_Prescript_Meas[Unit], MATCH(Table_PrescriptLights_Input[[#This Row],[Measure number]], Table_Prescript_Meas[Measure Number], 0)), "")</f>
        <v/>
      </c>
      <c r="H197" s="180"/>
      <c r="I197" s="179"/>
      <c r="J197" s="179"/>
      <c r="K197" s="180"/>
      <c r="L197" s="179"/>
      <c r="M197" s="180"/>
      <c r="N197" s="180"/>
      <c r="O197" s="180"/>
      <c r="P197" s="180"/>
      <c r="Q197" s="180"/>
      <c r="R197" s="181"/>
      <c r="S197" s="181"/>
      <c r="T197"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97"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97" s="69" t="str">
        <f>IF(Table_PrescriptLights_Input[[#This Row],[Prescriptive lighting measure]]="","",Table_PrescriptLights_Input[[#This Row],[Calculated Energy Savings]])</f>
        <v/>
      </c>
      <c r="W197" s="73" t="str">
        <f>IF(Table_PrescriptLights_Input[[#This Row],[Prescriptive lighting measure]]="","",Table_PrescriptLights_Input[[#This Row],[Calculated Demand Savings]])</f>
        <v/>
      </c>
      <c r="X197" s="67" t="str">
        <f>IFERROR(Table_PrescriptLights_Input[[#This Row],[Energy savings (kWh)]]*Input_AvgkWhRate, "")</f>
        <v/>
      </c>
      <c r="Y197" s="67" t="str">
        <f>IF(Table_PrescriptLights_Input[[#This Row],[Prescriptive lighting measure]]="", "",Table_PrescriptLights_Input[[#This Row],[Material cost per fixture]]*Table_PrescriptLights_Input[[#This Row],[Number of proposed fixtures]]+Table_PrescriptLights_Input[[#This Row],[Total labor cost]])</f>
        <v/>
      </c>
      <c r="Z197" s="67" t="str">
        <f>IFERROR(Table_PrescriptLights_Input[[#This Row],[Gross measure cost]]-Table_PrescriptLights_Input[[#This Row],[Estimated incentive]], "")</f>
        <v/>
      </c>
      <c r="AA197" s="69" t="str">
        <f t="shared" ref="AA197:AA204" si="6">IFERROR($Z197/$X197,"")</f>
        <v/>
      </c>
      <c r="AB197" s="69" t="str">
        <f>IF(ISNUMBER(Table_PrescriptLights_Input[[#This Row],[Detailed Fixture Calculation Wattage]]), "Detailed", "General")</f>
        <v>General</v>
      </c>
      <c r="AC197" s="53" t="e">
        <f>INDEX(Table_IntExt_Match[Measure Selection List], MATCH(Table_PrescriptLights_Input[[#This Row],[Interior or exterior?]], Table_IntExt_Match[Inetrior or Exterior], 0))</f>
        <v>#N/A</v>
      </c>
      <c r="AD197" s="53" t="e">
        <f>INDEX(Table_Prescript_Meas[Unit], MATCH(C197, Table_Prescript_Meas[Measure Number], 0))</f>
        <v>#N/A</v>
      </c>
      <c r="AE197" s="53" t="e">
        <f>INDEX(Table_Prescript_Meas[Lighting Type Selection List], MATCH(C197, Table_Prescript_Meas[Measure Number], 0))</f>
        <v>#N/A</v>
      </c>
      <c r="AF197" s="53" t="e">
        <f>INDEX(Table_Prescript_Meas[AOH Type], MATCH(Table_PrescriptLights_Input[[#This Row],[Measure number]], Table_Prescript_Meas[Measure Number],0))</f>
        <v>#N/A</v>
      </c>
      <c r="AG197"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97" s="53" t="str">
        <f>_xlfn.CONCAT(Table_PrescriptLights_Input[[#This Row],[Existing lighting type]],":",Table_PrescriptLights_Input[[#This Row],[Existing lamps per fixture]], ":",Table_PrescriptLights_Input[[#This Row],[Existing lamp wattage]])</f>
        <v>::</v>
      </c>
      <c r="AI197" s="53" t="e">
        <f>INDEX(Table_TRM_Fixtures[Fixture Code], MATCH(Table_PrescriptLights_Input[[#This Row],[Detailed Baseline Fixture Lookup]], Table_TRM_Fixtures[Detailed Prescriptive Baseline Fixture Lookup], 0))</f>
        <v>#N/A</v>
      </c>
      <c r="AJ197" s="53" t="e">
        <f>INDEX(Table_TRM_Fixtures[Fixture Wattage for Baseline Calculations],MATCH(Table_PrescriptLights_Input[[#This Row],[Detailed Baseline Fixture Lookup]], Table_TRM_Fixtures[Detailed Prescriptive Baseline Fixture Lookup],0))</f>
        <v>#N/A</v>
      </c>
      <c r="AK197" s="127" t="e">
        <f>INDEX(Table_Bldg_IEFD_IEFC[IEFE], MATCH( Input_HVACType,Table_Bldg_IEFD_IEFC[List_HVAC], 0))</f>
        <v>#N/A</v>
      </c>
      <c r="AL197" s="127" t="e">
        <f>INDEX( Table_Bldg_IEFD_IEFC[IEFE],MATCH( Input_HVACType, Table_Bldg_IEFD_IEFC[List_HVAC],0 ))</f>
        <v>#N/A</v>
      </c>
      <c r="AM197" s="127" t="e">
        <f>INDEX(Table_Control_PAF[PAF], MATCH(Table_PrescriptLights_Input[[#This Row],[Existing controls]], Table_Control_PAF[List_Control_Types], 0 ) )</f>
        <v>#N/A</v>
      </c>
      <c r="AN197"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97"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97"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97" s="53">
        <f>IFERROR(LEFT(Table_PrescriptLights_Input[[#This Row],[Existing lighting type]], FIND(",",Table_PrescriptLights_Input[[#This Row],[Existing lighting type]])-1), Table_PrescriptLights_Input[[#This Row],[Existing lighting type]])</f>
        <v>0</v>
      </c>
      <c r="AR197" s="53" t="str">
        <f>_xlfn.CONCAT(Table_PrescriptLights_Input[[#This Row],[Generalized Fixture Type]], ":",Table_PrescriptLights_Input[[#This Row],[Existing lamps per fixture]],":",Table_PrescriptLights_Input[[#This Row],[Existing lamp wattage]])</f>
        <v>0::</v>
      </c>
      <c r="AS197" s="53" t="e">
        <f>INDEX(Table_TRM_Fixtures[Fixture Code], MATCH(Table_PrescriptLights_Input[[#This Row],[Generalized Fixture Baseline Lookup]], Table_TRM_Fixtures[Generalized Baseline Fixture Lookup], 0))</f>
        <v>#N/A</v>
      </c>
      <c r="AT197"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97"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97"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97"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97"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97" s="53" t="e">
        <f>IFERROR(Table_PrescriptLights_Input[[#This Row],[Detailed Baseline Fixture Code]],Table_PrescriptLights_Input[[#This Row],[Generalized Baseline Fixture Code]])</f>
        <v>#N/A</v>
      </c>
      <c r="AZ197" s="4"/>
      <c r="BA197" s="4"/>
      <c r="BB197" s="4"/>
      <c r="BC197" s="4"/>
      <c r="BD197" s="4"/>
      <c r="BE197" s="4"/>
      <c r="BF197" s="4"/>
      <c r="BG197" s="4"/>
      <c r="BH197" s="4"/>
      <c r="BI197" s="4"/>
      <c r="BJ197" s="4"/>
      <c r="BK197" s="4"/>
      <c r="BL197" s="4"/>
      <c r="BM197" s="4"/>
      <c r="BN197" s="4"/>
      <c r="BO197" s="4"/>
      <c r="BP197" s="4"/>
      <c r="BQ197" s="4"/>
    </row>
    <row r="198" spans="1:69" x14ac:dyDescent="0.2">
      <c r="A198" s="4"/>
      <c r="B198" s="189">
        <v>194</v>
      </c>
      <c r="C198" s="61" t="str">
        <f>IFERROR(INDEX(Table_Prescript_Meas[Measure Number], MATCH(Table_PrescriptLights_Input[[#This Row],[Prescriptive lighting measure]], Table_Prescript_Meas[Measure Description], 0)), "")</f>
        <v/>
      </c>
      <c r="D198" s="192"/>
      <c r="E198" s="179"/>
      <c r="F198" s="179"/>
      <c r="G198" s="61" t="str">
        <f>IFERROR(INDEX(Table_Prescript_Meas[Unit], MATCH(Table_PrescriptLights_Input[[#This Row],[Measure number]], Table_Prescript_Meas[Measure Number], 0)), "")</f>
        <v/>
      </c>
      <c r="H198" s="180"/>
      <c r="I198" s="179"/>
      <c r="J198" s="179"/>
      <c r="K198" s="180"/>
      <c r="L198" s="179"/>
      <c r="M198" s="180"/>
      <c r="N198" s="180"/>
      <c r="O198" s="180"/>
      <c r="P198" s="180"/>
      <c r="Q198" s="180"/>
      <c r="R198" s="181"/>
      <c r="S198" s="181"/>
      <c r="T198"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98"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98" s="69" t="str">
        <f>IF(Table_PrescriptLights_Input[[#This Row],[Prescriptive lighting measure]]="","",Table_PrescriptLights_Input[[#This Row],[Calculated Energy Savings]])</f>
        <v/>
      </c>
      <c r="W198" s="73" t="str">
        <f>IF(Table_PrescriptLights_Input[[#This Row],[Prescriptive lighting measure]]="","",Table_PrescriptLights_Input[[#This Row],[Calculated Demand Savings]])</f>
        <v/>
      </c>
      <c r="X198" s="67" t="str">
        <f>IFERROR(Table_PrescriptLights_Input[[#This Row],[Energy savings (kWh)]]*Input_AvgkWhRate, "")</f>
        <v/>
      </c>
      <c r="Y198" s="67" t="str">
        <f>IF(Table_PrescriptLights_Input[[#This Row],[Prescriptive lighting measure]]="", "",Table_PrescriptLights_Input[[#This Row],[Material cost per fixture]]*Table_PrescriptLights_Input[[#This Row],[Number of proposed fixtures]]+Table_PrescriptLights_Input[[#This Row],[Total labor cost]])</f>
        <v/>
      </c>
      <c r="Z198" s="67" t="str">
        <f>IFERROR(Table_PrescriptLights_Input[[#This Row],[Gross measure cost]]-Table_PrescriptLights_Input[[#This Row],[Estimated incentive]], "")</f>
        <v/>
      </c>
      <c r="AA198" s="69" t="str">
        <f t="shared" si="6"/>
        <v/>
      </c>
      <c r="AB198" s="69" t="str">
        <f>IF(ISNUMBER(Table_PrescriptLights_Input[[#This Row],[Detailed Fixture Calculation Wattage]]), "Detailed", "General")</f>
        <v>General</v>
      </c>
      <c r="AC198" s="53" t="e">
        <f>INDEX(Table_IntExt_Match[Measure Selection List], MATCH(Table_PrescriptLights_Input[[#This Row],[Interior or exterior?]], Table_IntExt_Match[Inetrior or Exterior], 0))</f>
        <v>#N/A</v>
      </c>
      <c r="AD198" s="53" t="e">
        <f>INDEX(Table_Prescript_Meas[Unit], MATCH(C198, Table_Prescript_Meas[Measure Number], 0))</f>
        <v>#N/A</v>
      </c>
      <c r="AE198" s="53" t="e">
        <f>INDEX(Table_Prescript_Meas[Lighting Type Selection List], MATCH(C198, Table_Prescript_Meas[Measure Number], 0))</f>
        <v>#N/A</v>
      </c>
      <c r="AF198" s="53" t="e">
        <f>INDEX(Table_Prescript_Meas[AOH Type], MATCH(Table_PrescriptLights_Input[[#This Row],[Measure number]], Table_Prescript_Meas[Measure Number],0))</f>
        <v>#N/A</v>
      </c>
      <c r="AG198"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98" s="53" t="str">
        <f>_xlfn.CONCAT(Table_PrescriptLights_Input[[#This Row],[Existing lighting type]],":",Table_PrescriptLights_Input[[#This Row],[Existing lamps per fixture]], ":",Table_PrescriptLights_Input[[#This Row],[Existing lamp wattage]])</f>
        <v>::</v>
      </c>
      <c r="AI198" s="53" t="e">
        <f>INDEX(Table_TRM_Fixtures[Fixture Code], MATCH(Table_PrescriptLights_Input[[#This Row],[Detailed Baseline Fixture Lookup]], Table_TRM_Fixtures[Detailed Prescriptive Baseline Fixture Lookup], 0))</f>
        <v>#N/A</v>
      </c>
      <c r="AJ198" s="53" t="e">
        <f>INDEX(Table_TRM_Fixtures[Fixture Wattage for Baseline Calculations],MATCH(Table_PrescriptLights_Input[[#This Row],[Detailed Baseline Fixture Lookup]], Table_TRM_Fixtures[Detailed Prescriptive Baseline Fixture Lookup],0))</f>
        <v>#N/A</v>
      </c>
      <c r="AK198" s="127" t="e">
        <f>INDEX(Table_Bldg_IEFD_IEFC[IEFE], MATCH( Input_HVACType,Table_Bldg_IEFD_IEFC[List_HVAC], 0))</f>
        <v>#N/A</v>
      </c>
      <c r="AL198" s="127" t="e">
        <f>INDEX( Table_Bldg_IEFD_IEFC[IEFE],MATCH( Input_HVACType, Table_Bldg_IEFD_IEFC[List_HVAC],0 ))</f>
        <v>#N/A</v>
      </c>
      <c r="AM198" s="127" t="e">
        <f>INDEX(Table_Control_PAF[PAF], MATCH(Table_PrescriptLights_Input[[#This Row],[Existing controls]], Table_Control_PAF[List_Control_Types], 0 ) )</f>
        <v>#N/A</v>
      </c>
      <c r="AN198"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98"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98"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98" s="53">
        <f>IFERROR(LEFT(Table_PrescriptLights_Input[[#This Row],[Existing lighting type]], FIND(",",Table_PrescriptLights_Input[[#This Row],[Existing lighting type]])-1), Table_PrescriptLights_Input[[#This Row],[Existing lighting type]])</f>
        <v>0</v>
      </c>
      <c r="AR198" s="53" t="str">
        <f>_xlfn.CONCAT(Table_PrescriptLights_Input[[#This Row],[Generalized Fixture Type]], ":",Table_PrescriptLights_Input[[#This Row],[Existing lamps per fixture]],":",Table_PrescriptLights_Input[[#This Row],[Existing lamp wattage]])</f>
        <v>0::</v>
      </c>
      <c r="AS198" s="53" t="e">
        <f>INDEX(Table_TRM_Fixtures[Fixture Code], MATCH(Table_PrescriptLights_Input[[#This Row],[Generalized Fixture Baseline Lookup]], Table_TRM_Fixtures[Generalized Baseline Fixture Lookup], 0))</f>
        <v>#N/A</v>
      </c>
      <c r="AT198"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98"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98"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98"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98"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98" s="53" t="e">
        <f>IFERROR(Table_PrescriptLights_Input[[#This Row],[Detailed Baseline Fixture Code]],Table_PrescriptLights_Input[[#This Row],[Generalized Baseline Fixture Code]])</f>
        <v>#N/A</v>
      </c>
      <c r="AZ198" s="4"/>
      <c r="BA198" s="4"/>
      <c r="BB198" s="4"/>
      <c r="BC198" s="4"/>
      <c r="BD198" s="4"/>
      <c r="BE198" s="4"/>
      <c r="BF198" s="4"/>
      <c r="BG198" s="4"/>
      <c r="BH198" s="4"/>
      <c r="BI198" s="4"/>
      <c r="BJ198" s="4"/>
      <c r="BK198" s="4"/>
      <c r="BL198" s="4"/>
      <c r="BM198" s="4"/>
      <c r="BN198" s="4"/>
      <c r="BO198" s="4"/>
      <c r="BP198" s="4"/>
      <c r="BQ198" s="4"/>
    </row>
    <row r="199" spans="1:69" x14ac:dyDescent="0.2">
      <c r="A199" s="4"/>
      <c r="B199" s="189">
        <v>195</v>
      </c>
      <c r="C199" s="61" t="str">
        <f>IFERROR(INDEX(Table_Prescript_Meas[Measure Number], MATCH(Table_PrescriptLights_Input[[#This Row],[Prescriptive lighting measure]], Table_Prescript_Meas[Measure Description], 0)), "")</f>
        <v/>
      </c>
      <c r="D199" s="192"/>
      <c r="E199" s="179"/>
      <c r="F199" s="179"/>
      <c r="G199" s="61" t="str">
        <f>IFERROR(INDEX(Table_Prescript_Meas[Unit], MATCH(Table_PrescriptLights_Input[[#This Row],[Measure number]], Table_Prescript_Meas[Measure Number], 0)), "")</f>
        <v/>
      </c>
      <c r="H199" s="180"/>
      <c r="I199" s="179"/>
      <c r="J199" s="179"/>
      <c r="K199" s="180"/>
      <c r="L199" s="179"/>
      <c r="M199" s="180"/>
      <c r="N199" s="180"/>
      <c r="O199" s="180"/>
      <c r="P199" s="180"/>
      <c r="Q199" s="180"/>
      <c r="R199" s="181"/>
      <c r="S199" s="181"/>
      <c r="T199"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199"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199" s="69" t="str">
        <f>IF(Table_PrescriptLights_Input[[#This Row],[Prescriptive lighting measure]]="","",Table_PrescriptLights_Input[[#This Row],[Calculated Energy Savings]])</f>
        <v/>
      </c>
      <c r="W199" s="73" t="str">
        <f>IF(Table_PrescriptLights_Input[[#This Row],[Prescriptive lighting measure]]="","",Table_PrescriptLights_Input[[#This Row],[Calculated Demand Savings]])</f>
        <v/>
      </c>
      <c r="X199" s="67" t="str">
        <f>IFERROR(Table_PrescriptLights_Input[[#This Row],[Energy savings (kWh)]]*Input_AvgkWhRate, "")</f>
        <v/>
      </c>
      <c r="Y199" s="67" t="str">
        <f>IF(Table_PrescriptLights_Input[[#This Row],[Prescriptive lighting measure]]="", "",Table_PrescriptLights_Input[[#This Row],[Material cost per fixture]]*Table_PrescriptLights_Input[[#This Row],[Number of proposed fixtures]]+Table_PrescriptLights_Input[[#This Row],[Total labor cost]])</f>
        <v/>
      </c>
      <c r="Z199" s="67" t="str">
        <f>IFERROR(Table_PrescriptLights_Input[[#This Row],[Gross measure cost]]-Table_PrescriptLights_Input[[#This Row],[Estimated incentive]], "")</f>
        <v/>
      </c>
      <c r="AA199" s="69" t="str">
        <f t="shared" si="6"/>
        <v/>
      </c>
      <c r="AB199" s="69" t="str">
        <f>IF(ISNUMBER(Table_PrescriptLights_Input[[#This Row],[Detailed Fixture Calculation Wattage]]), "Detailed", "General")</f>
        <v>General</v>
      </c>
      <c r="AC199" s="53" t="e">
        <f>INDEX(Table_IntExt_Match[Measure Selection List], MATCH(Table_PrescriptLights_Input[[#This Row],[Interior or exterior?]], Table_IntExt_Match[Inetrior or Exterior], 0))</f>
        <v>#N/A</v>
      </c>
      <c r="AD199" s="53" t="e">
        <f>INDEX(Table_Prescript_Meas[Unit], MATCH(C199, Table_Prescript_Meas[Measure Number], 0))</f>
        <v>#N/A</v>
      </c>
      <c r="AE199" s="53" t="e">
        <f>INDEX(Table_Prescript_Meas[Lighting Type Selection List], MATCH(C199, Table_Prescript_Meas[Measure Number], 0))</f>
        <v>#N/A</v>
      </c>
      <c r="AF199" s="53" t="e">
        <f>INDEX(Table_Prescript_Meas[AOH Type], MATCH(Table_PrescriptLights_Input[[#This Row],[Measure number]], Table_Prescript_Meas[Measure Number],0))</f>
        <v>#N/A</v>
      </c>
      <c r="AG199"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199" s="53" t="str">
        <f>_xlfn.CONCAT(Table_PrescriptLights_Input[[#This Row],[Existing lighting type]],":",Table_PrescriptLights_Input[[#This Row],[Existing lamps per fixture]], ":",Table_PrescriptLights_Input[[#This Row],[Existing lamp wattage]])</f>
        <v>::</v>
      </c>
      <c r="AI199" s="53" t="e">
        <f>INDEX(Table_TRM_Fixtures[Fixture Code], MATCH(Table_PrescriptLights_Input[[#This Row],[Detailed Baseline Fixture Lookup]], Table_TRM_Fixtures[Detailed Prescriptive Baseline Fixture Lookup], 0))</f>
        <v>#N/A</v>
      </c>
      <c r="AJ199" s="53" t="e">
        <f>INDEX(Table_TRM_Fixtures[Fixture Wattage for Baseline Calculations],MATCH(Table_PrescriptLights_Input[[#This Row],[Detailed Baseline Fixture Lookup]], Table_TRM_Fixtures[Detailed Prescriptive Baseline Fixture Lookup],0))</f>
        <v>#N/A</v>
      </c>
      <c r="AK199" s="127" t="e">
        <f>INDEX(Table_Bldg_IEFD_IEFC[IEFE], MATCH( Input_HVACType,Table_Bldg_IEFD_IEFC[List_HVAC], 0))</f>
        <v>#N/A</v>
      </c>
      <c r="AL199" s="127" t="e">
        <f>INDEX( Table_Bldg_IEFD_IEFC[IEFE],MATCH( Input_HVACType, Table_Bldg_IEFD_IEFC[List_HVAC],0 ))</f>
        <v>#N/A</v>
      </c>
      <c r="AM199" s="127" t="e">
        <f>INDEX(Table_Control_PAF[PAF], MATCH(Table_PrescriptLights_Input[[#This Row],[Existing controls]], Table_Control_PAF[List_Control_Types], 0 ) )</f>
        <v>#N/A</v>
      </c>
      <c r="AN199"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199"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199"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199" s="53">
        <f>IFERROR(LEFT(Table_PrescriptLights_Input[[#This Row],[Existing lighting type]], FIND(",",Table_PrescriptLights_Input[[#This Row],[Existing lighting type]])-1), Table_PrescriptLights_Input[[#This Row],[Existing lighting type]])</f>
        <v>0</v>
      </c>
      <c r="AR199" s="53" t="str">
        <f>_xlfn.CONCAT(Table_PrescriptLights_Input[[#This Row],[Generalized Fixture Type]], ":",Table_PrescriptLights_Input[[#This Row],[Existing lamps per fixture]],":",Table_PrescriptLights_Input[[#This Row],[Existing lamp wattage]])</f>
        <v>0::</v>
      </c>
      <c r="AS199" s="53" t="e">
        <f>INDEX(Table_TRM_Fixtures[Fixture Code], MATCH(Table_PrescriptLights_Input[[#This Row],[Generalized Fixture Baseline Lookup]], Table_TRM_Fixtures[Generalized Baseline Fixture Lookup], 0))</f>
        <v>#N/A</v>
      </c>
      <c r="AT199"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199"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199"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199"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199"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199" s="53" t="e">
        <f>IFERROR(Table_PrescriptLights_Input[[#This Row],[Detailed Baseline Fixture Code]],Table_PrescriptLights_Input[[#This Row],[Generalized Baseline Fixture Code]])</f>
        <v>#N/A</v>
      </c>
      <c r="AZ199" s="4"/>
      <c r="BA199" s="4"/>
      <c r="BB199" s="4"/>
      <c r="BC199" s="4"/>
      <c r="BD199" s="4"/>
      <c r="BE199" s="4"/>
      <c r="BF199" s="4"/>
      <c r="BG199" s="4"/>
      <c r="BH199" s="4"/>
      <c r="BI199" s="4"/>
      <c r="BJ199" s="4"/>
      <c r="BK199" s="4"/>
      <c r="BL199" s="4"/>
      <c r="BM199" s="4"/>
      <c r="BN199" s="4"/>
      <c r="BO199" s="4"/>
      <c r="BP199" s="4"/>
      <c r="BQ199" s="4"/>
    </row>
    <row r="200" spans="1:69" x14ac:dyDescent="0.2">
      <c r="A200" s="4"/>
      <c r="B200" s="189">
        <v>196</v>
      </c>
      <c r="C200" s="61" t="str">
        <f>IFERROR(INDEX(Table_Prescript_Meas[Measure Number], MATCH(Table_PrescriptLights_Input[[#This Row],[Prescriptive lighting measure]], Table_Prescript_Meas[Measure Description], 0)), "")</f>
        <v/>
      </c>
      <c r="D200" s="192"/>
      <c r="E200" s="179"/>
      <c r="F200" s="179"/>
      <c r="G200" s="61" t="str">
        <f>IFERROR(INDEX(Table_Prescript_Meas[Unit], MATCH(Table_PrescriptLights_Input[[#This Row],[Measure number]], Table_Prescript_Meas[Measure Number], 0)), "")</f>
        <v/>
      </c>
      <c r="H200" s="180"/>
      <c r="I200" s="179"/>
      <c r="J200" s="179"/>
      <c r="K200" s="180"/>
      <c r="L200" s="179"/>
      <c r="M200" s="180"/>
      <c r="N200" s="180"/>
      <c r="O200" s="180"/>
      <c r="P200" s="180"/>
      <c r="Q200" s="180"/>
      <c r="R200" s="181"/>
      <c r="S200" s="181"/>
      <c r="T200"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200"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200" s="69" t="str">
        <f>IF(Table_PrescriptLights_Input[[#This Row],[Prescriptive lighting measure]]="","",Table_PrescriptLights_Input[[#This Row],[Calculated Energy Savings]])</f>
        <v/>
      </c>
      <c r="W200" s="73" t="str">
        <f>IF(Table_PrescriptLights_Input[[#This Row],[Prescriptive lighting measure]]="","",Table_PrescriptLights_Input[[#This Row],[Calculated Demand Savings]])</f>
        <v/>
      </c>
      <c r="X200" s="67" t="str">
        <f>IFERROR(Table_PrescriptLights_Input[[#This Row],[Energy savings (kWh)]]*Input_AvgkWhRate, "")</f>
        <v/>
      </c>
      <c r="Y200" s="67" t="str">
        <f>IF(Table_PrescriptLights_Input[[#This Row],[Prescriptive lighting measure]]="", "",Table_PrescriptLights_Input[[#This Row],[Material cost per fixture]]*Table_PrescriptLights_Input[[#This Row],[Number of proposed fixtures]]+Table_PrescriptLights_Input[[#This Row],[Total labor cost]])</f>
        <v/>
      </c>
      <c r="Z200" s="67" t="str">
        <f>IFERROR(Table_PrescriptLights_Input[[#This Row],[Gross measure cost]]-Table_PrescriptLights_Input[[#This Row],[Estimated incentive]], "")</f>
        <v/>
      </c>
      <c r="AA200" s="69" t="str">
        <f t="shared" si="6"/>
        <v/>
      </c>
      <c r="AB200" s="69" t="str">
        <f>IF(ISNUMBER(Table_PrescriptLights_Input[[#This Row],[Detailed Fixture Calculation Wattage]]), "Detailed", "General")</f>
        <v>General</v>
      </c>
      <c r="AC200" s="53" t="e">
        <f>INDEX(Table_IntExt_Match[Measure Selection List], MATCH(Table_PrescriptLights_Input[[#This Row],[Interior or exterior?]], Table_IntExt_Match[Inetrior or Exterior], 0))</f>
        <v>#N/A</v>
      </c>
      <c r="AD200" s="53" t="e">
        <f>INDEX(Table_Prescript_Meas[Unit], MATCH(C200, Table_Prescript_Meas[Measure Number], 0))</f>
        <v>#N/A</v>
      </c>
      <c r="AE200" s="53" t="e">
        <f>INDEX(Table_Prescript_Meas[Lighting Type Selection List], MATCH(C200, Table_Prescript_Meas[Measure Number], 0))</f>
        <v>#N/A</v>
      </c>
      <c r="AF200" s="53" t="e">
        <f>INDEX(Table_Prescript_Meas[AOH Type], MATCH(Table_PrescriptLights_Input[[#This Row],[Measure number]], Table_Prescript_Meas[Measure Number],0))</f>
        <v>#N/A</v>
      </c>
      <c r="AG200"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200" s="53" t="str">
        <f>_xlfn.CONCAT(Table_PrescriptLights_Input[[#This Row],[Existing lighting type]],":",Table_PrescriptLights_Input[[#This Row],[Existing lamps per fixture]], ":",Table_PrescriptLights_Input[[#This Row],[Existing lamp wattage]])</f>
        <v>::</v>
      </c>
      <c r="AI200" s="53" t="e">
        <f>INDEX(Table_TRM_Fixtures[Fixture Code], MATCH(Table_PrescriptLights_Input[[#This Row],[Detailed Baseline Fixture Lookup]], Table_TRM_Fixtures[Detailed Prescriptive Baseline Fixture Lookup], 0))</f>
        <v>#N/A</v>
      </c>
      <c r="AJ200" s="53" t="e">
        <f>INDEX(Table_TRM_Fixtures[Fixture Wattage for Baseline Calculations],MATCH(Table_PrescriptLights_Input[[#This Row],[Detailed Baseline Fixture Lookup]], Table_TRM_Fixtures[Detailed Prescriptive Baseline Fixture Lookup],0))</f>
        <v>#N/A</v>
      </c>
      <c r="AK200" s="127" t="e">
        <f>INDEX(Table_Bldg_IEFD_IEFC[IEFE], MATCH( Input_HVACType,Table_Bldg_IEFD_IEFC[List_HVAC], 0))</f>
        <v>#N/A</v>
      </c>
      <c r="AL200" s="127" t="e">
        <f>INDEX( Table_Bldg_IEFD_IEFC[IEFE],MATCH( Input_HVACType, Table_Bldg_IEFD_IEFC[List_HVAC],0 ))</f>
        <v>#N/A</v>
      </c>
      <c r="AM200" s="127" t="e">
        <f>INDEX(Table_Control_PAF[PAF], MATCH(Table_PrescriptLights_Input[[#This Row],[Existing controls]], Table_Control_PAF[List_Control_Types], 0 ) )</f>
        <v>#N/A</v>
      </c>
      <c r="AN200"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200"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200"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200" s="53">
        <f>IFERROR(LEFT(Table_PrescriptLights_Input[[#This Row],[Existing lighting type]], FIND(",",Table_PrescriptLights_Input[[#This Row],[Existing lighting type]])-1), Table_PrescriptLights_Input[[#This Row],[Existing lighting type]])</f>
        <v>0</v>
      </c>
      <c r="AR200" s="53" t="str">
        <f>_xlfn.CONCAT(Table_PrescriptLights_Input[[#This Row],[Generalized Fixture Type]], ":",Table_PrescriptLights_Input[[#This Row],[Existing lamps per fixture]],":",Table_PrescriptLights_Input[[#This Row],[Existing lamp wattage]])</f>
        <v>0::</v>
      </c>
      <c r="AS200" s="53" t="e">
        <f>INDEX(Table_TRM_Fixtures[Fixture Code], MATCH(Table_PrescriptLights_Input[[#This Row],[Generalized Fixture Baseline Lookup]], Table_TRM_Fixtures[Generalized Baseline Fixture Lookup], 0))</f>
        <v>#N/A</v>
      </c>
      <c r="AT200"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200"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200"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200"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200"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200" s="53" t="e">
        <f>IFERROR(Table_PrescriptLights_Input[[#This Row],[Detailed Baseline Fixture Code]],Table_PrescriptLights_Input[[#This Row],[Generalized Baseline Fixture Code]])</f>
        <v>#N/A</v>
      </c>
      <c r="AZ200" s="4"/>
      <c r="BA200" s="4"/>
      <c r="BB200" s="4"/>
      <c r="BC200" s="4"/>
      <c r="BD200" s="4"/>
      <c r="BE200" s="4"/>
      <c r="BF200" s="4"/>
      <c r="BG200" s="4"/>
      <c r="BH200" s="4"/>
      <c r="BI200" s="4"/>
      <c r="BJ200" s="4"/>
      <c r="BK200" s="4"/>
      <c r="BL200" s="4"/>
      <c r="BM200" s="4"/>
      <c r="BN200" s="4"/>
      <c r="BO200" s="4"/>
      <c r="BP200" s="4"/>
      <c r="BQ200" s="4"/>
    </row>
    <row r="201" spans="1:69" x14ac:dyDescent="0.2">
      <c r="A201" s="4"/>
      <c r="B201" s="189">
        <v>197</v>
      </c>
      <c r="C201" s="61" t="str">
        <f>IFERROR(INDEX(Table_Prescript_Meas[Measure Number], MATCH(Table_PrescriptLights_Input[[#This Row],[Prescriptive lighting measure]], Table_Prescript_Meas[Measure Description], 0)), "")</f>
        <v/>
      </c>
      <c r="D201" s="192"/>
      <c r="E201" s="179"/>
      <c r="F201" s="179"/>
      <c r="G201" s="61" t="str">
        <f>IFERROR(INDEX(Table_Prescript_Meas[Unit], MATCH(Table_PrescriptLights_Input[[#This Row],[Measure number]], Table_Prescript_Meas[Measure Number], 0)), "")</f>
        <v/>
      </c>
      <c r="H201" s="180"/>
      <c r="I201" s="179"/>
      <c r="J201" s="179"/>
      <c r="K201" s="180"/>
      <c r="L201" s="179"/>
      <c r="M201" s="180"/>
      <c r="N201" s="180"/>
      <c r="O201" s="180"/>
      <c r="P201" s="180"/>
      <c r="Q201" s="180"/>
      <c r="R201" s="181"/>
      <c r="S201" s="181"/>
      <c r="T201"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201"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201" s="69" t="str">
        <f>IF(Table_PrescriptLights_Input[[#This Row],[Prescriptive lighting measure]]="","",Table_PrescriptLights_Input[[#This Row],[Calculated Energy Savings]])</f>
        <v/>
      </c>
      <c r="W201" s="73" t="str">
        <f>IF(Table_PrescriptLights_Input[[#This Row],[Prescriptive lighting measure]]="","",Table_PrescriptLights_Input[[#This Row],[Calculated Demand Savings]])</f>
        <v/>
      </c>
      <c r="X201" s="67" t="str">
        <f>IFERROR(Table_PrescriptLights_Input[[#This Row],[Energy savings (kWh)]]*Input_AvgkWhRate, "")</f>
        <v/>
      </c>
      <c r="Y201" s="67" t="str">
        <f>IF(Table_PrescriptLights_Input[[#This Row],[Prescriptive lighting measure]]="", "",Table_PrescriptLights_Input[[#This Row],[Material cost per fixture]]*Table_PrescriptLights_Input[[#This Row],[Number of proposed fixtures]]+Table_PrescriptLights_Input[[#This Row],[Total labor cost]])</f>
        <v/>
      </c>
      <c r="Z201" s="67" t="str">
        <f>IFERROR(Table_PrescriptLights_Input[[#This Row],[Gross measure cost]]-Table_PrescriptLights_Input[[#This Row],[Estimated incentive]], "")</f>
        <v/>
      </c>
      <c r="AA201" s="69" t="str">
        <f t="shared" si="6"/>
        <v/>
      </c>
      <c r="AB201" s="69" t="str">
        <f>IF(ISNUMBER(Table_PrescriptLights_Input[[#This Row],[Detailed Fixture Calculation Wattage]]), "Detailed", "General")</f>
        <v>General</v>
      </c>
      <c r="AC201" s="53" t="e">
        <f>INDEX(Table_IntExt_Match[Measure Selection List], MATCH(Table_PrescriptLights_Input[[#This Row],[Interior or exterior?]], Table_IntExt_Match[Inetrior or Exterior], 0))</f>
        <v>#N/A</v>
      </c>
      <c r="AD201" s="53" t="e">
        <f>INDEX(Table_Prescript_Meas[Unit], MATCH(C201, Table_Prescript_Meas[Measure Number], 0))</f>
        <v>#N/A</v>
      </c>
      <c r="AE201" s="53" t="e">
        <f>INDEX(Table_Prescript_Meas[Lighting Type Selection List], MATCH(C201, Table_Prescript_Meas[Measure Number], 0))</f>
        <v>#N/A</v>
      </c>
      <c r="AF201" s="53" t="e">
        <f>INDEX(Table_Prescript_Meas[AOH Type], MATCH(Table_PrescriptLights_Input[[#This Row],[Measure number]], Table_Prescript_Meas[Measure Number],0))</f>
        <v>#N/A</v>
      </c>
      <c r="AG201"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201" s="53" t="str">
        <f>_xlfn.CONCAT(Table_PrescriptLights_Input[[#This Row],[Existing lighting type]],":",Table_PrescriptLights_Input[[#This Row],[Existing lamps per fixture]], ":",Table_PrescriptLights_Input[[#This Row],[Existing lamp wattage]])</f>
        <v>::</v>
      </c>
      <c r="AI201" s="53" t="e">
        <f>INDEX(Table_TRM_Fixtures[Fixture Code], MATCH(Table_PrescriptLights_Input[[#This Row],[Detailed Baseline Fixture Lookup]], Table_TRM_Fixtures[Detailed Prescriptive Baseline Fixture Lookup], 0))</f>
        <v>#N/A</v>
      </c>
      <c r="AJ201" s="53" t="e">
        <f>INDEX(Table_TRM_Fixtures[Fixture Wattage for Baseline Calculations],MATCH(Table_PrescriptLights_Input[[#This Row],[Detailed Baseline Fixture Lookup]], Table_TRM_Fixtures[Detailed Prescriptive Baseline Fixture Lookup],0))</f>
        <v>#N/A</v>
      </c>
      <c r="AK201" s="127" t="e">
        <f>INDEX(Table_Bldg_IEFD_IEFC[IEFE], MATCH( Input_HVACType,Table_Bldg_IEFD_IEFC[List_HVAC], 0))</f>
        <v>#N/A</v>
      </c>
      <c r="AL201" s="127" t="e">
        <f>INDEX( Table_Bldg_IEFD_IEFC[IEFE],MATCH( Input_HVACType, Table_Bldg_IEFD_IEFC[List_HVAC],0 ))</f>
        <v>#N/A</v>
      </c>
      <c r="AM201" s="127" t="e">
        <f>INDEX(Table_Control_PAF[PAF], MATCH(Table_PrescriptLights_Input[[#This Row],[Existing controls]], Table_Control_PAF[List_Control_Types], 0 ) )</f>
        <v>#N/A</v>
      </c>
      <c r="AN201"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201"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201"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201" s="53">
        <f>IFERROR(LEFT(Table_PrescriptLights_Input[[#This Row],[Existing lighting type]], FIND(",",Table_PrescriptLights_Input[[#This Row],[Existing lighting type]])-1), Table_PrescriptLights_Input[[#This Row],[Existing lighting type]])</f>
        <v>0</v>
      </c>
      <c r="AR201" s="53" t="str">
        <f>_xlfn.CONCAT(Table_PrescriptLights_Input[[#This Row],[Generalized Fixture Type]], ":",Table_PrescriptLights_Input[[#This Row],[Existing lamps per fixture]],":",Table_PrescriptLights_Input[[#This Row],[Existing lamp wattage]])</f>
        <v>0::</v>
      </c>
      <c r="AS201" s="53" t="e">
        <f>INDEX(Table_TRM_Fixtures[Fixture Code], MATCH(Table_PrescriptLights_Input[[#This Row],[Generalized Fixture Baseline Lookup]], Table_TRM_Fixtures[Generalized Baseline Fixture Lookup], 0))</f>
        <v>#N/A</v>
      </c>
      <c r="AT201"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201"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201"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201"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201"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201" s="53" t="e">
        <f>IFERROR(Table_PrescriptLights_Input[[#This Row],[Detailed Baseline Fixture Code]],Table_PrescriptLights_Input[[#This Row],[Generalized Baseline Fixture Code]])</f>
        <v>#N/A</v>
      </c>
      <c r="AZ201" s="4"/>
      <c r="BA201" s="4"/>
      <c r="BB201" s="4"/>
      <c r="BC201" s="4"/>
      <c r="BD201" s="4"/>
      <c r="BE201" s="4"/>
      <c r="BF201" s="4"/>
      <c r="BG201" s="4"/>
      <c r="BH201" s="4"/>
      <c r="BI201" s="4"/>
      <c r="BJ201" s="4"/>
      <c r="BK201" s="4"/>
      <c r="BL201" s="4"/>
      <c r="BM201" s="4"/>
      <c r="BN201" s="4"/>
      <c r="BO201" s="4"/>
      <c r="BP201" s="4"/>
      <c r="BQ201" s="4"/>
    </row>
    <row r="202" spans="1:69" x14ac:dyDescent="0.2">
      <c r="A202" s="4"/>
      <c r="B202" s="189">
        <v>198</v>
      </c>
      <c r="C202" s="61" t="str">
        <f>IFERROR(INDEX(Table_Prescript_Meas[Measure Number], MATCH(Table_PrescriptLights_Input[[#This Row],[Prescriptive lighting measure]], Table_Prescript_Meas[Measure Description], 0)), "")</f>
        <v/>
      </c>
      <c r="D202" s="192"/>
      <c r="E202" s="179"/>
      <c r="F202" s="179"/>
      <c r="G202" s="61" t="str">
        <f>IFERROR(INDEX(Table_Prescript_Meas[Unit], MATCH(Table_PrescriptLights_Input[[#This Row],[Measure number]], Table_Prescript_Meas[Measure Number], 0)), "")</f>
        <v/>
      </c>
      <c r="H202" s="180"/>
      <c r="I202" s="179"/>
      <c r="J202" s="179"/>
      <c r="K202" s="180"/>
      <c r="L202" s="179"/>
      <c r="M202" s="180"/>
      <c r="N202" s="180"/>
      <c r="O202" s="180"/>
      <c r="P202" s="180"/>
      <c r="Q202" s="180"/>
      <c r="R202" s="181"/>
      <c r="S202" s="181"/>
      <c r="T202"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202"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202" s="69" t="str">
        <f>IF(Table_PrescriptLights_Input[[#This Row],[Prescriptive lighting measure]]="","",Table_PrescriptLights_Input[[#This Row],[Calculated Energy Savings]])</f>
        <v/>
      </c>
      <c r="W202" s="73" t="str">
        <f>IF(Table_PrescriptLights_Input[[#This Row],[Prescriptive lighting measure]]="","",Table_PrescriptLights_Input[[#This Row],[Calculated Demand Savings]])</f>
        <v/>
      </c>
      <c r="X202" s="67" t="str">
        <f>IFERROR(Table_PrescriptLights_Input[[#This Row],[Energy savings (kWh)]]*Input_AvgkWhRate, "")</f>
        <v/>
      </c>
      <c r="Y202" s="67" t="str">
        <f>IF(Table_PrescriptLights_Input[[#This Row],[Prescriptive lighting measure]]="", "",Table_PrescriptLights_Input[[#This Row],[Material cost per fixture]]*Table_PrescriptLights_Input[[#This Row],[Number of proposed fixtures]]+Table_PrescriptLights_Input[[#This Row],[Total labor cost]])</f>
        <v/>
      </c>
      <c r="Z202" s="67" t="str">
        <f>IFERROR(Table_PrescriptLights_Input[[#This Row],[Gross measure cost]]-Table_PrescriptLights_Input[[#This Row],[Estimated incentive]], "")</f>
        <v/>
      </c>
      <c r="AA202" s="69" t="str">
        <f t="shared" si="6"/>
        <v/>
      </c>
      <c r="AB202" s="69" t="str">
        <f>IF(ISNUMBER(Table_PrescriptLights_Input[[#This Row],[Detailed Fixture Calculation Wattage]]), "Detailed", "General")</f>
        <v>General</v>
      </c>
      <c r="AC202" s="53" t="e">
        <f>INDEX(Table_IntExt_Match[Measure Selection List], MATCH(Table_PrescriptLights_Input[[#This Row],[Interior or exterior?]], Table_IntExt_Match[Inetrior or Exterior], 0))</f>
        <v>#N/A</v>
      </c>
      <c r="AD202" s="53" t="e">
        <f>INDEX(Table_Prescript_Meas[Unit], MATCH(C202, Table_Prescript_Meas[Measure Number], 0))</f>
        <v>#N/A</v>
      </c>
      <c r="AE202" s="53" t="e">
        <f>INDEX(Table_Prescript_Meas[Lighting Type Selection List], MATCH(C202, Table_Prescript_Meas[Measure Number], 0))</f>
        <v>#N/A</v>
      </c>
      <c r="AF202" s="53" t="e">
        <f>INDEX(Table_Prescript_Meas[AOH Type], MATCH(Table_PrescriptLights_Input[[#This Row],[Measure number]], Table_Prescript_Meas[Measure Number],0))</f>
        <v>#N/A</v>
      </c>
      <c r="AG202"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202" s="53" t="str">
        <f>_xlfn.CONCAT(Table_PrescriptLights_Input[[#This Row],[Existing lighting type]],":",Table_PrescriptLights_Input[[#This Row],[Existing lamps per fixture]], ":",Table_PrescriptLights_Input[[#This Row],[Existing lamp wattage]])</f>
        <v>::</v>
      </c>
      <c r="AI202" s="53" t="e">
        <f>INDEX(Table_TRM_Fixtures[Fixture Code], MATCH(Table_PrescriptLights_Input[[#This Row],[Detailed Baseline Fixture Lookup]], Table_TRM_Fixtures[Detailed Prescriptive Baseline Fixture Lookup], 0))</f>
        <v>#N/A</v>
      </c>
      <c r="AJ202" s="53" t="e">
        <f>INDEX(Table_TRM_Fixtures[Fixture Wattage for Baseline Calculations],MATCH(Table_PrescriptLights_Input[[#This Row],[Detailed Baseline Fixture Lookup]], Table_TRM_Fixtures[Detailed Prescriptive Baseline Fixture Lookup],0))</f>
        <v>#N/A</v>
      </c>
      <c r="AK202" s="127" t="e">
        <f>INDEX(Table_Bldg_IEFD_IEFC[IEFE], MATCH( Input_HVACType,Table_Bldg_IEFD_IEFC[List_HVAC], 0))</f>
        <v>#N/A</v>
      </c>
      <c r="AL202" s="127" t="e">
        <f>INDEX( Table_Bldg_IEFD_IEFC[IEFE],MATCH( Input_HVACType, Table_Bldg_IEFD_IEFC[List_HVAC],0 ))</f>
        <v>#N/A</v>
      </c>
      <c r="AM202" s="127" t="e">
        <f>INDEX(Table_Control_PAF[PAF], MATCH(Table_PrescriptLights_Input[[#This Row],[Existing controls]], Table_Control_PAF[List_Control_Types], 0 ) )</f>
        <v>#N/A</v>
      </c>
      <c r="AN202"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202"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202"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202" s="53">
        <f>IFERROR(LEFT(Table_PrescriptLights_Input[[#This Row],[Existing lighting type]], FIND(",",Table_PrescriptLights_Input[[#This Row],[Existing lighting type]])-1), Table_PrescriptLights_Input[[#This Row],[Existing lighting type]])</f>
        <v>0</v>
      </c>
      <c r="AR202" s="53" t="str">
        <f>_xlfn.CONCAT(Table_PrescriptLights_Input[[#This Row],[Generalized Fixture Type]], ":",Table_PrescriptLights_Input[[#This Row],[Existing lamps per fixture]],":",Table_PrescriptLights_Input[[#This Row],[Existing lamp wattage]])</f>
        <v>0::</v>
      </c>
      <c r="AS202" s="53" t="e">
        <f>INDEX(Table_TRM_Fixtures[Fixture Code], MATCH(Table_PrescriptLights_Input[[#This Row],[Generalized Fixture Baseline Lookup]], Table_TRM_Fixtures[Generalized Baseline Fixture Lookup], 0))</f>
        <v>#N/A</v>
      </c>
      <c r="AT202"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202"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202"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202"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202"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202" s="53" t="e">
        <f>IFERROR(Table_PrescriptLights_Input[[#This Row],[Detailed Baseline Fixture Code]],Table_PrescriptLights_Input[[#This Row],[Generalized Baseline Fixture Code]])</f>
        <v>#N/A</v>
      </c>
      <c r="AZ202" s="4"/>
      <c r="BA202" s="4"/>
      <c r="BB202" s="4"/>
      <c r="BC202" s="4"/>
      <c r="BD202" s="4"/>
      <c r="BE202" s="4"/>
      <c r="BF202" s="4"/>
      <c r="BG202" s="4"/>
      <c r="BH202" s="4"/>
      <c r="BI202" s="4"/>
      <c r="BJ202" s="4"/>
      <c r="BK202" s="4"/>
      <c r="BL202" s="4"/>
      <c r="BM202" s="4"/>
      <c r="BN202" s="4"/>
      <c r="BO202" s="4"/>
      <c r="BP202" s="4"/>
      <c r="BQ202" s="4"/>
    </row>
    <row r="203" spans="1:69" x14ac:dyDescent="0.2">
      <c r="A203" s="4"/>
      <c r="B203" s="189">
        <v>199</v>
      </c>
      <c r="C203" s="61" t="str">
        <f>IFERROR(INDEX(Table_Prescript_Meas[Measure Number], MATCH(Table_PrescriptLights_Input[[#This Row],[Prescriptive lighting measure]], Table_Prescript_Meas[Measure Description], 0)), "")</f>
        <v/>
      </c>
      <c r="D203" s="192"/>
      <c r="E203" s="179"/>
      <c r="F203" s="179"/>
      <c r="G203" s="61" t="str">
        <f>IFERROR(INDEX(Table_Prescript_Meas[Unit], MATCH(Table_PrescriptLights_Input[[#This Row],[Measure number]], Table_Prescript_Meas[Measure Number], 0)), "")</f>
        <v/>
      </c>
      <c r="H203" s="180"/>
      <c r="I203" s="179"/>
      <c r="J203" s="179"/>
      <c r="K203" s="180"/>
      <c r="L203" s="179"/>
      <c r="M203" s="180"/>
      <c r="N203" s="180"/>
      <c r="O203" s="180"/>
      <c r="P203" s="180"/>
      <c r="Q203" s="180"/>
      <c r="R203" s="181"/>
      <c r="S203" s="181"/>
      <c r="T203"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203"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203" s="69" t="str">
        <f>IF(Table_PrescriptLights_Input[[#This Row],[Prescriptive lighting measure]]="","",Table_PrescriptLights_Input[[#This Row],[Calculated Energy Savings]])</f>
        <v/>
      </c>
      <c r="W203" s="73" t="str">
        <f>IF(Table_PrescriptLights_Input[[#This Row],[Prescriptive lighting measure]]="","",Table_PrescriptLights_Input[[#This Row],[Calculated Demand Savings]])</f>
        <v/>
      </c>
      <c r="X203" s="67" t="str">
        <f>IFERROR(Table_PrescriptLights_Input[[#This Row],[Energy savings (kWh)]]*Input_AvgkWhRate, "")</f>
        <v/>
      </c>
      <c r="Y203" s="67" t="str">
        <f>IF(Table_PrescriptLights_Input[[#This Row],[Prescriptive lighting measure]]="", "",Table_PrescriptLights_Input[[#This Row],[Material cost per fixture]]*Table_PrescriptLights_Input[[#This Row],[Number of proposed fixtures]]+Table_PrescriptLights_Input[[#This Row],[Total labor cost]])</f>
        <v/>
      </c>
      <c r="Z203" s="67" t="str">
        <f>IFERROR(Table_PrescriptLights_Input[[#This Row],[Gross measure cost]]-Table_PrescriptLights_Input[[#This Row],[Estimated incentive]], "")</f>
        <v/>
      </c>
      <c r="AA203" s="69" t="str">
        <f t="shared" si="6"/>
        <v/>
      </c>
      <c r="AB203" s="69" t="str">
        <f>IF(ISNUMBER(Table_PrescriptLights_Input[[#This Row],[Detailed Fixture Calculation Wattage]]), "Detailed", "General")</f>
        <v>General</v>
      </c>
      <c r="AC203" s="53" t="e">
        <f>INDEX(Table_IntExt_Match[Measure Selection List], MATCH(Table_PrescriptLights_Input[[#This Row],[Interior or exterior?]], Table_IntExt_Match[Inetrior or Exterior], 0))</f>
        <v>#N/A</v>
      </c>
      <c r="AD203" s="53" t="e">
        <f>INDEX(Table_Prescript_Meas[Unit], MATCH(C203, Table_Prescript_Meas[Measure Number], 0))</f>
        <v>#N/A</v>
      </c>
      <c r="AE203" s="53" t="e">
        <f>INDEX(Table_Prescript_Meas[Lighting Type Selection List], MATCH(C203, Table_Prescript_Meas[Measure Number], 0))</f>
        <v>#N/A</v>
      </c>
      <c r="AF203" s="53" t="e">
        <f>INDEX(Table_Prescript_Meas[AOH Type], MATCH(Table_PrescriptLights_Input[[#This Row],[Measure number]], Table_Prescript_Meas[Measure Number],0))</f>
        <v>#N/A</v>
      </c>
      <c r="AG203"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203" s="53" t="str">
        <f>_xlfn.CONCAT(Table_PrescriptLights_Input[[#This Row],[Existing lighting type]],":",Table_PrescriptLights_Input[[#This Row],[Existing lamps per fixture]], ":",Table_PrescriptLights_Input[[#This Row],[Existing lamp wattage]])</f>
        <v>::</v>
      </c>
      <c r="AI203" s="53" t="e">
        <f>INDEX(Table_TRM_Fixtures[Fixture Code], MATCH(Table_PrescriptLights_Input[[#This Row],[Detailed Baseline Fixture Lookup]], Table_TRM_Fixtures[Detailed Prescriptive Baseline Fixture Lookup], 0))</f>
        <v>#N/A</v>
      </c>
      <c r="AJ203" s="53" t="e">
        <f>INDEX(Table_TRM_Fixtures[Fixture Wattage for Baseline Calculations],MATCH(Table_PrescriptLights_Input[[#This Row],[Detailed Baseline Fixture Lookup]], Table_TRM_Fixtures[Detailed Prescriptive Baseline Fixture Lookup],0))</f>
        <v>#N/A</v>
      </c>
      <c r="AK203" s="127" t="e">
        <f>INDEX(Table_Bldg_IEFD_IEFC[IEFE], MATCH( Input_HVACType,Table_Bldg_IEFD_IEFC[List_HVAC], 0))</f>
        <v>#N/A</v>
      </c>
      <c r="AL203" s="127" t="e">
        <f>INDEX( Table_Bldg_IEFD_IEFC[IEFE],MATCH( Input_HVACType, Table_Bldg_IEFD_IEFC[List_HVAC],0 ))</f>
        <v>#N/A</v>
      </c>
      <c r="AM203" s="127" t="e">
        <f>INDEX(Table_Control_PAF[PAF], MATCH(Table_PrescriptLights_Input[[#This Row],[Existing controls]], Table_Control_PAF[List_Control_Types], 0 ) )</f>
        <v>#N/A</v>
      </c>
      <c r="AN203"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203"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203"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203" s="53">
        <f>IFERROR(LEFT(Table_PrescriptLights_Input[[#This Row],[Existing lighting type]], FIND(",",Table_PrescriptLights_Input[[#This Row],[Existing lighting type]])-1), Table_PrescriptLights_Input[[#This Row],[Existing lighting type]])</f>
        <v>0</v>
      </c>
      <c r="AR203" s="53" t="str">
        <f>_xlfn.CONCAT(Table_PrescriptLights_Input[[#This Row],[Generalized Fixture Type]], ":",Table_PrescriptLights_Input[[#This Row],[Existing lamps per fixture]],":",Table_PrescriptLights_Input[[#This Row],[Existing lamp wattage]])</f>
        <v>0::</v>
      </c>
      <c r="AS203" s="53" t="e">
        <f>INDEX(Table_TRM_Fixtures[Fixture Code], MATCH(Table_PrescriptLights_Input[[#This Row],[Generalized Fixture Baseline Lookup]], Table_TRM_Fixtures[Generalized Baseline Fixture Lookup], 0))</f>
        <v>#N/A</v>
      </c>
      <c r="AT203"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203"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203"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203"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203"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203" s="53" t="e">
        <f>IFERROR(Table_PrescriptLights_Input[[#This Row],[Detailed Baseline Fixture Code]],Table_PrescriptLights_Input[[#This Row],[Generalized Baseline Fixture Code]])</f>
        <v>#N/A</v>
      </c>
      <c r="AZ203" s="4"/>
      <c r="BA203" s="4"/>
      <c r="BB203" s="4"/>
      <c r="BC203" s="4"/>
      <c r="BD203" s="4"/>
      <c r="BE203" s="4"/>
      <c r="BF203" s="4"/>
      <c r="BG203" s="4"/>
      <c r="BH203" s="4"/>
      <c r="BI203" s="4"/>
      <c r="BJ203" s="4"/>
      <c r="BK203" s="4"/>
      <c r="BL203" s="4"/>
      <c r="BM203" s="4"/>
      <c r="BN203" s="4"/>
      <c r="BO203" s="4"/>
      <c r="BP203" s="4"/>
      <c r="BQ203" s="4"/>
    </row>
    <row r="204" spans="1:69" x14ac:dyDescent="0.2">
      <c r="A204" s="4"/>
      <c r="B204" s="190">
        <v>200</v>
      </c>
      <c r="C204" s="70" t="str">
        <f>IFERROR(INDEX(Table_Prescript_Meas[Measure Number], MATCH(Table_PrescriptLights_Input[[#This Row],[Prescriptive lighting measure]], Table_Prescript_Meas[Measure Description], 0)), "")</f>
        <v/>
      </c>
      <c r="D204" s="193"/>
      <c r="E204" s="183"/>
      <c r="F204" s="179"/>
      <c r="G204" s="61" t="str">
        <f>IFERROR(INDEX(Table_Prescript_Meas[Unit], MATCH(Table_PrescriptLights_Input[[#This Row],[Measure number]], Table_Prescript_Meas[Measure Number], 0)), "")</f>
        <v/>
      </c>
      <c r="H204" s="182"/>
      <c r="I204" s="183"/>
      <c r="J204" s="183"/>
      <c r="K204" s="182"/>
      <c r="L204" s="183"/>
      <c r="M204" s="182"/>
      <c r="N204" s="182"/>
      <c r="O204" s="182"/>
      <c r="P204" s="182"/>
      <c r="Q204" s="182"/>
      <c r="R204" s="184"/>
      <c r="S204" s="184"/>
      <c r="T204" s="67" t="str">
        <f>IFERROR(IF(Input_ProgramType=References!$AO$4, INDEX(Table_Prescript_Meas[Incentive - SC], MATCH(Table_PrescriptLights_Input[[#This Row],[Measure number]], Table_Prescript_Meas[Measure Number], 0)), INDEX(Table_Prescript_Meas[Incentive - LC], MATCH(Table_PrescriptLights_Input[[#This Row],[Measure number]], Table_Prescript_Meas[Measure Number], 0))), "")</f>
        <v/>
      </c>
      <c r="U204" s="67" t="str">
        <f>IF(Table_PrescriptLights_Input[[#This Row],[Unit of measure]]="LAMP",IFERROR(Table_PrescriptLights_Input[[#This Row],[Number of existing fixtures]]*Table_PrescriptLights_Input[[#This Row],[Existing lamps per fixture]]*Table_PrescriptLights_Input[[#This Row],[Per-unit incentive]],""),IFERROR(Table_PrescriptLights_Input[[#This Row],[Number of existing fixtures]]*Table_PrescriptLights_Input[[#This Row],[Per-unit incentive]],""))</f>
        <v/>
      </c>
      <c r="V204" s="69" t="str">
        <f>IF(Table_PrescriptLights_Input[[#This Row],[Prescriptive lighting measure]]="","",Table_PrescriptLights_Input[[#This Row],[Calculated Energy Savings]])</f>
        <v/>
      </c>
      <c r="W204" s="73" t="str">
        <f>IF(Table_PrescriptLights_Input[[#This Row],[Prescriptive lighting measure]]="","",Table_PrescriptLights_Input[[#This Row],[Calculated Demand Savings]])</f>
        <v/>
      </c>
      <c r="X204" s="67" t="str">
        <f>IFERROR(Table_PrescriptLights_Input[[#This Row],[Energy savings (kWh)]]*Input_AvgkWhRate, "")</f>
        <v/>
      </c>
      <c r="Y204" s="67" t="str">
        <f>IF(Table_PrescriptLights_Input[[#This Row],[Prescriptive lighting measure]]="", "",Table_PrescriptLights_Input[[#This Row],[Material cost per fixture]]*Table_PrescriptLights_Input[[#This Row],[Number of proposed fixtures]]+Table_PrescriptLights_Input[[#This Row],[Total labor cost]])</f>
        <v/>
      </c>
      <c r="Z204" s="67" t="str">
        <f>IFERROR(Table_PrescriptLights_Input[[#This Row],[Gross measure cost]]-Table_PrescriptLights_Input[[#This Row],[Estimated incentive]], "")</f>
        <v/>
      </c>
      <c r="AA204" s="69" t="str">
        <f t="shared" si="6"/>
        <v/>
      </c>
      <c r="AB204" s="69" t="str">
        <f>IF(ISNUMBER(Table_PrescriptLights_Input[[#This Row],[Detailed Fixture Calculation Wattage]]), "Detailed", "General")</f>
        <v>General</v>
      </c>
      <c r="AC204" s="53" t="e">
        <f>INDEX(Table_IntExt_Match[Measure Selection List], MATCH(Table_PrescriptLights_Input[[#This Row],[Interior or exterior?]], Table_IntExt_Match[Inetrior or Exterior], 0))</f>
        <v>#N/A</v>
      </c>
      <c r="AD204" s="53" t="e">
        <f>INDEX(Table_Prescript_Meas[Unit], MATCH(C204, Table_Prescript_Meas[Measure Number], 0))</f>
        <v>#N/A</v>
      </c>
      <c r="AE204" s="53" t="e">
        <f>INDEX(Table_Prescript_Meas[Lighting Type Selection List], MATCH(C204, Table_Prescript_Meas[Measure Number], 0))</f>
        <v>#N/A</v>
      </c>
      <c r="AF204" s="53" t="e">
        <f>INDEX(Table_Prescript_Meas[AOH Type], MATCH(Table_PrescriptLights_Input[[#This Row],[Measure number]], Table_Prescript_Meas[Measure Number],0))</f>
        <v>#N/A</v>
      </c>
      <c r="AG204" s="53" t="e">
        <f>IF(Table_PrescriptLights_Input[[#This Row],[AOH Pointer]]=Table_Bldg_Type[[#Headers],[List_Bldg_Types]], INDEX(Table_Bldg_Type[AOH], MATCH(Input_BldgType, Table_Bldg_Type[List_Bldg_Types], 0)), INDEX(Table_Bdg_Indep_AOH[AOH], MATCH(Table_PrescriptLights_Input[[#This Row],[AOH Pointer]], Table_Bdg_Indep_AOH[List_Special_AOHs], 0)))</f>
        <v>#N/A</v>
      </c>
      <c r="AH204" s="53" t="str">
        <f>_xlfn.CONCAT(Table_PrescriptLights_Input[[#This Row],[Existing lighting type]],":",Table_PrescriptLights_Input[[#This Row],[Existing lamps per fixture]], ":",Table_PrescriptLights_Input[[#This Row],[Existing lamp wattage]])</f>
        <v>::</v>
      </c>
      <c r="AI204" s="53" t="e">
        <f>INDEX(Table_TRM_Fixtures[Fixture Code], MATCH(Table_PrescriptLights_Input[[#This Row],[Detailed Baseline Fixture Lookup]], Table_TRM_Fixtures[Detailed Prescriptive Baseline Fixture Lookup], 0))</f>
        <v>#N/A</v>
      </c>
      <c r="AJ204" s="53" t="e">
        <f>INDEX(Table_TRM_Fixtures[Fixture Wattage for Baseline Calculations],MATCH(Table_PrescriptLights_Input[[#This Row],[Detailed Baseline Fixture Lookup]], Table_TRM_Fixtures[Detailed Prescriptive Baseline Fixture Lookup],0))</f>
        <v>#N/A</v>
      </c>
      <c r="AK204" s="127" t="e">
        <f>INDEX(Table_Bldg_IEFD_IEFC[IEFE], MATCH( Input_HVACType,Table_Bldg_IEFD_IEFC[List_HVAC], 0))</f>
        <v>#N/A</v>
      </c>
      <c r="AL204" s="127" t="e">
        <f>INDEX( Table_Bldg_IEFD_IEFC[IEFE],MATCH( Input_HVACType, Table_Bldg_IEFD_IEFC[List_HVAC],0 ))</f>
        <v>#N/A</v>
      </c>
      <c r="AM204" s="127" t="e">
        <f>INDEX(Table_Control_PAF[PAF], MATCH(Table_PrescriptLights_Input[[#This Row],[Existing controls]], Table_Control_PAF[List_Control_Types], 0 ) )</f>
        <v>#N/A</v>
      </c>
      <c r="AN204" s="127" t="e">
        <f>IF(Table_PrescriptLights_Input[[#This Row],[Existing controls]]="Switch/No Controls", INDEX(Table_Bldg_Type[CFbldg], MATCH(Input_BldgType, Table_Bldg_Type[List_Bldg_Types], 0)), INDEX(Table_Control_PAF[CFcontrol], MATCH(Table_PrescriptLights_Input[[#This Row],[Existing controls]], Table_Control_PAF[List_Control_Types], 0)))</f>
        <v>#N/A</v>
      </c>
      <c r="AO204" s="53" t="e">
        <f>( Table_PrescriptLights_Input[[#This Row],[Number of existing fixtures]] * Table_PrescriptLights_Input[[#This Row],[Detailed Fixture Calculation Wattage]]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P204" s="53" t="e">
        <f>IF( OR(Table_PrescriptLights_Input[[#This Row],[Interior or exterior?]] = "Exterior",Table_PrescriptLights_Input[[#This Row],[AOH Pointer]] = "Exterior"), 0, (Table_PrescriptLights_Input[[#This Row],[Number of existing fixtures]] * Table_PrescriptLights_Input[[#This Row],[Detailed Fixture Calculation Wattage]]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Q204" s="53">
        <f>IFERROR(LEFT(Table_PrescriptLights_Input[[#This Row],[Existing lighting type]], FIND(",",Table_PrescriptLights_Input[[#This Row],[Existing lighting type]])-1), Table_PrescriptLights_Input[[#This Row],[Existing lighting type]])</f>
        <v>0</v>
      </c>
      <c r="AR204" s="53" t="str">
        <f>_xlfn.CONCAT(Table_PrescriptLights_Input[[#This Row],[Generalized Fixture Type]], ":",Table_PrescriptLights_Input[[#This Row],[Existing lamps per fixture]],":",Table_PrescriptLights_Input[[#This Row],[Existing lamp wattage]])</f>
        <v>0::</v>
      </c>
      <c r="AS204" s="53" t="e">
        <f>INDEX(Table_TRM_Fixtures[Fixture Code], MATCH(Table_PrescriptLights_Input[[#This Row],[Generalized Fixture Baseline Lookup]], Table_TRM_Fixtures[Generalized Baseline Fixture Lookup], 0))</f>
        <v>#N/A</v>
      </c>
      <c r="AT204" s="53" t="e">
        <f>(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lamps per fixture]] * Table_PrescriptLights_Input[[#This Row],[Proposed lamp wattage]] ) / 1000 * Table_PrescriptLights_Input[[#This Row],[Calc AOH]] *Table_PrescriptLights_Input[[#This Row],[PAF]]*
    IF(OR(Table_PrescriptLights_Input[[#This Row],[Interior or exterior?]] = "Exterior", Table_PrescriptLights_Input[[#This Row],[AOH Pointer]] = "Exterior"), 1, Table_PrescriptLights_Input[[#This Row],[IEFE]])</f>
        <v>#N/A</v>
      </c>
      <c r="AU204" s="53" t="e">
        <f>IF( OR(Table_PrescriptLights_Input[[#This Row],[Interior or exterior?]] = "Exterior",Table_PrescriptLights_Input[[#This Row],[AOH Pointer]] = "Exterior"), 0, (Table_PrescriptLights_Input[[#This Row],[Number of existing fixtures]] * Table_PrescriptLights_Input[[#This Row],[Existing lamp wattage]]*Table_PrescriptLights_Input[[#This Row],[Existing lamps per fixture]] - Table_PrescriptLights_Input[[#This Row],[Number of proposed fixtures]] * Table_PrescriptLights_Input[[#This Row],[Proposed lamp wattage]] * Table_PrescriptLights_Input[[#This Row],[Proposed lamps per fixture]] ) / 1000 *Table_PrescriptLights_Input[[#This Row],[IEFD]]*Table_PrescriptLights_Input[[#This Row],[CF]] )</f>
        <v>#N/A</v>
      </c>
      <c r="AV204" s="53" t="e">
        <f>IF(OR(Table_PrescriptLights_Input[[#This Row],[Prescriptive lighting measure]]=References!$F$21,Table_PrescriptLights_Input[[#This Row],[Prescriptive lighting measure]]=References!$F$22),VLOOKUP(Table_PrescriptLights_Input[[#This Row],[Measure number]],References!$E$4:$N$53,9,FALSE)*Table_PrescriptLights_Input[[#This Row],[Number of existing fixtures]],IFERROR(Table_PrescriptLights_Input[[#This Row],[Detailed Fixture Energy Savings]], Table_PrescriptLights_Input[[#This Row],[Generalized Fixture Energy Savings (uses input lamp wattages to determine savings)]]))</f>
        <v>#N/A</v>
      </c>
      <c r="AW204" s="53" t="e">
        <f>IF(OR(Table_PrescriptLights_Input[[#This Row],[Prescriptive lighting measure]]=References!$F$21,Table_PrescriptLights_Input[[#This Row],[Prescriptive lighting measure]]=References!$F$22),VLOOKUP(Table_PrescriptLights_Input[[#This Row],[Measure number]],References!$E$4:$N$53,10,FALSE)*Table_PrescriptLights_Input[[#This Row],[Number of existing fixtures]],IFERROR(Table_PrescriptLights_Input[[#This Row],[Detailed Demand Savings]], Table_PrescriptLights_Input[[#This Row],[Generalized Demand Savings  (uses input lamp wattages to determine savings)]]))</f>
        <v>#N/A</v>
      </c>
      <c r="AX204" s="53" t="e">
        <f>IF(Table_PrescriptLights_Input[[#This Row],[Unit of measure]]="Lamp", Table_PrescriptLights_Input[[#This Row],[Number of proposed fixtures]]*Table_PrescriptLights_Input[[#This Row],[Proposed lamps per fixture]], IF(Table_PrescriptLights_Input[[#This Row],[Unit of measure]]="Fixture or Lamp", Table_PrescriptLights_Input[[#This Row],[Number of proposed fixtures]], NA()))</f>
        <v>#N/A</v>
      </c>
      <c r="AY204" s="53" t="e">
        <f>IFERROR(Table_PrescriptLights_Input[[#This Row],[Detailed Baseline Fixture Code]],Table_PrescriptLights_Input[[#This Row],[Generalized Baseline Fixture Code]])</f>
        <v>#N/A</v>
      </c>
      <c r="AZ204" s="4"/>
      <c r="BA204" s="4"/>
      <c r="BB204" s="4"/>
      <c r="BC204" s="4"/>
      <c r="BD204" s="4"/>
      <c r="BE204" s="4"/>
      <c r="BF204" s="4"/>
      <c r="BG204" s="4"/>
      <c r="BH204" s="4"/>
      <c r="BI204" s="4"/>
      <c r="BJ204" s="4"/>
      <c r="BK204" s="4"/>
      <c r="BL204" s="4"/>
      <c r="BM204" s="4"/>
      <c r="BN204" s="4"/>
      <c r="BO204" s="4"/>
      <c r="BP204" s="4"/>
      <c r="BQ204" s="4"/>
    </row>
    <row r="206" spans="1:69" x14ac:dyDescent="0.2">
      <c r="G206"/>
      <c r="AC206"/>
      <c r="AD206"/>
      <c r="AE206"/>
      <c r="AF206"/>
      <c r="AG206"/>
      <c r="AH206"/>
      <c r="AI206"/>
      <c r="AJ206"/>
      <c r="AK206" s="6"/>
      <c r="AL206" s="4"/>
      <c r="AM206" s="6"/>
      <c r="AN206" s="6"/>
      <c r="AO206"/>
      <c r="AP206"/>
      <c r="AQ206"/>
      <c r="AR206"/>
      <c r="AS206"/>
      <c r="AT206"/>
      <c r="AU206"/>
      <c r="AV206"/>
      <c r="AW206"/>
      <c r="AX206"/>
    </row>
    <row r="207" spans="1:69" x14ac:dyDescent="0.2">
      <c r="B207" t="s">
        <v>27</v>
      </c>
      <c r="G207"/>
      <c r="AC207"/>
      <c r="AD207"/>
      <c r="AE207"/>
      <c r="AF207"/>
      <c r="AG207"/>
      <c r="AH207"/>
      <c r="AI207"/>
      <c r="AJ207"/>
      <c r="AK207" s="6"/>
      <c r="AL207" s="4"/>
      <c r="AM207" s="6"/>
      <c r="AN207" s="6"/>
      <c r="AO207"/>
      <c r="AP207"/>
      <c r="AQ207"/>
      <c r="AR207"/>
      <c r="AS207"/>
      <c r="AT207"/>
      <c r="AU207"/>
      <c r="AV207"/>
      <c r="AW207"/>
      <c r="AX207"/>
    </row>
    <row r="208" spans="1:69" x14ac:dyDescent="0.2">
      <c r="B208" t="str">
        <f>Value_Application_Version</f>
        <v>Version 4.1 - 2026</v>
      </c>
      <c r="G208"/>
      <c r="AC208"/>
      <c r="AD208"/>
      <c r="AE208"/>
      <c r="AF208"/>
      <c r="AG208"/>
      <c r="AH208"/>
      <c r="AI208"/>
      <c r="AJ208"/>
      <c r="AK208" s="6"/>
      <c r="AL208" s="4"/>
      <c r="AM208" s="6"/>
      <c r="AN208" s="6"/>
      <c r="AO208"/>
      <c r="AP208"/>
      <c r="AQ208"/>
      <c r="AR208"/>
      <c r="AS208"/>
      <c r="AT208"/>
      <c r="AU208"/>
      <c r="AV208"/>
      <c r="AW208"/>
      <c r="AX208"/>
    </row>
    <row r="209" spans="37:40" customFormat="1" ht="12.75" customHeight="1" x14ac:dyDescent="0.2">
      <c r="AK209" s="6"/>
      <c r="AL209" s="4"/>
      <c r="AM209" s="6"/>
      <c r="AN209" s="6"/>
    </row>
  </sheetData>
  <sheetProtection algorithmName="SHA-512" hashValue="e1K/dbnddK2zCVt9mp7LtCoCktklV0r5etbs4SZRERLw2jMHzsGlCXkkR0bmHLZD2vzpOS8LdBwcyGYaD/48VQ==" saltValue="8uecH9XmDWzVleXm3vQJ0A==" spinCount="100000" sheet="1" selectLockedCells="1"/>
  <mergeCells count="2">
    <mergeCell ref="B2:X2"/>
    <mergeCell ref="H3:L3"/>
  </mergeCells>
  <phoneticPr fontId="10" type="noConversion"/>
  <conditionalFormatting sqref="F5:F204">
    <cfRule type="expression" dxfId="13" priority="1">
      <formula>$E5=""</formula>
    </cfRule>
  </conditionalFormatting>
  <conditionalFormatting sqref="H5:S204">
    <cfRule type="expression" dxfId="12" priority="30">
      <formula>OR($F5="", $G5=0)</formula>
    </cfRule>
  </conditionalFormatting>
  <dataValidations count="6">
    <dataValidation type="list" allowBlank="1" showInputMessage="1" showErrorMessage="1" sqref="F5:F204" xr:uid="{41F2A641-3FEC-4001-8F5B-1E2A9D2E7078}">
      <formula1>INDIRECT($AC5)</formula1>
    </dataValidation>
    <dataValidation type="list" allowBlank="1" showInputMessage="1" showErrorMessage="1" sqref="J5:J204" xr:uid="{474C7FC0-7BFD-478A-AF4D-B634AA9298FD}">
      <formula1>INDIRECT($AE5)</formula1>
    </dataValidation>
    <dataValidation type="list" allowBlank="1" showInputMessage="1" showErrorMessage="1" sqref="E5:E204" xr:uid="{0B6A4977-EA63-42D2-8B67-1C7A64F4BBA4}">
      <formula1>List_In_Out</formula1>
    </dataValidation>
    <dataValidation type="whole" operator="lessThanOrEqual" allowBlank="1" showInputMessage="1" showErrorMessage="1" errorTitle="Use Custom tab" error="More fixtures are being proposed that are being removed. Please enter this measure in the Custom tab. " sqref="M5:M204" xr:uid="{CF29725A-A184-4AC4-BDCC-1883042FA5BD}">
      <formula1>H5</formula1>
    </dataValidation>
    <dataValidation type="list" allowBlank="1" showInputMessage="1" showErrorMessage="1" sqref="I5:I204" xr:uid="{92B209C4-7BBB-4112-B8A0-1A9BF61ECA60}">
      <formula1>List_Control_Types</formula1>
    </dataValidation>
    <dataValidation type="list" allowBlank="1" showInputMessage="1" showErrorMessage="1" sqref="P5:P204" xr:uid="{53B10E24-6574-46B7-B6F7-306D6749386C}">
      <formula1>List_Cert_Body</formula1>
    </dataValidation>
  </dataValidations>
  <pageMargins left="0.7" right="0.7" top="0.75" bottom="0.75" header="0.3" footer="0.3"/>
  <pageSetup scale="75" fitToWidth="0" fitToHeight="0" orientation="landscape" verticalDpi="4294967293" r:id="rId1"/>
  <drawing r:id="rId2"/>
  <legacyDrawing r:id="rId3"/>
  <tableParts count="1">
    <tablePart r:id="rId4"/>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1E205-5EDA-4FBB-9699-60F572B06CD8}">
  <sheetPr codeName="Sheet6">
    <tabColor theme="4"/>
    <pageSetUpPr fitToPage="1"/>
  </sheetPr>
  <dimension ref="B1:AN109"/>
  <sheetViews>
    <sheetView showGridLines="0" showRowColHeaders="0" workbookViewId="0">
      <selection activeCell="D5" sqref="D5"/>
    </sheetView>
  </sheetViews>
  <sheetFormatPr defaultColWidth="9.140625" defaultRowHeight="12.75" x14ac:dyDescent="0.2"/>
  <cols>
    <col min="1" max="1" width="2.85546875" style="8" customWidth="1"/>
    <col min="2" max="2" width="5.85546875" style="8" customWidth="1"/>
    <col min="3" max="3" width="9.7109375" style="8" customWidth="1"/>
    <col min="4" max="4" width="19.85546875" style="8" customWidth="1"/>
    <col min="5" max="5" width="25.42578125" style="8" customWidth="1"/>
    <col min="6" max="6" width="29.140625" style="8" customWidth="1"/>
    <col min="7" max="7" width="12.42578125" style="8" customWidth="1"/>
    <col min="8" max="8" width="15.5703125" style="8" customWidth="1"/>
    <col min="9" max="9" width="17" style="8" customWidth="1"/>
    <col min="10" max="10" width="13.28515625" style="8" customWidth="1"/>
    <col min="11" max="11" width="11.28515625" style="8" customWidth="1"/>
    <col min="12" max="12" width="25.28515625" style="8" customWidth="1"/>
    <col min="13" max="13" width="22" style="8" customWidth="1"/>
    <col min="14" max="14" width="14.5703125" style="8" customWidth="1"/>
    <col min="15" max="15" width="16.7109375" style="8" customWidth="1"/>
    <col min="16" max="16" width="11.85546875" style="8" customWidth="1"/>
    <col min="17" max="17" width="25.28515625" style="8" customWidth="1"/>
    <col min="18" max="19" width="13" style="8" customWidth="1"/>
    <col min="20" max="20" width="13.7109375" style="8" customWidth="1"/>
    <col min="21" max="21" width="17" style="8" customWidth="1"/>
    <col min="22" max="22" width="11.42578125" style="8" customWidth="1"/>
    <col min="23" max="23" width="11.140625" style="13" customWidth="1"/>
    <col min="24" max="24" width="10.5703125" style="13" customWidth="1"/>
    <col min="25" max="25" width="11" style="8" customWidth="1"/>
    <col min="26" max="26" width="12" style="8" customWidth="1"/>
    <col min="27" max="27" width="11.85546875" style="8" customWidth="1"/>
    <col min="28" max="29" width="10.28515625" style="8" customWidth="1"/>
    <col min="30" max="30" width="13.42578125" style="8" customWidth="1"/>
    <col min="31" max="31" width="9.5703125" style="8" customWidth="1"/>
    <col min="32" max="32" width="11.42578125" style="74" hidden="1" customWidth="1"/>
    <col min="33" max="40" width="14.5703125" style="74" hidden="1" customWidth="1"/>
    <col min="41" max="16384" width="9.140625" style="8"/>
  </cols>
  <sheetData>
    <row r="1" spans="2:40" ht="55.5" customHeight="1" x14ac:dyDescent="0.2"/>
    <row r="2" spans="2:40" customFormat="1" ht="52.5" customHeight="1" x14ac:dyDescent="0.2">
      <c r="B2" s="266" t="s">
        <v>140</v>
      </c>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106"/>
      <c r="AD2" s="107"/>
      <c r="AE2" s="107"/>
      <c r="AF2" s="74"/>
      <c r="AG2" s="74"/>
      <c r="AH2" s="74"/>
      <c r="AI2" s="74"/>
      <c r="AJ2" s="74"/>
      <c r="AK2" s="74"/>
      <c r="AL2" s="74"/>
      <c r="AM2" s="74"/>
      <c r="AN2" s="74"/>
    </row>
    <row r="3" spans="2:40" s="10" customFormat="1" ht="15.75" x14ac:dyDescent="0.2">
      <c r="B3" s="9"/>
      <c r="C3" s="9"/>
      <c r="D3" s="9"/>
      <c r="E3"/>
      <c r="F3"/>
      <c r="G3"/>
      <c r="H3"/>
      <c r="I3"/>
      <c r="J3"/>
      <c r="K3" s="269" t="s">
        <v>87</v>
      </c>
      <c r="L3" s="270"/>
      <c r="M3" s="270"/>
      <c r="N3" s="270"/>
      <c r="O3" s="274"/>
      <c r="P3" s="271" t="s">
        <v>88</v>
      </c>
      <c r="Q3" s="272"/>
      <c r="R3" s="272"/>
      <c r="S3" s="272"/>
      <c r="T3" s="272"/>
      <c r="U3" s="272"/>
      <c r="V3" s="272"/>
      <c r="W3" s="272"/>
      <c r="X3" s="273"/>
      <c r="Y3" s="194">
        <f>SUM(Table_Custom_Input[Estimated incentive])</f>
        <v>0</v>
      </c>
      <c r="Z3" s="195">
        <f>SUM(Table_Custom_Input[Energy savings (kWh)])</f>
        <v>0</v>
      </c>
      <c r="AA3" s="196">
        <f>SUM(Table_Custom_Input[Demand reduction (kW)])</f>
        <v>0</v>
      </c>
      <c r="AB3" s="194">
        <f>SUM(Table_Custom_Input[Cost savings])</f>
        <v>0</v>
      </c>
      <c r="AC3" s="194">
        <f>SUM(Table_Custom_Input[Gross measure Cost])</f>
        <v>0</v>
      </c>
      <c r="AD3" s="194">
        <f>AC3-Y3</f>
        <v>0</v>
      </c>
      <c r="AE3" s="75" t="str">
        <f>IFERROR(AD3/AB3, "")</f>
        <v/>
      </c>
      <c r="AF3" s="74"/>
      <c r="AG3" s="74"/>
      <c r="AH3" s="74"/>
      <c r="AI3" s="74"/>
      <c r="AJ3" s="74"/>
      <c r="AK3" s="74"/>
      <c r="AL3" s="74"/>
      <c r="AM3" s="74"/>
      <c r="AN3" s="74"/>
    </row>
    <row r="4" spans="2:40" s="11" customFormat="1" ht="58.5" customHeight="1" x14ac:dyDescent="0.2">
      <c r="B4" s="167" t="s">
        <v>90</v>
      </c>
      <c r="C4" s="167" t="s">
        <v>91</v>
      </c>
      <c r="D4" s="169" t="s">
        <v>92</v>
      </c>
      <c r="E4" s="170" t="s">
        <v>141</v>
      </c>
      <c r="F4" s="170" t="s">
        <v>142</v>
      </c>
      <c r="G4" s="170" t="s">
        <v>143</v>
      </c>
      <c r="H4" s="170" t="s">
        <v>144</v>
      </c>
      <c r="I4" s="170" t="s">
        <v>145</v>
      </c>
      <c r="J4" s="170" t="s">
        <v>146</v>
      </c>
      <c r="K4" s="171" t="s">
        <v>147</v>
      </c>
      <c r="L4" s="172" t="s">
        <v>97</v>
      </c>
      <c r="M4" s="172" t="s">
        <v>98</v>
      </c>
      <c r="N4" s="172" t="s">
        <v>100</v>
      </c>
      <c r="O4" s="172" t="s">
        <v>148</v>
      </c>
      <c r="P4" s="173" t="s">
        <v>149</v>
      </c>
      <c r="Q4" s="173" t="s">
        <v>150</v>
      </c>
      <c r="R4" s="173" t="s">
        <v>103</v>
      </c>
      <c r="S4" s="173" t="s">
        <v>102</v>
      </c>
      <c r="T4" s="173" t="s">
        <v>151</v>
      </c>
      <c r="U4" s="173" t="s">
        <v>104</v>
      </c>
      <c r="V4" s="173" t="s">
        <v>105</v>
      </c>
      <c r="W4" s="173" t="s">
        <v>152</v>
      </c>
      <c r="X4" s="173" t="s">
        <v>107</v>
      </c>
      <c r="Y4" s="170" t="s">
        <v>109</v>
      </c>
      <c r="Z4" s="170" t="s">
        <v>110</v>
      </c>
      <c r="AA4" s="170" t="s">
        <v>111</v>
      </c>
      <c r="AB4" s="170" t="s">
        <v>112</v>
      </c>
      <c r="AC4" s="170" t="s">
        <v>153</v>
      </c>
      <c r="AD4" s="170" t="s">
        <v>114</v>
      </c>
      <c r="AE4" s="170" t="s">
        <v>115</v>
      </c>
      <c r="AF4" s="84" t="s">
        <v>154</v>
      </c>
      <c r="AG4" s="84" t="s">
        <v>155</v>
      </c>
      <c r="AH4" s="84" t="s">
        <v>156</v>
      </c>
      <c r="AI4" s="84" t="s">
        <v>157</v>
      </c>
      <c r="AJ4" s="84" t="s">
        <v>158</v>
      </c>
      <c r="AK4" s="84" t="s">
        <v>159</v>
      </c>
      <c r="AL4" s="84" t="s">
        <v>160</v>
      </c>
      <c r="AM4" s="84" t="s">
        <v>161</v>
      </c>
      <c r="AN4" s="84" t="s">
        <v>162</v>
      </c>
    </row>
    <row r="5" spans="2:40" s="18" customFormat="1" ht="15" x14ac:dyDescent="0.2">
      <c r="B5" s="61">
        <v>1</v>
      </c>
      <c r="C5" s="61" t="str">
        <f>IFERROR(INDEX(Table_Custom_Measure_No[Custom Measure No], MATCH(Table_Custom_Input[[#This Row],[Existing lighting type]], Table_Custom_Measure_No[List_Light_Type], 0)), "")</f>
        <v/>
      </c>
      <c r="D5" s="192"/>
      <c r="E5" s="179"/>
      <c r="F5" s="58"/>
      <c r="G5" s="58"/>
      <c r="H5" s="68" t="str">
        <f>IFERROR(INDEX(Table_Bldg_Type[AOH], MATCH(Table_Custom_Input[[#This Row],[Building/space type]], Table_Bldg_Type[List_Bldg_Types], 0)), "")</f>
        <v/>
      </c>
      <c r="I5" s="65"/>
      <c r="J5" s="58"/>
      <c r="K5" s="58"/>
      <c r="L5" s="58"/>
      <c r="M5" s="58"/>
      <c r="N5" s="58"/>
      <c r="O5" s="58"/>
      <c r="P5" s="58"/>
      <c r="Q5" s="58"/>
      <c r="R5" s="58"/>
      <c r="S5" s="58"/>
      <c r="T5" s="58"/>
      <c r="U5" s="58"/>
      <c r="V5" s="58"/>
      <c r="W5" s="66"/>
      <c r="X5" s="66"/>
      <c r="Y5" s="67" t="str">
        <f>IFERROR(Table_Custom_Input[[#This Row],[Energy savings (kWh)]]*Value_Custom_IncentRate, "")</f>
        <v/>
      </c>
      <c r="Z5" s="69" t="str">
        <f>IF(Table_Custom_Input[[#This Row],[Replacing lamp or fixture?]]="Fixture", Table_Custom_Input[[#This Row],[Fixture Replacement: Energy Savings]], IF(Table_Custom_Input[[#This Row],[Replacing lamp or fixture?]]="Lamp", Table_Custom_Input[[#This Row],[Lamp Replacement: Energy Savings]], ""))</f>
        <v/>
      </c>
      <c r="AA5" s="73" t="str">
        <f>IF(Table_Custom_Input[[#This Row],[Replacing lamp or fixture?]]="Fixture", Table_Custom_Input[[#This Row],[Fixture Replacement: Demand Savings]], IF(Table_Custom_Input[[#This Row],[Replacing lamp or fixture?]]="Lamp", Table_Custom_Input[[#This Row],[Lamp Replacement: Demand Savings]], ""))</f>
        <v/>
      </c>
      <c r="AB5" s="67" t="str">
        <f>IFERROR(Table_Custom_Input[[#This Row],[Energy savings (kWh)]]*Input_AvgkWhRate, "")</f>
        <v/>
      </c>
      <c r="AC5" s="67" t="str">
        <f>IF(Table_Custom_Input[[#This Row],[Replacing lamp or fixture?]]&lt;&gt;"",Table_Custom_Input[[#This Row],[Material cost per unit]]*Table_Custom_Input[[#This Row],[Number of proposed units]]+Table_Custom_Input[[#This Row],[Total labor cost]],"")</f>
        <v/>
      </c>
      <c r="AD5" s="67" t="str">
        <f>IF(Table_Custom_Input[[#This Row],[Estimated incentive]]="","",Table_Custom_Input[[#This Row],[Gross measure Cost]]-Table_Custom_Input[[#This Row],[Estimated incentive]])</f>
        <v/>
      </c>
      <c r="AE5" s="69" t="str">
        <f>IFERROR(Table_Custom_Input[[#This Row],[Net measure cost]]/Table_Custom_Input[[#This Row],[Cost savings]], "")</f>
        <v/>
      </c>
      <c r="AF5" s="85">
        <f>IF(Table_Custom_Input[[#This Row],[Use custom or default operating hours?]]="Default", Table_Custom_Input[[#This Row],[Default annual operating hours]], IF(Table_Custom_Input[[#This Row],[Use custom or default operating hours?]]="Custom", Table_Custom_Input[[#This Row],[Custom annual operating hours]], 0))</f>
        <v>0</v>
      </c>
      <c r="AG5" s="85" t="e">
        <f>INDEX(Table_TRM_Fixtures[Fixture Wattage for Baseline Calculations], MATCH(Table_Custom_Input[[#This Row],[Existing fixture code]], Table_TRM_Fixtures[Fixture Code], 0))</f>
        <v>#N/A</v>
      </c>
      <c r="AH5" s="85" t="e">
        <f>INDEX(Table_TRM_Fixtures[Fixture Watts  (TRM Data)], MATCH(Table_Custom_Input[[#This Row],[Proposed fixture code]], Table_TRM_Fixtures[Fixture Code], 0))</f>
        <v>#N/A</v>
      </c>
      <c r="AI5"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5" s="119"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5" s="85" t="e">
        <f>INDEX(Table_TRM_Fixtures[Fixture Wattage for Baseline Calculations], MATCH(Table_Custom_Input[[#This Row],[Existing fixture code]], Table_TRM_Fixtures[Fixture Code], 0))/Table_Custom_Input[[#This Row],[Existing lamps per fixture]]</f>
        <v>#N/A</v>
      </c>
      <c r="AL5" s="85" t="str">
        <f>IF(Table_Custom_Input[[#This Row],[Proposed lamp wattage]]="","",Table_Custom_Input[[#This Row],[Proposed lamp wattage]])</f>
        <v/>
      </c>
      <c r="AM5"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5"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6" spans="2:40" s="18" customFormat="1" ht="15" x14ac:dyDescent="0.2">
      <c r="B6" s="61">
        <v>2</v>
      </c>
      <c r="C6" s="61" t="str">
        <f>IFERROR(INDEX(Table_Custom_Measure_No[Custom Measure No], MATCH(Table_Custom_Input[[#This Row],[Existing lighting type]], Table_Custom_Measure_No[List_Light_Type], 0)), "")</f>
        <v/>
      </c>
      <c r="D6" s="192"/>
      <c r="E6" s="179"/>
      <c r="F6" s="58"/>
      <c r="G6" s="58"/>
      <c r="H6" s="68" t="str">
        <f>IFERROR(INDEX(Table_Bldg_Type[AOH], MATCH(Table_Custom_Input[[#This Row],[Building/space type]], Table_Bldg_Type[List_Bldg_Types], 0)), "")</f>
        <v/>
      </c>
      <c r="I6" s="65"/>
      <c r="J6" s="58"/>
      <c r="K6" s="58"/>
      <c r="L6" s="58"/>
      <c r="M6" s="58"/>
      <c r="N6" s="58"/>
      <c r="O6" s="58"/>
      <c r="P6" s="58"/>
      <c r="Q6" s="58"/>
      <c r="R6" s="58"/>
      <c r="S6" s="58"/>
      <c r="T6" s="58"/>
      <c r="U6" s="58"/>
      <c r="V6" s="58"/>
      <c r="W6" s="66"/>
      <c r="X6" s="66"/>
      <c r="Y6" s="67" t="str">
        <f>IFERROR(Table_Custom_Input[[#This Row],[Energy savings (kWh)]]*Value_Custom_IncentRate, "")</f>
        <v/>
      </c>
      <c r="Z6" s="69" t="str">
        <f>IF(Table_Custom_Input[[#This Row],[Replacing lamp or fixture?]]="Fixture", Table_Custom_Input[[#This Row],[Fixture Replacement: Energy Savings]], IF(Table_Custom_Input[[#This Row],[Replacing lamp or fixture?]]="Lamp", Table_Custom_Input[[#This Row],[Lamp Replacement: Energy Savings]], ""))</f>
        <v/>
      </c>
      <c r="AA6" s="73" t="str">
        <f>IF(Table_Custom_Input[[#This Row],[Replacing lamp or fixture?]]="Fixture", Table_Custom_Input[[#This Row],[Fixture Replacement: Demand Savings]], IF(Table_Custom_Input[[#This Row],[Replacing lamp or fixture?]]="Lamp", Table_Custom_Input[[#This Row],[Lamp Replacement: Demand Savings]], ""))</f>
        <v/>
      </c>
      <c r="AB6" s="67" t="str">
        <f>IFERROR(Table_Custom_Input[[#This Row],[Energy savings (kWh)]]*Input_AvgkWhRate, "")</f>
        <v/>
      </c>
      <c r="AC6" s="67" t="str">
        <f>IF(Table_Custom_Input[[#This Row],[Replacing lamp or fixture?]]&lt;&gt;"",Table_Custom_Input[[#This Row],[Material cost per unit]]*Table_Custom_Input[[#This Row],[Number of proposed units]]+Table_Custom_Input[[#This Row],[Total labor cost]],"")</f>
        <v/>
      </c>
      <c r="AD6" s="67" t="str">
        <f>IF(Table_Custom_Input[[#This Row],[Estimated incentive]]="","",Table_Custom_Input[[#This Row],[Gross measure Cost]]-Table_Custom_Input[[#This Row],[Estimated incentive]])</f>
        <v/>
      </c>
      <c r="AE6" s="69" t="str">
        <f>IFERROR(Table_Custom_Input[[#This Row],[Net measure cost]]/Table_Custom_Input[[#This Row],[Cost savings]], "")</f>
        <v/>
      </c>
      <c r="AF6" s="85">
        <f>IF(Table_Custom_Input[[#This Row],[Use custom or default operating hours?]]="Default", Table_Custom_Input[[#This Row],[Default annual operating hours]], IF(Table_Custom_Input[[#This Row],[Use custom or default operating hours?]]="Custom", Table_Custom_Input[[#This Row],[Custom annual operating hours]], 0))</f>
        <v>0</v>
      </c>
      <c r="AG6" s="85" t="e">
        <f>INDEX(Table_TRM_Fixtures[Fixture Wattage for Baseline Calculations], MATCH(Table_Custom_Input[[#This Row],[Existing fixture code]], Table_TRM_Fixtures[Fixture Code], 0))</f>
        <v>#N/A</v>
      </c>
      <c r="AH6" s="85" t="e">
        <f>INDEX(Table_TRM_Fixtures[Fixture Watts  (TRM Data)], MATCH(Table_Custom_Input[[#This Row],[Proposed fixture code]], Table_TRM_Fixtures[Fixture Code], 0))</f>
        <v>#N/A</v>
      </c>
      <c r="AI6"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6"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6" s="85" t="e">
        <f>INDEX(Table_TRM_Fixtures[Fixture Wattage for Baseline Calculations], MATCH(Table_Custom_Input[[#This Row],[Existing fixture code]], Table_TRM_Fixtures[Fixture Code], 0))/Table_Custom_Input[[#This Row],[Existing lamps per fixture]]</f>
        <v>#N/A</v>
      </c>
      <c r="AL6" s="85" t="str">
        <f>IF(Table_Custom_Input[[#This Row],[Proposed lamp wattage]]="","",Table_Custom_Input[[#This Row],[Proposed lamp wattage]])</f>
        <v/>
      </c>
      <c r="AM6"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6"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7" spans="2:40" s="18" customFormat="1" ht="15" x14ac:dyDescent="0.2">
      <c r="B7" s="61">
        <v>3</v>
      </c>
      <c r="C7" s="61" t="str">
        <f>IFERROR(INDEX(Table_Custom_Measure_No[Custom Measure No], MATCH(Table_Custom_Input[[#This Row],[Existing lighting type]], Table_Custom_Measure_No[List_Light_Type], 0)), "")</f>
        <v/>
      </c>
      <c r="D7" s="192"/>
      <c r="E7" s="179"/>
      <c r="F7" s="58"/>
      <c r="G7" s="58"/>
      <c r="H7" s="68" t="str">
        <f>IFERROR(INDEX(Table_Bldg_Type[AOH], MATCH(Table_Custom_Input[[#This Row],[Building/space type]], Table_Bldg_Type[List_Bldg_Types], 0)), "")</f>
        <v/>
      </c>
      <c r="I7" s="65"/>
      <c r="J7" s="58"/>
      <c r="K7" s="58"/>
      <c r="L7" s="58"/>
      <c r="M7" s="58"/>
      <c r="N7" s="58"/>
      <c r="O7" s="58"/>
      <c r="P7" s="58"/>
      <c r="Q7" s="58"/>
      <c r="R7" s="58"/>
      <c r="S7" s="58"/>
      <c r="T7" s="58"/>
      <c r="U7" s="58"/>
      <c r="V7" s="58"/>
      <c r="W7" s="66"/>
      <c r="X7" s="66"/>
      <c r="Y7" s="67" t="str">
        <f>IFERROR(Table_Custom_Input[[#This Row],[Energy savings (kWh)]]*Value_Custom_IncentRate, "")</f>
        <v/>
      </c>
      <c r="Z7" s="69" t="str">
        <f>IF(Table_Custom_Input[[#This Row],[Replacing lamp or fixture?]]="Fixture", Table_Custom_Input[[#This Row],[Fixture Replacement: Energy Savings]], IF(Table_Custom_Input[[#This Row],[Replacing lamp or fixture?]]="Lamp", Table_Custom_Input[[#This Row],[Lamp Replacement: Energy Savings]], ""))</f>
        <v/>
      </c>
      <c r="AA7" s="73" t="str">
        <f>IF(Table_Custom_Input[[#This Row],[Replacing lamp or fixture?]]="Fixture", Table_Custom_Input[[#This Row],[Fixture Replacement: Demand Savings]], IF(Table_Custom_Input[[#This Row],[Replacing lamp or fixture?]]="Lamp", Table_Custom_Input[[#This Row],[Lamp Replacement: Demand Savings]], ""))</f>
        <v/>
      </c>
      <c r="AB7" s="67" t="str">
        <f>IFERROR(Table_Custom_Input[[#This Row],[Energy savings (kWh)]]*Input_AvgkWhRate, "")</f>
        <v/>
      </c>
      <c r="AC7" s="67" t="str">
        <f>IF(Table_Custom_Input[[#This Row],[Replacing lamp or fixture?]]&lt;&gt;"",Table_Custom_Input[[#This Row],[Material cost per unit]]*Table_Custom_Input[[#This Row],[Number of proposed units]]+Table_Custom_Input[[#This Row],[Total labor cost]],"")</f>
        <v/>
      </c>
      <c r="AD7" s="67" t="str">
        <f>IF(Table_Custom_Input[[#This Row],[Estimated incentive]]="","",Table_Custom_Input[[#This Row],[Gross measure Cost]]-Table_Custom_Input[[#This Row],[Estimated incentive]])</f>
        <v/>
      </c>
      <c r="AE7" s="69" t="str">
        <f>IFERROR(Table_Custom_Input[[#This Row],[Net measure cost]]/Table_Custom_Input[[#This Row],[Cost savings]], "")</f>
        <v/>
      </c>
      <c r="AF7" s="85">
        <f>IF(Table_Custom_Input[[#This Row],[Use custom or default operating hours?]]="Default", Table_Custom_Input[[#This Row],[Default annual operating hours]], IF(Table_Custom_Input[[#This Row],[Use custom or default operating hours?]]="Custom", Table_Custom_Input[[#This Row],[Custom annual operating hours]], 0))</f>
        <v>0</v>
      </c>
      <c r="AG7" s="85" t="e">
        <f>INDEX(Table_TRM_Fixtures[Fixture Wattage for Baseline Calculations], MATCH(Table_Custom_Input[[#This Row],[Existing fixture code]], Table_TRM_Fixtures[Fixture Code], 0))</f>
        <v>#N/A</v>
      </c>
      <c r="AH7" s="85" t="e">
        <f>INDEX(Table_TRM_Fixtures[Fixture Watts  (TRM Data)], MATCH(Table_Custom_Input[[#This Row],[Proposed fixture code]], Table_TRM_Fixtures[Fixture Code], 0))</f>
        <v>#N/A</v>
      </c>
      <c r="AI7"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7"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7" s="85" t="e">
        <f>INDEX(Table_TRM_Fixtures[Fixture Wattage for Baseline Calculations], MATCH(Table_Custom_Input[[#This Row],[Existing fixture code]], Table_TRM_Fixtures[Fixture Code], 0))/Table_Custom_Input[[#This Row],[Existing lamps per fixture]]</f>
        <v>#N/A</v>
      </c>
      <c r="AL7" s="85" t="str">
        <f>IF(Table_Custom_Input[[#This Row],[Proposed lamp wattage]]="","",Table_Custom_Input[[#This Row],[Proposed lamp wattage]])</f>
        <v/>
      </c>
      <c r="AM7"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7"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8" spans="2:40" s="18" customFormat="1" ht="15" x14ac:dyDescent="0.2">
      <c r="B8" s="61">
        <v>4</v>
      </c>
      <c r="C8" s="61" t="str">
        <f>IFERROR(INDEX(Table_Custom_Measure_No[Custom Measure No], MATCH(Table_Custom_Input[[#This Row],[Existing lighting type]], Table_Custom_Measure_No[List_Light_Type], 0)), "")</f>
        <v/>
      </c>
      <c r="D8" s="192"/>
      <c r="E8" s="179"/>
      <c r="F8" s="58"/>
      <c r="G8" s="58"/>
      <c r="H8" s="68" t="str">
        <f>IFERROR(INDEX(Table_Bldg_Type[AOH], MATCH(Table_Custom_Input[[#This Row],[Building/space type]], Table_Bldg_Type[List_Bldg_Types], 0)), "")</f>
        <v/>
      </c>
      <c r="I8" s="65"/>
      <c r="J8" s="58"/>
      <c r="K8" s="58"/>
      <c r="L8" s="58"/>
      <c r="M8" s="58"/>
      <c r="N8" s="58"/>
      <c r="O8" s="58"/>
      <c r="P8" s="58"/>
      <c r="Q8" s="58"/>
      <c r="R8" s="58"/>
      <c r="S8" s="58"/>
      <c r="T8" s="58"/>
      <c r="U8" s="58"/>
      <c r="V8" s="58"/>
      <c r="W8" s="66"/>
      <c r="X8" s="66"/>
      <c r="Y8" s="67" t="str">
        <f>IFERROR(Table_Custom_Input[[#This Row],[Energy savings (kWh)]]*Value_Custom_IncentRate, "")</f>
        <v/>
      </c>
      <c r="Z8" s="69" t="str">
        <f>IF(Table_Custom_Input[[#This Row],[Replacing lamp or fixture?]]="Fixture", Table_Custom_Input[[#This Row],[Fixture Replacement: Energy Savings]], IF(Table_Custom_Input[[#This Row],[Replacing lamp or fixture?]]="Lamp", Table_Custom_Input[[#This Row],[Lamp Replacement: Energy Savings]], ""))</f>
        <v/>
      </c>
      <c r="AA8" s="73" t="str">
        <f>IF(Table_Custom_Input[[#This Row],[Replacing lamp or fixture?]]="Fixture", Table_Custom_Input[[#This Row],[Fixture Replacement: Demand Savings]], IF(Table_Custom_Input[[#This Row],[Replacing lamp or fixture?]]="Lamp", Table_Custom_Input[[#This Row],[Lamp Replacement: Demand Savings]], ""))</f>
        <v/>
      </c>
      <c r="AB8" s="67" t="str">
        <f>IFERROR(Table_Custom_Input[[#This Row],[Energy savings (kWh)]]*Input_AvgkWhRate, "")</f>
        <v/>
      </c>
      <c r="AC8" s="67" t="str">
        <f>IF(Table_Custom_Input[[#This Row],[Replacing lamp or fixture?]]&lt;&gt;"",Table_Custom_Input[[#This Row],[Material cost per unit]]*Table_Custom_Input[[#This Row],[Number of proposed units]]+Table_Custom_Input[[#This Row],[Total labor cost]],"")</f>
        <v/>
      </c>
      <c r="AD8" s="67" t="str">
        <f>IF(Table_Custom_Input[[#This Row],[Estimated incentive]]="","",Table_Custom_Input[[#This Row],[Gross measure Cost]]-Table_Custom_Input[[#This Row],[Estimated incentive]])</f>
        <v/>
      </c>
      <c r="AE8" s="69" t="str">
        <f>IFERROR(Table_Custom_Input[[#This Row],[Net measure cost]]/Table_Custom_Input[[#This Row],[Cost savings]], "")</f>
        <v/>
      </c>
      <c r="AF8" s="85">
        <f>IF(Table_Custom_Input[[#This Row],[Use custom or default operating hours?]]="Default", Table_Custom_Input[[#This Row],[Default annual operating hours]], IF(Table_Custom_Input[[#This Row],[Use custom or default operating hours?]]="Custom", Table_Custom_Input[[#This Row],[Custom annual operating hours]], 0))</f>
        <v>0</v>
      </c>
      <c r="AG8" s="85" t="e">
        <f>INDEX(Table_TRM_Fixtures[Fixture Wattage for Baseline Calculations], MATCH(Table_Custom_Input[[#This Row],[Existing fixture code]], Table_TRM_Fixtures[Fixture Code], 0))</f>
        <v>#N/A</v>
      </c>
      <c r="AH8" s="85" t="e">
        <f>INDEX(Table_TRM_Fixtures[Fixture Watts  (TRM Data)], MATCH(Table_Custom_Input[[#This Row],[Proposed fixture code]], Table_TRM_Fixtures[Fixture Code], 0))</f>
        <v>#N/A</v>
      </c>
      <c r="AI8"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8"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8" s="85" t="e">
        <f>INDEX(Table_TRM_Fixtures[Fixture Wattage for Baseline Calculations], MATCH(Table_Custom_Input[[#This Row],[Existing fixture code]], Table_TRM_Fixtures[Fixture Code], 0))/Table_Custom_Input[[#This Row],[Existing lamps per fixture]]</f>
        <v>#N/A</v>
      </c>
      <c r="AL8" s="85" t="str">
        <f>IF(Table_Custom_Input[[#This Row],[Proposed lamp wattage]]="","",Table_Custom_Input[[#This Row],[Proposed lamp wattage]])</f>
        <v/>
      </c>
      <c r="AM8"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8"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9" spans="2:40" s="18" customFormat="1" ht="15" x14ac:dyDescent="0.2">
      <c r="B9" s="61">
        <v>5</v>
      </c>
      <c r="C9" s="61" t="str">
        <f>IFERROR(INDEX(Table_Custom_Measure_No[Custom Measure No], MATCH(Table_Custom_Input[[#This Row],[Existing lighting type]], Table_Custom_Measure_No[List_Light_Type], 0)), "")</f>
        <v/>
      </c>
      <c r="D9" s="192"/>
      <c r="E9" s="179"/>
      <c r="F9" s="58"/>
      <c r="G9" s="58"/>
      <c r="H9" s="68" t="str">
        <f>IFERROR(INDEX(Table_Bldg_Type[AOH], MATCH(Table_Custom_Input[[#This Row],[Building/space type]], Table_Bldg_Type[List_Bldg_Types], 0)), "")</f>
        <v/>
      </c>
      <c r="I9" s="65"/>
      <c r="J9" s="58"/>
      <c r="K9" s="58"/>
      <c r="L9" s="58"/>
      <c r="M9" s="58"/>
      <c r="N9" s="58"/>
      <c r="O9" s="58"/>
      <c r="P9" s="58"/>
      <c r="Q9" s="58"/>
      <c r="R9" s="58"/>
      <c r="S9" s="58"/>
      <c r="T9" s="58"/>
      <c r="U9" s="58"/>
      <c r="V9" s="58"/>
      <c r="W9" s="66"/>
      <c r="X9" s="66"/>
      <c r="Y9" s="67" t="str">
        <f>IFERROR(Table_Custom_Input[[#This Row],[Energy savings (kWh)]]*Value_Custom_IncentRate, "")</f>
        <v/>
      </c>
      <c r="Z9" s="69" t="str">
        <f>IF(Table_Custom_Input[[#This Row],[Replacing lamp or fixture?]]="Fixture", Table_Custom_Input[[#This Row],[Fixture Replacement: Energy Savings]], IF(Table_Custom_Input[[#This Row],[Replacing lamp or fixture?]]="Lamp", Table_Custom_Input[[#This Row],[Lamp Replacement: Energy Savings]], ""))</f>
        <v/>
      </c>
      <c r="AA9" s="73" t="str">
        <f>IF(Table_Custom_Input[[#This Row],[Replacing lamp or fixture?]]="Fixture", Table_Custom_Input[[#This Row],[Fixture Replacement: Demand Savings]], IF(Table_Custom_Input[[#This Row],[Replacing lamp or fixture?]]="Lamp", Table_Custom_Input[[#This Row],[Lamp Replacement: Demand Savings]], ""))</f>
        <v/>
      </c>
      <c r="AB9" s="67" t="str">
        <f>IFERROR(Table_Custom_Input[[#This Row],[Energy savings (kWh)]]*Input_AvgkWhRate, "")</f>
        <v/>
      </c>
      <c r="AC9" s="67" t="str">
        <f>IF(Table_Custom_Input[[#This Row],[Replacing lamp or fixture?]]&lt;&gt;"",Table_Custom_Input[[#This Row],[Material cost per unit]]*Table_Custom_Input[[#This Row],[Number of proposed units]]+Table_Custom_Input[[#This Row],[Total labor cost]],"")</f>
        <v/>
      </c>
      <c r="AD9" s="67" t="str">
        <f>IF(Table_Custom_Input[[#This Row],[Estimated incentive]]="","",Table_Custom_Input[[#This Row],[Gross measure Cost]]-Table_Custom_Input[[#This Row],[Estimated incentive]])</f>
        <v/>
      </c>
      <c r="AE9" s="69" t="str">
        <f>IFERROR(Table_Custom_Input[[#This Row],[Net measure cost]]/Table_Custom_Input[[#This Row],[Cost savings]], "")</f>
        <v/>
      </c>
      <c r="AF9" s="85">
        <f>IF(Table_Custom_Input[[#This Row],[Use custom or default operating hours?]]="Default", Table_Custom_Input[[#This Row],[Default annual operating hours]], IF(Table_Custom_Input[[#This Row],[Use custom or default operating hours?]]="Custom", Table_Custom_Input[[#This Row],[Custom annual operating hours]], 0))</f>
        <v>0</v>
      </c>
      <c r="AG9" s="85" t="e">
        <f>INDEX(Table_TRM_Fixtures[Fixture Wattage for Baseline Calculations], MATCH(Table_Custom_Input[[#This Row],[Existing fixture code]], Table_TRM_Fixtures[Fixture Code], 0))</f>
        <v>#N/A</v>
      </c>
      <c r="AH9" s="85" t="e">
        <f>INDEX(Table_TRM_Fixtures[Fixture Watts  (TRM Data)], MATCH(Table_Custom_Input[[#This Row],[Proposed fixture code]], Table_TRM_Fixtures[Fixture Code], 0))</f>
        <v>#N/A</v>
      </c>
      <c r="AI9"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9"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9" s="85" t="e">
        <f>INDEX(Table_TRM_Fixtures[Fixture Wattage for Baseline Calculations], MATCH(Table_Custom_Input[[#This Row],[Existing fixture code]], Table_TRM_Fixtures[Fixture Code], 0))/Table_Custom_Input[[#This Row],[Existing lamps per fixture]]</f>
        <v>#N/A</v>
      </c>
      <c r="AL9" s="85" t="str">
        <f>IF(Table_Custom_Input[[#This Row],[Proposed lamp wattage]]="","",Table_Custom_Input[[#This Row],[Proposed lamp wattage]])</f>
        <v/>
      </c>
      <c r="AM9"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9"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10" spans="2:40" s="18" customFormat="1" ht="15" x14ac:dyDescent="0.2">
      <c r="B10" s="61">
        <v>6</v>
      </c>
      <c r="C10" s="61" t="str">
        <f>IFERROR(INDEX(Table_Custom_Measure_No[Custom Measure No], MATCH(Table_Custom_Input[[#This Row],[Existing lighting type]], Table_Custom_Measure_No[List_Light_Type], 0)), "")</f>
        <v/>
      </c>
      <c r="D10" s="192"/>
      <c r="E10" s="179"/>
      <c r="F10" s="58"/>
      <c r="G10" s="58"/>
      <c r="H10" s="68" t="str">
        <f>IFERROR(INDEX(Table_Bldg_Type[AOH], MATCH(Table_Custom_Input[[#This Row],[Building/space type]], Table_Bldg_Type[List_Bldg_Types], 0)), "")</f>
        <v/>
      </c>
      <c r="I10" s="65"/>
      <c r="J10" s="58"/>
      <c r="K10" s="58"/>
      <c r="L10" s="58"/>
      <c r="M10" s="58"/>
      <c r="N10" s="58"/>
      <c r="O10" s="58"/>
      <c r="P10" s="58"/>
      <c r="Q10" s="58"/>
      <c r="R10" s="58"/>
      <c r="S10" s="58"/>
      <c r="T10" s="58"/>
      <c r="U10" s="58"/>
      <c r="V10" s="58"/>
      <c r="W10" s="66"/>
      <c r="X10" s="66"/>
      <c r="Y10" s="67" t="str">
        <f>IFERROR(Table_Custom_Input[[#This Row],[Energy savings (kWh)]]*Value_Custom_IncentRate, "")</f>
        <v/>
      </c>
      <c r="Z10" s="69" t="str">
        <f>IF(Table_Custom_Input[[#This Row],[Replacing lamp or fixture?]]="Fixture", Table_Custom_Input[[#This Row],[Fixture Replacement: Energy Savings]], IF(Table_Custom_Input[[#This Row],[Replacing lamp or fixture?]]="Lamp", Table_Custom_Input[[#This Row],[Lamp Replacement: Energy Savings]], ""))</f>
        <v/>
      </c>
      <c r="AA10" s="73" t="str">
        <f>IF(Table_Custom_Input[[#This Row],[Replacing lamp or fixture?]]="Fixture", Table_Custom_Input[[#This Row],[Fixture Replacement: Demand Savings]], IF(Table_Custom_Input[[#This Row],[Replacing lamp or fixture?]]="Lamp", Table_Custom_Input[[#This Row],[Lamp Replacement: Demand Savings]], ""))</f>
        <v/>
      </c>
      <c r="AB10" s="67" t="str">
        <f>IFERROR(Table_Custom_Input[[#This Row],[Energy savings (kWh)]]*Input_AvgkWhRate, "")</f>
        <v/>
      </c>
      <c r="AC10" s="67" t="str">
        <f>IF(Table_Custom_Input[[#This Row],[Replacing lamp or fixture?]]&lt;&gt;"",Table_Custom_Input[[#This Row],[Material cost per unit]]*Table_Custom_Input[[#This Row],[Number of proposed units]]+Table_Custom_Input[[#This Row],[Total labor cost]],"")</f>
        <v/>
      </c>
      <c r="AD10" s="67" t="str">
        <f>IF(Table_Custom_Input[[#This Row],[Estimated incentive]]="","",Table_Custom_Input[[#This Row],[Gross measure Cost]]-Table_Custom_Input[[#This Row],[Estimated incentive]])</f>
        <v/>
      </c>
      <c r="AE10" s="69" t="str">
        <f>IFERROR(Table_Custom_Input[[#This Row],[Net measure cost]]/Table_Custom_Input[[#This Row],[Cost savings]], "")</f>
        <v/>
      </c>
      <c r="AF10" s="85">
        <f>IF(Table_Custom_Input[[#This Row],[Use custom or default operating hours?]]="Default", Table_Custom_Input[[#This Row],[Default annual operating hours]], IF(Table_Custom_Input[[#This Row],[Use custom or default operating hours?]]="Custom", Table_Custom_Input[[#This Row],[Custom annual operating hours]], 0))</f>
        <v>0</v>
      </c>
      <c r="AG10" s="85" t="e">
        <f>INDEX(Table_TRM_Fixtures[Fixture Wattage for Baseline Calculations], MATCH(Table_Custom_Input[[#This Row],[Existing fixture code]], Table_TRM_Fixtures[Fixture Code], 0))</f>
        <v>#N/A</v>
      </c>
      <c r="AH10" s="85" t="e">
        <f>INDEX(Table_TRM_Fixtures[Fixture Watts  (TRM Data)], MATCH(Table_Custom_Input[[#This Row],[Proposed fixture code]], Table_TRM_Fixtures[Fixture Code], 0))</f>
        <v>#N/A</v>
      </c>
      <c r="AI10"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10"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10" s="85" t="e">
        <f>INDEX(Table_TRM_Fixtures[Fixture Wattage for Baseline Calculations], MATCH(Table_Custom_Input[[#This Row],[Existing fixture code]], Table_TRM_Fixtures[Fixture Code], 0))/Table_Custom_Input[[#This Row],[Existing lamps per fixture]]</f>
        <v>#N/A</v>
      </c>
      <c r="AL10" s="85" t="str">
        <f>IF(Table_Custom_Input[[#This Row],[Proposed lamp wattage]]="","",Table_Custom_Input[[#This Row],[Proposed lamp wattage]])</f>
        <v/>
      </c>
      <c r="AM10"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10"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11" spans="2:40" s="18" customFormat="1" ht="15" x14ac:dyDescent="0.2">
      <c r="B11" s="61">
        <v>7</v>
      </c>
      <c r="C11" s="61" t="str">
        <f>IFERROR(INDEX(Table_Custom_Measure_No[Custom Measure No], MATCH(Table_Custom_Input[[#This Row],[Existing lighting type]], Table_Custom_Measure_No[List_Light_Type], 0)), "")</f>
        <v/>
      </c>
      <c r="D11" s="192"/>
      <c r="E11" s="179"/>
      <c r="F11" s="58"/>
      <c r="G11" s="58"/>
      <c r="H11" s="68" t="str">
        <f>IFERROR(INDEX(Table_Bldg_Type[AOH], MATCH(Table_Custom_Input[[#This Row],[Building/space type]], Table_Bldg_Type[List_Bldg_Types], 0)), "")</f>
        <v/>
      </c>
      <c r="I11" s="65"/>
      <c r="J11" s="58"/>
      <c r="K11" s="58"/>
      <c r="L11" s="58"/>
      <c r="M11" s="58"/>
      <c r="N11" s="58"/>
      <c r="O11" s="58"/>
      <c r="P11" s="58"/>
      <c r="Q11" s="58"/>
      <c r="R11" s="58"/>
      <c r="S11" s="58"/>
      <c r="T11" s="58"/>
      <c r="U11" s="58"/>
      <c r="V11" s="58"/>
      <c r="W11" s="66"/>
      <c r="X11" s="66"/>
      <c r="Y11" s="67" t="str">
        <f>IFERROR(Table_Custom_Input[[#This Row],[Energy savings (kWh)]]*Value_Custom_IncentRate, "")</f>
        <v/>
      </c>
      <c r="Z11" s="69" t="str">
        <f>IF(Table_Custom_Input[[#This Row],[Replacing lamp or fixture?]]="Fixture", Table_Custom_Input[[#This Row],[Fixture Replacement: Energy Savings]], IF(Table_Custom_Input[[#This Row],[Replacing lamp or fixture?]]="Lamp", Table_Custom_Input[[#This Row],[Lamp Replacement: Energy Savings]], ""))</f>
        <v/>
      </c>
      <c r="AA11" s="73" t="str">
        <f>IF(Table_Custom_Input[[#This Row],[Replacing lamp or fixture?]]="Fixture", Table_Custom_Input[[#This Row],[Fixture Replacement: Demand Savings]], IF(Table_Custom_Input[[#This Row],[Replacing lamp or fixture?]]="Lamp", Table_Custom_Input[[#This Row],[Lamp Replacement: Demand Savings]], ""))</f>
        <v/>
      </c>
      <c r="AB11" s="67" t="str">
        <f>IFERROR(Table_Custom_Input[[#This Row],[Energy savings (kWh)]]*Input_AvgkWhRate, "")</f>
        <v/>
      </c>
      <c r="AC11" s="67" t="str">
        <f>IF(Table_Custom_Input[[#This Row],[Replacing lamp or fixture?]]&lt;&gt;"",Table_Custom_Input[[#This Row],[Material cost per unit]]*Table_Custom_Input[[#This Row],[Number of proposed units]]+Table_Custom_Input[[#This Row],[Total labor cost]],"")</f>
        <v/>
      </c>
      <c r="AD11" s="67" t="str">
        <f>IF(Table_Custom_Input[[#This Row],[Estimated incentive]]="","",Table_Custom_Input[[#This Row],[Gross measure Cost]]-Table_Custom_Input[[#This Row],[Estimated incentive]])</f>
        <v/>
      </c>
      <c r="AE11" s="69" t="str">
        <f>IFERROR(Table_Custom_Input[[#This Row],[Net measure cost]]/Table_Custom_Input[[#This Row],[Cost savings]], "")</f>
        <v/>
      </c>
      <c r="AF11" s="85">
        <f>IF(Table_Custom_Input[[#This Row],[Use custom or default operating hours?]]="Default", Table_Custom_Input[[#This Row],[Default annual operating hours]], IF(Table_Custom_Input[[#This Row],[Use custom or default operating hours?]]="Custom", Table_Custom_Input[[#This Row],[Custom annual operating hours]], 0))</f>
        <v>0</v>
      </c>
      <c r="AG11" s="85" t="e">
        <f>INDEX(Table_TRM_Fixtures[Fixture Wattage for Baseline Calculations], MATCH(Table_Custom_Input[[#This Row],[Existing fixture code]], Table_TRM_Fixtures[Fixture Code], 0))</f>
        <v>#N/A</v>
      </c>
      <c r="AH11" s="85" t="e">
        <f>INDEX(Table_TRM_Fixtures[Fixture Watts  (TRM Data)], MATCH(Table_Custom_Input[[#This Row],[Proposed fixture code]], Table_TRM_Fixtures[Fixture Code], 0))</f>
        <v>#N/A</v>
      </c>
      <c r="AI11"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11"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11" s="85" t="e">
        <f>INDEX(Table_TRM_Fixtures[Fixture Wattage for Baseline Calculations], MATCH(Table_Custom_Input[[#This Row],[Existing fixture code]], Table_TRM_Fixtures[Fixture Code], 0))/Table_Custom_Input[[#This Row],[Existing lamps per fixture]]</f>
        <v>#N/A</v>
      </c>
      <c r="AL11" s="85" t="str">
        <f>IF(Table_Custom_Input[[#This Row],[Proposed lamp wattage]]="","",Table_Custom_Input[[#This Row],[Proposed lamp wattage]])</f>
        <v/>
      </c>
      <c r="AM11"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11"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12" spans="2:40" s="18" customFormat="1" ht="15" x14ac:dyDescent="0.2">
      <c r="B12" s="61">
        <v>8</v>
      </c>
      <c r="C12" s="61" t="str">
        <f>IFERROR(INDEX(Table_Custom_Measure_No[Custom Measure No], MATCH(Table_Custom_Input[[#This Row],[Existing lighting type]], Table_Custom_Measure_No[List_Light_Type], 0)), "")</f>
        <v/>
      </c>
      <c r="D12" s="192"/>
      <c r="E12" s="179"/>
      <c r="F12" s="58"/>
      <c r="G12" s="58"/>
      <c r="H12" s="68" t="str">
        <f>IFERROR(INDEX(Table_Bldg_Type[AOH], MATCH(Table_Custom_Input[[#This Row],[Building/space type]], Table_Bldg_Type[List_Bldg_Types], 0)), "")</f>
        <v/>
      </c>
      <c r="I12" s="65"/>
      <c r="J12" s="58"/>
      <c r="K12" s="58"/>
      <c r="L12" s="58"/>
      <c r="M12" s="58"/>
      <c r="N12" s="58"/>
      <c r="O12" s="58"/>
      <c r="P12" s="58"/>
      <c r="Q12" s="58"/>
      <c r="R12" s="58"/>
      <c r="S12" s="58"/>
      <c r="T12" s="58"/>
      <c r="U12" s="58"/>
      <c r="V12" s="58"/>
      <c r="W12" s="66"/>
      <c r="X12" s="66"/>
      <c r="Y12" s="67" t="str">
        <f>IFERROR(Table_Custom_Input[[#This Row],[Energy savings (kWh)]]*Value_Custom_IncentRate, "")</f>
        <v/>
      </c>
      <c r="Z12" s="69" t="str">
        <f>IF(Table_Custom_Input[[#This Row],[Replacing lamp or fixture?]]="Fixture", Table_Custom_Input[[#This Row],[Fixture Replacement: Energy Savings]], IF(Table_Custom_Input[[#This Row],[Replacing lamp or fixture?]]="Lamp", Table_Custom_Input[[#This Row],[Lamp Replacement: Energy Savings]], ""))</f>
        <v/>
      </c>
      <c r="AA12" s="73" t="str">
        <f>IF(Table_Custom_Input[[#This Row],[Replacing lamp or fixture?]]="Fixture", Table_Custom_Input[[#This Row],[Fixture Replacement: Demand Savings]], IF(Table_Custom_Input[[#This Row],[Replacing lamp or fixture?]]="Lamp", Table_Custom_Input[[#This Row],[Lamp Replacement: Demand Savings]], ""))</f>
        <v/>
      </c>
      <c r="AB12" s="67" t="str">
        <f>IFERROR(Table_Custom_Input[[#This Row],[Energy savings (kWh)]]*Input_AvgkWhRate, "")</f>
        <v/>
      </c>
      <c r="AC12" s="67" t="str">
        <f>IF(Table_Custom_Input[[#This Row],[Replacing lamp or fixture?]]&lt;&gt;"",Table_Custom_Input[[#This Row],[Material cost per unit]]*Table_Custom_Input[[#This Row],[Number of proposed units]]+Table_Custom_Input[[#This Row],[Total labor cost]],"")</f>
        <v/>
      </c>
      <c r="AD12" s="67" t="str">
        <f>IF(Table_Custom_Input[[#This Row],[Estimated incentive]]="","",Table_Custom_Input[[#This Row],[Gross measure Cost]]-Table_Custom_Input[[#This Row],[Estimated incentive]])</f>
        <v/>
      </c>
      <c r="AE12" s="69" t="str">
        <f>IFERROR(Table_Custom_Input[[#This Row],[Net measure cost]]/Table_Custom_Input[[#This Row],[Cost savings]], "")</f>
        <v/>
      </c>
      <c r="AF12" s="85">
        <f>IF(Table_Custom_Input[[#This Row],[Use custom or default operating hours?]]="Default", Table_Custom_Input[[#This Row],[Default annual operating hours]], IF(Table_Custom_Input[[#This Row],[Use custom or default operating hours?]]="Custom", Table_Custom_Input[[#This Row],[Custom annual operating hours]], 0))</f>
        <v>0</v>
      </c>
      <c r="AG12" s="85" t="e">
        <f>INDEX(Table_TRM_Fixtures[Fixture Wattage for Baseline Calculations], MATCH(Table_Custom_Input[[#This Row],[Existing fixture code]], Table_TRM_Fixtures[Fixture Code], 0))</f>
        <v>#N/A</v>
      </c>
      <c r="AH12" s="85" t="e">
        <f>INDEX(Table_TRM_Fixtures[Fixture Watts  (TRM Data)], MATCH(Table_Custom_Input[[#This Row],[Proposed fixture code]], Table_TRM_Fixtures[Fixture Code], 0))</f>
        <v>#N/A</v>
      </c>
      <c r="AI12"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12"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12" s="85" t="e">
        <f>INDEX(Table_TRM_Fixtures[Fixture Wattage for Baseline Calculations], MATCH(Table_Custom_Input[[#This Row],[Existing fixture code]], Table_TRM_Fixtures[Fixture Code], 0))/Table_Custom_Input[[#This Row],[Existing lamps per fixture]]</f>
        <v>#N/A</v>
      </c>
      <c r="AL12" s="85" t="str">
        <f>IF(Table_Custom_Input[[#This Row],[Proposed lamp wattage]]="","",Table_Custom_Input[[#This Row],[Proposed lamp wattage]])</f>
        <v/>
      </c>
      <c r="AM12"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12"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13" spans="2:40" s="18" customFormat="1" ht="15" x14ac:dyDescent="0.2">
      <c r="B13" s="61">
        <v>9</v>
      </c>
      <c r="C13" s="61" t="str">
        <f>IFERROR(INDEX(Table_Custom_Measure_No[Custom Measure No], MATCH(Table_Custom_Input[[#This Row],[Existing lighting type]], Table_Custom_Measure_No[List_Light_Type], 0)), "")</f>
        <v/>
      </c>
      <c r="D13" s="192"/>
      <c r="E13" s="179"/>
      <c r="F13" s="58"/>
      <c r="G13" s="58"/>
      <c r="H13" s="68" t="str">
        <f>IFERROR(INDEX(Table_Bldg_Type[AOH], MATCH(Table_Custom_Input[[#This Row],[Building/space type]], Table_Bldg_Type[List_Bldg_Types], 0)), "")</f>
        <v/>
      </c>
      <c r="I13" s="65"/>
      <c r="J13" s="58"/>
      <c r="K13" s="58"/>
      <c r="L13" s="58"/>
      <c r="M13" s="58"/>
      <c r="N13" s="58"/>
      <c r="O13" s="58"/>
      <c r="P13" s="58"/>
      <c r="Q13" s="58"/>
      <c r="R13" s="58"/>
      <c r="S13" s="58"/>
      <c r="T13" s="58"/>
      <c r="U13" s="58"/>
      <c r="V13" s="58"/>
      <c r="W13" s="66"/>
      <c r="X13" s="66"/>
      <c r="Y13" s="67" t="str">
        <f>IFERROR(Table_Custom_Input[[#This Row],[Energy savings (kWh)]]*Value_Custom_IncentRate, "")</f>
        <v/>
      </c>
      <c r="Z13" s="69" t="str">
        <f>IF(Table_Custom_Input[[#This Row],[Replacing lamp or fixture?]]="Fixture", Table_Custom_Input[[#This Row],[Fixture Replacement: Energy Savings]], IF(Table_Custom_Input[[#This Row],[Replacing lamp or fixture?]]="Lamp", Table_Custom_Input[[#This Row],[Lamp Replacement: Energy Savings]], ""))</f>
        <v/>
      </c>
      <c r="AA13" s="73" t="str">
        <f>IF(Table_Custom_Input[[#This Row],[Replacing lamp or fixture?]]="Fixture", Table_Custom_Input[[#This Row],[Fixture Replacement: Demand Savings]], IF(Table_Custom_Input[[#This Row],[Replacing lamp or fixture?]]="Lamp", Table_Custom_Input[[#This Row],[Lamp Replacement: Demand Savings]], ""))</f>
        <v/>
      </c>
      <c r="AB13" s="67" t="str">
        <f>IFERROR(Table_Custom_Input[[#This Row],[Energy savings (kWh)]]*Input_AvgkWhRate, "")</f>
        <v/>
      </c>
      <c r="AC13" s="67" t="str">
        <f>IF(Table_Custom_Input[[#This Row],[Replacing lamp or fixture?]]&lt;&gt;"",Table_Custom_Input[[#This Row],[Material cost per unit]]*Table_Custom_Input[[#This Row],[Number of proposed units]]+Table_Custom_Input[[#This Row],[Total labor cost]],"")</f>
        <v/>
      </c>
      <c r="AD13" s="67" t="str">
        <f>IF(Table_Custom_Input[[#This Row],[Estimated incentive]]="","",Table_Custom_Input[[#This Row],[Gross measure Cost]]-Table_Custom_Input[[#This Row],[Estimated incentive]])</f>
        <v/>
      </c>
      <c r="AE13" s="69" t="str">
        <f>IFERROR(Table_Custom_Input[[#This Row],[Net measure cost]]/Table_Custom_Input[[#This Row],[Cost savings]], "")</f>
        <v/>
      </c>
      <c r="AF13" s="85">
        <f>IF(Table_Custom_Input[[#This Row],[Use custom or default operating hours?]]="Default", Table_Custom_Input[[#This Row],[Default annual operating hours]], IF(Table_Custom_Input[[#This Row],[Use custom or default operating hours?]]="Custom", Table_Custom_Input[[#This Row],[Custom annual operating hours]], 0))</f>
        <v>0</v>
      </c>
      <c r="AG13" s="85" t="e">
        <f>INDEX(Table_TRM_Fixtures[Fixture Wattage for Baseline Calculations], MATCH(Table_Custom_Input[[#This Row],[Existing fixture code]], Table_TRM_Fixtures[Fixture Code], 0))</f>
        <v>#N/A</v>
      </c>
      <c r="AH13" s="85" t="e">
        <f>INDEX(Table_TRM_Fixtures[Fixture Watts  (TRM Data)], MATCH(Table_Custom_Input[[#This Row],[Proposed fixture code]], Table_TRM_Fixtures[Fixture Code], 0))</f>
        <v>#N/A</v>
      </c>
      <c r="AI13"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13"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13" s="85" t="e">
        <f>INDEX(Table_TRM_Fixtures[Fixture Wattage for Baseline Calculations], MATCH(Table_Custom_Input[[#This Row],[Existing fixture code]], Table_TRM_Fixtures[Fixture Code], 0))/Table_Custom_Input[[#This Row],[Existing lamps per fixture]]</f>
        <v>#N/A</v>
      </c>
      <c r="AL13" s="85" t="str">
        <f>IF(Table_Custom_Input[[#This Row],[Proposed lamp wattage]]="","",Table_Custom_Input[[#This Row],[Proposed lamp wattage]])</f>
        <v/>
      </c>
      <c r="AM13"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13"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14" spans="2:40" s="18" customFormat="1" ht="15" x14ac:dyDescent="0.2">
      <c r="B14" s="61">
        <v>10</v>
      </c>
      <c r="C14" s="61" t="str">
        <f>IFERROR(INDEX(Table_Custom_Measure_No[Custom Measure No], MATCH(Table_Custom_Input[[#This Row],[Existing lighting type]], Table_Custom_Measure_No[List_Light_Type], 0)), "")</f>
        <v/>
      </c>
      <c r="D14" s="192"/>
      <c r="E14" s="179"/>
      <c r="F14" s="58"/>
      <c r="G14" s="58"/>
      <c r="H14" s="68" t="str">
        <f>IFERROR(INDEX(Table_Bldg_Type[AOH], MATCH(Table_Custom_Input[[#This Row],[Building/space type]], Table_Bldg_Type[List_Bldg_Types], 0)), "")</f>
        <v/>
      </c>
      <c r="I14" s="65"/>
      <c r="J14" s="58"/>
      <c r="K14" s="58"/>
      <c r="L14" s="58"/>
      <c r="M14" s="58"/>
      <c r="N14" s="58"/>
      <c r="O14" s="58"/>
      <c r="P14" s="58"/>
      <c r="Q14" s="58"/>
      <c r="R14" s="58"/>
      <c r="S14" s="58"/>
      <c r="T14" s="58"/>
      <c r="U14" s="58"/>
      <c r="V14" s="58"/>
      <c r="W14" s="66"/>
      <c r="X14" s="66"/>
      <c r="Y14" s="67" t="str">
        <f>IFERROR(Table_Custom_Input[[#This Row],[Energy savings (kWh)]]*Value_Custom_IncentRate, "")</f>
        <v/>
      </c>
      <c r="Z14" s="69" t="str">
        <f>IF(Table_Custom_Input[[#This Row],[Replacing lamp or fixture?]]="Fixture", Table_Custom_Input[[#This Row],[Fixture Replacement: Energy Savings]], IF(Table_Custom_Input[[#This Row],[Replacing lamp or fixture?]]="Lamp", Table_Custom_Input[[#This Row],[Lamp Replacement: Energy Savings]], ""))</f>
        <v/>
      </c>
      <c r="AA14" s="73" t="str">
        <f>IF(Table_Custom_Input[[#This Row],[Replacing lamp or fixture?]]="Fixture", Table_Custom_Input[[#This Row],[Fixture Replacement: Demand Savings]], IF(Table_Custom_Input[[#This Row],[Replacing lamp or fixture?]]="Lamp", Table_Custom_Input[[#This Row],[Lamp Replacement: Demand Savings]], ""))</f>
        <v/>
      </c>
      <c r="AB14" s="67" t="str">
        <f>IFERROR(Table_Custom_Input[[#This Row],[Energy savings (kWh)]]*Input_AvgkWhRate, "")</f>
        <v/>
      </c>
      <c r="AC14" s="67" t="str">
        <f>IF(Table_Custom_Input[[#This Row],[Replacing lamp or fixture?]]&lt;&gt;"",Table_Custom_Input[[#This Row],[Material cost per unit]]*Table_Custom_Input[[#This Row],[Number of proposed units]]+Table_Custom_Input[[#This Row],[Total labor cost]],"")</f>
        <v/>
      </c>
      <c r="AD14" s="67" t="str">
        <f>IF(Table_Custom_Input[[#This Row],[Estimated incentive]]="","",Table_Custom_Input[[#This Row],[Gross measure Cost]]-Table_Custom_Input[[#This Row],[Estimated incentive]])</f>
        <v/>
      </c>
      <c r="AE14" s="69" t="str">
        <f>IFERROR(Table_Custom_Input[[#This Row],[Net measure cost]]/Table_Custom_Input[[#This Row],[Cost savings]], "")</f>
        <v/>
      </c>
      <c r="AF14" s="85">
        <f>IF(Table_Custom_Input[[#This Row],[Use custom or default operating hours?]]="Default", Table_Custom_Input[[#This Row],[Default annual operating hours]], IF(Table_Custom_Input[[#This Row],[Use custom or default operating hours?]]="Custom", Table_Custom_Input[[#This Row],[Custom annual operating hours]], 0))</f>
        <v>0</v>
      </c>
      <c r="AG14" s="85" t="e">
        <f>INDEX(Table_TRM_Fixtures[Fixture Wattage for Baseline Calculations], MATCH(Table_Custom_Input[[#This Row],[Existing fixture code]], Table_TRM_Fixtures[Fixture Code], 0))</f>
        <v>#N/A</v>
      </c>
      <c r="AH14" s="85" t="e">
        <f>INDEX(Table_TRM_Fixtures[Fixture Watts  (TRM Data)], MATCH(Table_Custom_Input[[#This Row],[Proposed fixture code]], Table_TRM_Fixtures[Fixture Code], 0))</f>
        <v>#N/A</v>
      </c>
      <c r="AI14"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14"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14" s="85" t="e">
        <f>INDEX(Table_TRM_Fixtures[Fixture Wattage for Baseline Calculations], MATCH(Table_Custom_Input[[#This Row],[Existing fixture code]], Table_TRM_Fixtures[Fixture Code], 0))/Table_Custom_Input[[#This Row],[Existing lamps per fixture]]</f>
        <v>#N/A</v>
      </c>
      <c r="AL14" s="85" t="str">
        <f>IF(Table_Custom_Input[[#This Row],[Proposed lamp wattage]]="","",Table_Custom_Input[[#This Row],[Proposed lamp wattage]])</f>
        <v/>
      </c>
      <c r="AM14"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14"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15" spans="2:40" s="18" customFormat="1" ht="15" x14ac:dyDescent="0.2">
      <c r="B15" s="61">
        <v>11</v>
      </c>
      <c r="C15" s="61" t="str">
        <f>IFERROR(INDEX(Table_Custom_Measure_No[Custom Measure No], MATCH(Table_Custom_Input[[#This Row],[Existing lighting type]], Table_Custom_Measure_No[List_Light_Type], 0)), "")</f>
        <v/>
      </c>
      <c r="D15" s="192"/>
      <c r="E15" s="179"/>
      <c r="F15" s="58"/>
      <c r="G15" s="58"/>
      <c r="H15" s="68" t="str">
        <f>IFERROR(INDEX(Table_Bldg_Type[AOH], MATCH(Table_Custom_Input[[#This Row],[Building/space type]], Table_Bldg_Type[List_Bldg_Types], 0)), "")</f>
        <v/>
      </c>
      <c r="I15" s="65"/>
      <c r="J15" s="58"/>
      <c r="K15" s="58"/>
      <c r="L15" s="58"/>
      <c r="M15" s="58"/>
      <c r="N15" s="58"/>
      <c r="O15" s="58"/>
      <c r="P15" s="58"/>
      <c r="Q15" s="58"/>
      <c r="R15" s="58"/>
      <c r="S15" s="58"/>
      <c r="T15" s="58"/>
      <c r="U15" s="58"/>
      <c r="V15" s="58"/>
      <c r="W15" s="66"/>
      <c r="X15" s="66"/>
      <c r="Y15" s="67" t="str">
        <f>IFERROR(Table_Custom_Input[[#This Row],[Energy savings (kWh)]]*Value_Custom_IncentRate, "")</f>
        <v/>
      </c>
      <c r="Z15" s="69" t="str">
        <f>IF(Table_Custom_Input[[#This Row],[Replacing lamp or fixture?]]="Fixture", Table_Custom_Input[[#This Row],[Fixture Replacement: Energy Savings]], IF(Table_Custom_Input[[#This Row],[Replacing lamp or fixture?]]="Lamp", Table_Custom_Input[[#This Row],[Lamp Replacement: Energy Savings]], ""))</f>
        <v/>
      </c>
      <c r="AA15" s="73" t="str">
        <f>IF(Table_Custom_Input[[#This Row],[Replacing lamp or fixture?]]="Fixture", Table_Custom_Input[[#This Row],[Fixture Replacement: Demand Savings]], IF(Table_Custom_Input[[#This Row],[Replacing lamp or fixture?]]="Lamp", Table_Custom_Input[[#This Row],[Lamp Replacement: Demand Savings]], ""))</f>
        <v/>
      </c>
      <c r="AB15" s="67" t="str">
        <f>IFERROR(Table_Custom_Input[[#This Row],[Energy savings (kWh)]]*Input_AvgkWhRate, "")</f>
        <v/>
      </c>
      <c r="AC15" s="67" t="str">
        <f>IF(Table_Custom_Input[[#This Row],[Replacing lamp or fixture?]]&lt;&gt;"",Table_Custom_Input[[#This Row],[Material cost per unit]]*Table_Custom_Input[[#This Row],[Number of proposed units]]+Table_Custom_Input[[#This Row],[Total labor cost]],"")</f>
        <v/>
      </c>
      <c r="AD15" s="67" t="str">
        <f>IF(Table_Custom_Input[[#This Row],[Estimated incentive]]="","",Table_Custom_Input[[#This Row],[Gross measure Cost]]-Table_Custom_Input[[#This Row],[Estimated incentive]])</f>
        <v/>
      </c>
      <c r="AE15" s="69" t="str">
        <f>IFERROR(Table_Custom_Input[[#This Row],[Net measure cost]]/Table_Custom_Input[[#This Row],[Cost savings]], "")</f>
        <v/>
      </c>
      <c r="AF15" s="85">
        <f>IF(Table_Custom_Input[[#This Row],[Use custom or default operating hours?]]="Default", Table_Custom_Input[[#This Row],[Default annual operating hours]], IF(Table_Custom_Input[[#This Row],[Use custom or default operating hours?]]="Custom", Table_Custom_Input[[#This Row],[Custom annual operating hours]], 0))</f>
        <v>0</v>
      </c>
      <c r="AG15" s="85" t="e">
        <f>INDEX(Table_TRM_Fixtures[Fixture Wattage for Baseline Calculations], MATCH(Table_Custom_Input[[#This Row],[Existing fixture code]], Table_TRM_Fixtures[Fixture Code], 0))</f>
        <v>#N/A</v>
      </c>
      <c r="AH15" s="85" t="e">
        <f>INDEX(Table_TRM_Fixtures[Fixture Watts  (TRM Data)], MATCH(Table_Custom_Input[[#This Row],[Proposed fixture code]], Table_TRM_Fixtures[Fixture Code], 0))</f>
        <v>#N/A</v>
      </c>
      <c r="AI15"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15"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15" s="85" t="e">
        <f>INDEX(Table_TRM_Fixtures[Fixture Wattage for Baseline Calculations], MATCH(Table_Custom_Input[[#This Row],[Existing fixture code]], Table_TRM_Fixtures[Fixture Code], 0))/Table_Custom_Input[[#This Row],[Existing lamps per fixture]]</f>
        <v>#N/A</v>
      </c>
      <c r="AL15" s="85" t="str">
        <f>IF(Table_Custom_Input[[#This Row],[Proposed lamp wattage]]="","",Table_Custom_Input[[#This Row],[Proposed lamp wattage]])</f>
        <v/>
      </c>
      <c r="AM15"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15"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16" spans="2:40" s="18" customFormat="1" ht="15" x14ac:dyDescent="0.2">
      <c r="B16" s="61">
        <v>12</v>
      </c>
      <c r="C16" s="61" t="str">
        <f>IFERROR(INDEX(Table_Custom_Measure_No[Custom Measure No], MATCH(Table_Custom_Input[[#This Row],[Existing lighting type]], Table_Custom_Measure_No[List_Light_Type], 0)), "")</f>
        <v/>
      </c>
      <c r="D16" s="192"/>
      <c r="E16" s="179"/>
      <c r="F16" s="58"/>
      <c r="G16" s="58"/>
      <c r="H16" s="68" t="str">
        <f>IFERROR(INDEX(Table_Bldg_Type[AOH], MATCH(Table_Custom_Input[[#This Row],[Building/space type]], Table_Bldg_Type[List_Bldg_Types], 0)), "")</f>
        <v/>
      </c>
      <c r="I16" s="65"/>
      <c r="J16" s="58"/>
      <c r="K16" s="58"/>
      <c r="L16" s="58"/>
      <c r="M16" s="58"/>
      <c r="N16" s="58"/>
      <c r="O16" s="58"/>
      <c r="P16" s="58"/>
      <c r="Q16" s="58"/>
      <c r="R16" s="58"/>
      <c r="S16" s="58"/>
      <c r="T16" s="58"/>
      <c r="U16" s="58"/>
      <c r="V16" s="58"/>
      <c r="W16" s="66"/>
      <c r="X16" s="66"/>
      <c r="Y16" s="67" t="str">
        <f>IFERROR(Table_Custom_Input[[#This Row],[Energy savings (kWh)]]*Value_Custom_IncentRate, "")</f>
        <v/>
      </c>
      <c r="Z16" s="69" t="str">
        <f>IF(Table_Custom_Input[[#This Row],[Replacing lamp or fixture?]]="Fixture", Table_Custom_Input[[#This Row],[Fixture Replacement: Energy Savings]], IF(Table_Custom_Input[[#This Row],[Replacing lamp or fixture?]]="Lamp", Table_Custom_Input[[#This Row],[Lamp Replacement: Energy Savings]], ""))</f>
        <v/>
      </c>
      <c r="AA16" s="73" t="str">
        <f>IF(Table_Custom_Input[[#This Row],[Replacing lamp or fixture?]]="Fixture", Table_Custom_Input[[#This Row],[Fixture Replacement: Demand Savings]], IF(Table_Custom_Input[[#This Row],[Replacing lamp or fixture?]]="Lamp", Table_Custom_Input[[#This Row],[Lamp Replacement: Demand Savings]], ""))</f>
        <v/>
      </c>
      <c r="AB16" s="67" t="str">
        <f>IFERROR(Table_Custom_Input[[#This Row],[Energy savings (kWh)]]*Input_AvgkWhRate, "")</f>
        <v/>
      </c>
      <c r="AC16" s="67" t="str">
        <f>IF(Table_Custom_Input[[#This Row],[Replacing lamp or fixture?]]&lt;&gt;"",Table_Custom_Input[[#This Row],[Material cost per unit]]*Table_Custom_Input[[#This Row],[Number of proposed units]]+Table_Custom_Input[[#This Row],[Total labor cost]],"")</f>
        <v/>
      </c>
      <c r="AD16" s="67" t="str">
        <f>IF(Table_Custom_Input[[#This Row],[Estimated incentive]]="","",Table_Custom_Input[[#This Row],[Gross measure Cost]]-Table_Custom_Input[[#This Row],[Estimated incentive]])</f>
        <v/>
      </c>
      <c r="AE16" s="69" t="str">
        <f>IFERROR(Table_Custom_Input[[#This Row],[Net measure cost]]/Table_Custom_Input[[#This Row],[Cost savings]], "")</f>
        <v/>
      </c>
      <c r="AF16" s="85">
        <f>IF(Table_Custom_Input[[#This Row],[Use custom or default operating hours?]]="Default", Table_Custom_Input[[#This Row],[Default annual operating hours]], IF(Table_Custom_Input[[#This Row],[Use custom or default operating hours?]]="Custom", Table_Custom_Input[[#This Row],[Custom annual operating hours]], 0))</f>
        <v>0</v>
      </c>
      <c r="AG16" s="85" t="e">
        <f>INDEX(Table_TRM_Fixtures[Fixture Wattage for Baseline Calculations], MATCH(Table_Custom_Input[[#This Row],[Existing fixture code]], Table_TRM_Fixtures[Fixture Code], 0))</f>
        <v>#N/A</v>
      </c>
      <c r="AH16" s="85" t="e">
        <f>INDEX(Table_TRM_Fixtures[Fixture Watts  (TRM Data)], MATCH(Table_Custom_Input[[#This Row],[Proposed fixture code]], Table_TRM_Fixtures[Fixture Code], 0))</f>
        <v>#N/A</v>
      </c>
      <c r="AI16"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16"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16" s="85" t="e">
        <f>INDEX(Table_TRM_Fixtures[Fixture Wattage for Baseline Calculations], MATCH(Table_Custom_Input[[#This Row],[Existing fixture code]], Table_TRM_Fixtures[Fixture Code], 0))/Table_Custom_Input[[#This Row],[Existing lamps per fixture]]</f>
        <v>#N/A</v>
      </c>
      <c r="AL16" s="85" t="str">
        <f>IF(Table_Custom_Input[[#This Row],[Proposed lamp wattage]]="","",Table_Custom_Input[[#This Row],[Proposed lamp wattage]])</f>
        <v/>
      </c>
      <c r="AM16"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16"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17" spans="2:40" s="18" customFormat="1" ht="15" x14ac:dyDescent="0.2">
      <c r="B17" s="61">
        <v>13</v>
      </c>
      <c r="C17" s="61" t="str">
        <f>IFERROR(INDEX(Table_Custom_Measure_No[Custom Measure No], MATCH(Table_Custom_Input[[#This Row],[Existing lighting type]], Table_Custom_Measure_No[List_Light_Type], 0)), "")</f>
        <v/>
      </c>
      <c r="D17" s="192"/>
      <c r="E17" s="179"/>
      <c r="F17" s="58"/>
      <c r="G17" s="58"/>
      <c r="H17" s="68" t="str">
        <f>IFERROR(INDEX(Table_Bldg_Type[AOH], MATCH(Table_Custom_Input[[#This Row],[Building/space type]], Table_Bldg_Type[List_Bldg_Types], 0)), "")</f>
        <v/>
      </c>
      <c r="I17" s="65"/>
      <c r="J17" s="58"/>
      <c r="K17" s="58"/>
      <c r="L17" s="58"/>
      <c r="M17" s="58"/>
      <c r="N17" s="58"/>
      <c r="O17" s="58"/>
      <c r="P17" s="58"/>
      <c r="Q17" s="58"/>
      <c r="R17" s="58"/>
      <c r="S17" s="58"/>
      <c r="T17" s="58"/>
      <c r="U17" s="58"/>
      <c r="V17" s="58"/>
      <c r="W17" s="66"/>
      <c r="X17" s="66"/>
      <c r="Y17" s="67" t="str">
        <f>IFERROR(Table_Custom_Input[[#This Row],[Energy savings (kWh)]]*Value_Custom_IncentRate, "")</f>
        <v/>
      </c>
      <c r="Z17" s="69" t="str">
        <f>IF(Table_Custom_Input[[#This Row],[Replacing lamp or fixture?]]="Fixture", Table_Custom_Input[[#This Row],[Fixture Replacement: Energy Savings]], IF(Table_Custom_Input[[#This Row],[Replacing lamp or fixture?]]="Lamp", Table_Custom_Input[[#This Row],[Lamp Replacement: Energy Savings]], ""))</f>
        <v/>
      </c>
      <c r="AA17" s="73" t="str">
        <f>IF(Table_Custom_Input[[#This Row],[Replacing lamp or fixture?]]="Fixture", Table_Custom_Input[[#This Row],[Fixture Replacement: Demand Savings]], IF(Table_Custom_Input[[#This Row],[Replacing lamp or fixture?]]="Lamp", Table_Custom_Input[[#This Row],[Lamp Replacement: Demand Savings]], ""))</f>
        <v/>
      </c>
      <c r="AB17" s="67" t="str">
        <f>IFERROR(Table_Custom_Input[[#This Row],[Energy savings (kWh)]]*Input_AvgkWhRate, "")</f>
        <v/>
      </c>
      <c r="AC17" s="67" t="str">
        <f>IF(Table_Custom_Input[[#This Row],[Replacing lamp or fixture?]]&lt;&gt;"",Table_Custom_Input[[#This Row],[Material cost per unit]]*Table_Custom_Input[[#This Row],[Number of proposed units]]+Table_Custom_Input[[#This Row],[Total labor cost]],"")</f>
        <v/>
      </c>
      <c r="AD17" s="67" t="str">
        <f>IF(Table_Custom_Input[[#This Row],[Estimated incentive]]="","",Table_Custom_Input[[#This Row],[Gross measure Cost]]-Table_Custom_Input[[#This Row],[Estimated incentive]])</f>
        <v/>
      </c>
      <c r="AE17" s="69" t="str">
        <f>IFERROR(Table_Custom_Input[[#This Row],[Net measure cost]]/Table_Custom_Input[[#This Row],[Cost savings]], "")</f>
        <v/>
      </c>
      <c r="AF17" s="85">
        <f>IF(Table_Custom_Input[[#This Row],[Use custom or default operating hours?]]="Default", Table_Custom_Input[[#This Row],[Default annual operating hours]], IF(Table_Custom_Input[[#This Row],[Use custom or default operating hours?]]="Custom", Table_Custom_Input[[#This Row],[Custom annual operating hours]], 0))</f>
        <v>0</v>
      </c>
      <c r="AG17" s="85" t="e">
        <f>INDEX(Table_TRM_Fixtures[Fixture Wattage for Baseline Calculations], MATCH(Table_Custom_Input[[#This Row],[Existing fixture code]], Table_TRM_Fixtures[Fixture Code], 0))</f>
        <v>#N/A</v>
      </c>
      <c r="AH17" s="85" t="e">
        <f>INDEX(Table_TRM_Fixtures[Fixture Watts  (TRM Data)], MATCH(Table_Custom_Input[[#This Row],[Proposed fixture code]], Table_TRM_Fixtures[Fixture Code], 0))</f>
        <v>#N/A</v>
      </c>
      <c r="AI17"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17"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17" s="85" t="e">
        <f>INDEX(Table_TRM_Fixtures[Fixture Wattage for Baseline Calculations], MATCH(Table_Custom_Input[[#This Row],[Existing fixture code]], Table_TRM_Fixtures[Fixture Code], 0))/Table_Custom_Input[[#This Row],[Existing lamps per fixture]]</f>
        <v>#N/A</v>
      </c>
      <c r="AL17" s="85" t="str">
        <f>IF(Table_Custom_Input[[#This Row],[Proposed lamp wattage]]="","",Table_Custom_Input[[#This Row],[Proposed lamp wattage]])</f>
        <v/>
      </c>
      <c r="AM17"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17"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18" spans="2:40" s="18" customFormat="1" ht="15" x14ac:dyDescent="0.2">
      <c r="B18" s="61">
        <v>14</v>
      </c>
      <c r="C18" s="61" t="str">
        <f>IFERROR(INDEX(Table_Custom_Measure_No[Custom Measure No], MATCH(Table_Custom_Input[[#This Row],[Existing lighting type]], Table_Custom_Measure_No[List_Light_Type], 0)), "")</f>
        <v/>
      </c>
      <c r="D18" s="192"/>
      <c r="E18" s="179"/>
      <c r="F18" s="58"/>
      <c r="G18" s="58"/>
      <c r="H18" s="68" t="str">
        <f>IFERROR(INDEX(Table_Bldg_Type[AOH], MATCH(Table_Custom_Input[[#This Row],[Building/space type]], Table_Bldg_Type[List_Bldg_Types], 0)), "")</f>
        <v/>
      </c>
      <c r="I18" s="65"/>
      <c r="J18" s="58"/>
      <c r="K18" s="58"/>
      <c r="L18" s="58"/>
      <c r="M18" s="58"/>
      <c r="N18" s="58"/>
      <c r="O18" s="58"/>
      <c r="P18" s="58"/>
      <c r="Q18" s="58"/>
      <c r="R18" s="58"/>
      <c r="S18" s="58"/>
      <c r="T18" s="58"/>
      <c r="U18" s="58"/>
      <c r="V18" s="58"/>
      <c r="W18" s="66"/>
      <c r="X18" s="66"/>
      <c r="Y18" s="67" t="str">
        <f>IFERROR(Table_Custom_Input[[#This Row],[Energy savings (kWh)]]*Value_Custom_IncentRate, "")</f>
        <v/>
      </c>
      <c r="Z18" s="69" t="str">
        <f>IF(Table_Custom_Input[[#This Row],[Replacing lamp or fixture?]]="Fixture", Table_Custom_Input[[#This Row],[Fixture Replacement: Energy Savings]], IF(Table_Custom_Input[[#This Row],[Replacing lamp or fixture?]]="Lamp", Table_Custom_Input[[#This Row],[Lamp Replacement: Energy Savings]], ""))</f>
        <v/>
      </c>
      <c r="AA18" s="73" t="str">
        <f>IF(Table_Custom_Input[[#This Row],[Replacing lamp or fixture?]]="Fixture", Table_Custom_Input[[#This Row],[Fixture Replacement: Demand Savings]], IF(Table_Custom_Input[[#This Row],[Replacing lamp or fixture?]]="Lamp", Table_Custom_Input[[#This Row],[Lamp Replacement: Demand Savings]], ""))</f>
        <v/>
      </c>
      <c r="AB18" s="67" t="str">
        <f>IFERROR(Table_Custom_Input[[#This Row],[Energy savings (kWh)]]*Input_AvgkWhRate, "")</f>
        <v/>
      </c>
      <c r="AC18" s="67" t="str">
        <f>IF(Table_Custom_Input[[#This Row],[Replacing lamp or fixture?]]&lt;&gt;"",Table_Custom_Input[[#This Row],[Material cost per unit]]*Table_Custom_Input[[#This Row],[Number of proposed units]]+Table_Custom_Input[[#This Row],[Total labor cost]],"")</f>
        <v/>
      </c>
      <c r="AD18" s="67" t="str">
        <f>IF(Table_Custom_Input[[#This Row],[Estimated incentive]]="","",Table_Custom_Input[[#This Row],[Gross measure Cost]]-Table_Custom_Input[[#This Row],[Estimated incentive]])</f>
        <v/>
      </c>
      <c r="AE18" s="69" t="str">
        <f>IFERROR(Table_Custom_Input[[#This Row],[Net measure cost]]/Table_Custom_Input[[#This Row],[Cost savings]], "")</f>
        <v/>
      </c>
      <c r="AF18" s="85">
        <f>IF(Table_Custom_Input[[#This Row],[Use custom or default operating hours?]]="Default", Table_Custom_Input[[#This Row],[Default annual operating hours]], IF(Table_Custom_Input[[#This Row],[Use custom or default operating hours?]]="Custom", Table_Custom_Input[[#This Row],[Custom annual operating hours]], 0))</f>
        <v>0</v>
      </c>
      <c r="AG18" s="85" t="e">
        <f>INDEX(Table_TRM_Fixtures[Fixture Wattage for Baseline Calculations], MATCH(Table_Custom_Input[[#This Row],[Existing fixture code]], Table_TRM_Fixtures[Fixture Code], 0))</f>
        <v>#N/A</v>
      </c>
      <c r="AH18" s="85" t="e">
        <f>INDEX(Table_TRM_Fixtures[Fixture Watts  (TRM Data)], MATCH(Table_Custom_Input[[#This Row],[Proposed fixture code]], Table_TRM_Fixtures[Fixture Code], 0))</f>
        <v>#N/A</v>
      </c>
      <c r="AI18"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18"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18" s="85" t="e">
        <f>INDEX(Table_TRM_Fixtures[Fixture Wattage for Baseline Calculations], MATCH(Table_Custom_Input[[#This Row],[Existing fixture code]], Table_TRM_Fixtures[Fixture Code], 0))/Table_Custom_Input[[#This Row],[Existing lamps per fixture]]</f>
        <v>#N/A</v>
      </c>
      <c r="AL18" s="85" t="str">
        <f>IF(Table_Custom_Input[[#This Row],[Proposed lamp wattage]]="","",Table_Custom_Input[[#This Row],[Proposed lamp wattage]])</f>
        <v/>
      </c>
      <c r="AM18"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18"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19" spans="2:40" s="18" customFormat="1" ht="15" x14ac:dyDescent="0.2">
      <c r="B19" s="61">
        <v>15</v>
      </c>
      <c r="C19" s="61" t="str">
        <f>IFERROR(INDEX(Table_Custom_Measure_No[Custom Measure No], MATCH(Table_Custom_Input[[#This Row],[Existing lighting type]], Table_Custom_Measure_No[List_Light_Type], 0)), "")</f>
        <v/>
      </c>
      <c r="D19" s="192"/>
      <c r="E19" s="179"/>
      <c r="F19" s="58"/>
      <c r="G19" s="58"/>
      <c r="H19" s="68" t="str">
        <f>IFERROR(INDEX(Table_Bldg_Type[AOH], MATCH(Table_Custom_Input[[#This Row],[Building/space type]], Table_Bldg_Type[List_Bldg_Types], 0)), "")</f>
        <v/>
      </c>
      <c r="I19" s="65"/>
      <c r="J19" s="58"/>
      <c r="K19" s="58"/>
      <c r="L19" s="58"/>
      <c r="M19" s="58"/>
      <c r="N19" s="58"/>
      <c r="O19" s="58"/>
      <c r="P19" s="58"/>
      <c r="Q19" s="58"/>
      <c r="R19" s="58"/>
      <c r="S19" s="58"/>
      <c r="T19" s="58"/>
      <c r="U19" s="58"/>
      <c r="V19" s="58"/>
      <c r="W19" s="66"/>
      <c r="X19" s="66"/>
      <c r="Y19" s="67" t="str">
        <f>IFERROR(Table_Custom_Input[[#This Row],[Energy savings (kWh)]]*Value_Custom_IncentRate, "")</f>
        <v/>
      </c>
      <c r="Z19" s="69" t="str">
        <f>IF(Table_Custom_Input[[#This Row],[Replacing lamp or fixture?]]="Fixture", Table_Custom_Input[[#This Row],[Fixture Replacement: Energy Savings]], IF(Table_Custom_Input[[#This Row],[Replacing lamp or fixture?]]="Lamp", Table_Custom_Input[[#This Row],[Lamp Replacement: Energy Savings]], ""))</f>
        <v/>
      </c>
      <c r="AA19" s="73" t="str">
        <f>IF(Table_Custom_Input[[#This Row],[Replacing lamp or fixture?]]="Fixture", Table_Custom_Input[[#This Row],[Fixture Replacement: Demand Savings]], IF(Table_Custom_Input[[#This Row],[Replacing lamp or fixture?]]="Lamp", Table_Custom_Input[[#This Row],[Lamp Replacement: Demand Savings]], ""))</f>
        <v/>
      </c>
      <c r="AB19" s="67" t="str">
        <f>IFERROR(Table_Custom_Input[[#This Row],[Energy savings (kWh)]]*Input_AvgkWhRate, "")</f>
        <v/>
      </c>
      <c r="AC19" s="67" t="str">
        <f>IF(Table_Custom_Input[[#This Row],[Replacing lamp or fixture?]]&lt;&gt;"",Table_Custom_Input[[#This Row],[Material cost per unit]]*Table_Custom_Input[[#This Row],[Number of proposed units]]+Table_Custom_Input[[#This Row],[Total labor cost]],"")</f>
        <v/>
      </c>
      <c r="AD19" s="67" t="str">
        <f>IF(Table_Custom_Input[[#This Row],[Estimated incentive]]="","",Table_Custom_Input[[#This Row],[Gross measure Cost]]-Table_Custom_Input[[#This Row],[Estimated incentive]])</f>
        <v/>
      </c>
      <c r="AE19" s="69" t="str">
        <f>IFERROR(Table_Custom_Input[[#This Row],[Net measure cost]]/Table_Custom_Input[[#This Row],[Cost savings]], "")</f>
        <v/>
      </c>
      <c r="AF19" s="85">
        <f>IF(Table_Custom_Input[[#This Row],[Use custom or default operating hours?]]="Default", Table_Custom_Input[[#This Row],[Default annual operating hours]], IF(Table_Custom_Input[[#This Row],[Use custom or default operating hours?]]="Custom", Table_Custom_Input[[#This Row],[Custom annual operating hours]], 0))</f>
        <v>0</v>
      </c>
      <c r="AG19" s="85" t="e">
        <f>INDEX(Table_TRM_Fixtures[Fixture Wattage for Baseline Calculations], MATCH(Table_Custom_Input[[#This Row],[Existing fixture code]], Table_TRM_Fixtures[Fixture Code], 0))</f>
        <v>#N/A</v>
      </c>
      <c r="AH19" s="85" t="e">
        <f>INDEX(Table_TRM_Fixtures[Fixture Watts  (TRM Data)], MATCH(Table_Custom_Input[[#This Row],[Proposed fixture code]], Table_TRM_Fixtures[Fixture Code], 0))</f>
        <v>#N/A</v>
      </c>
      <c r="AI19"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19"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19" s="85" t="e">
        <f>INDEX(Table_TRM_Fixtures[Fixture Wattage for Baseline Calculations], MATCH(Table_Custom_Input[[#This Row],[Existing fixture code]], Table_TRM_Fixtures[Fixture Code], 0))/Table_Custom_Input[[#This Row],[Existing lamps per fixture]]</f>
        <v>#N/A</v>
      </c>
      <c r="AL19" s="85" t="str">
        <f>IF(Table_Custom_Input[[#This Row],[Proposed lamp wattage]]="","",Table_Custom_Input[[#This Row],[Proposed lamp wattage]])</f>
        <v/>
      </c>
      <c r="AM19"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19"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20" spans="2:40" s="18" customFormat="1" ht="15" x14ac:dyDescent="0.2">
      <c r="B20" s="61">
        <v>16</v>
      </c>
      <c r="C20" s="61" t="str">
        <f>IFERROR(INDEX(Table_Custom_Measure_No[Custom Measure No], MATCH(Table_Custom_Input[[#This Row],[Existing lighting type]], Table_Custom_Measure_No[List_Light_Type], 0)), "")</f>
        <v/>
      </c>
      <c r="D20" s="192"/>
      <c r="E20" s="179"/>
      <c r="F20" s="58"/>
      <c r="G20" s="58"/>
      <c r="H20" s="68" t="str">
        <f>IFERROR(INDEX(Table_Bldg_Type[AOH], MATCH(Table_Custom_Input[[#This Row],[Building/space type]], Table_Bldg_Type[List_Bldg_Types], 0)), "")</f>
        <v/>
      </c>
      <c r="I20" s="65"/>
      <c r="J20" s="58"/>
      <c r="K20" s="58"/>
      <c r="L20" s="58"/>
      <c r="M20" s="58"/>
      <c r="N20" s="58"/>
      <c r="O20" s="58"/>
      <c r="P20" s="58"/>
      <c r="Q20" s="58"/>
      <c r="R20" s="58"/>
      <c r="S20" s="58"/>
      <c r="T20" s="58"/>
      <c r="U20" s="58"/>
      <c r="V20" s="58"/>
      <c r="W20" s="66"/>
      <c r="X20" s="66"/>
      <c r="Y20" s="67" t="str">
        <f>IFERROR(Table_Custom_Input[[#This Row],[Energy savings (kWh)]]*Value_Custom_IncentRate, "")</f>
        <v/>
      </c>
      <c r="Z20" s="69" t="str">
        <f>IF(Table_Custom_Input[[#This Row],[Replacing lamp or fixture?]]="Fixture", Table_Custom_Input[[#This Row],[Fixture Replacement: Energy Savings]], IF(Table_Custom_Input[[#This Row],[Replacing lamp or fixture?]]="Lamp", Table_Custom_Input[[#This Row],[Lamp Replacement: Energy Savings]], ""))</f>
        <v/>
      </c>
      <c r="AA20" s="73" t="str">
        <f>IF(Table_Custom_Input[[#This Row],[Replacing lamp or fixture?]]="Fixture", Table_Custom_Input[[#This Row],[Fixture Replacement: Demand Savings]], IF(Table_Custom_Input[[#This Row],[Replacing lamp or fixture?]]="Lamp", Table_Custom_Input[[#This Row],[Lamp Replacement: Demand Savings]], ""))</f>
        <v/>
      </c>
      <c r="AB20" s="67" t="str">
        <f>IFERROR(Table_Custom_Input[[#This Row],[Energy savings (kWh)]]*Input_AvgkWhRate, "")</f>
        <v/>
      </c>
      <c r="AC20" s="67" t="str">
        <f>IF(Table_Custom_Input[[#This Row],[Replacing lamp or fixture?]]&lt;&gt;"",Table_Custom_Input[[#This Row],[Material cost per unit]]*Table_Custom_Input[[#This Row],[Number of proposed units]]+Table_Custom_Input[[#This Row],[Total labor cost]],"")</f>
        <v/>
      </c>
      <c r="AD20" s="67" t="str">
        <f>IF(Table_Custom_Input[[#This Row],[Estimated incentive]]="","",Table_Custom_Input[[#This Row],[Gross measure Cost]]-Table_Custom_Input[[#This Row],[Estimated incentive]])</f>
        <v/>
      </c>
      <c r="AE20" s="69" t="str">
        <f>IFERROR(Table_Custom_Input[[#This Row],[Net measure cost]]/Table_Custom_Input[[#This Row],[Cost savings]], "")</f>
        <v/>
      </c>
      <c r="AF20" s="85">
        <f>IF(Table_Custom_Input[[#This Row],[Use custom or default operating hours?]]="Default", Table_Custom_Input[[#This Row],[Default annual operating hours]], IF(Table_Custom_Input[[#This Row],[Use custom or default operating hours?]]="Custom", Table_Custom_Input[[#This Row],[Custom annual operating hours]], 0))</f>
        <v>0</v>
      </c>
      <c r="AG20" s="85" t="e">
        <f>INDEX(Table_TRM_Fixtures[Fixture Wattage for Baseline Calculations], MATCH(Table_Custom_Input[[#This Row],[Existing fixture code]], Table_TRM_Fixtures[Fixture Code], 0))</f>
        <v>#N/A</v>
      </c>
      <c r="AH20" s="85" t="e">
        <f>INDEX(Table_TRM_Fixtures[Fixture Watts  (TRM Data)], MATCH(Table_Custom_Input[[#This Row],[Proposed fixture code]], Table_TRM_Fixtures[Fixture Code], 0))</f>
        <v>#N/A</v>
      </c>
      <c r="AI20"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20"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20" s="85" t="e">
        <f>INDEX(Table_TRM_Fixtures[Fixture Wattage for Baseline Calculations], MATCH(Table_Custom_Input[[#This Row],[Existing fixture code]], Table_TRM_Fixtures[Fixture Code], 0))/Table_Custom_Input[[#This Row],[Existing lamps per fixture]]</f>
        <v>#N/A</v>
      </c>
      <c r="AL20" s="85" t="str">
        <f>IF(Table_Custom_Input[[#This Row],[Proposed lamp wattage]]="","",Table_Custom_Input[[#This Row],[Proposed lamp wattage]])</f>
        <v/>
      </c>
      <c r="AM20"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20"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21" spans="2:40" s="18" customFormat="1" ht="15" x14ac:dyDescent="0.2">
      <c r="B21" s="61">
        <v>17</v>
      </c>
      <c r="C21" s="61" t="str">
        <f>IFERROR(INDEX(Table_Custom_Measure_No[Custom Measure No], MATCH(Table_Custom_Input[[#This Row],[Existing lighting type]], Table_Custom_Measure_No[List_Light_Type], 0)), "")</f>
        <v/>
      </c>
      <c r="D21" s="192"/>
      <c r="E21" s="179"/>
      <c r="F21" s="58"/>
      <c r="G21" s="58"/>
      <c r="H21" s="68" t="str">
        <f>IFERROR(INDEX(Table_Bldg_Type[AOH], MATCH(Table_Custom_Input[[#This Row],[Building/space type]], Table_Bldg_Type[List_Bldg_Types], 0)), "")</f>
        <v/>
      </c>
      <c r="I21" s="65"/>
      <c r="J21" s="58"/>
      <c r="K21" s="58"/>
      <c r="L21" s="58"/>
      <c r="M21" s="58"/>
      <c r="N21" s="58"/>
      <c r="O21" s="58"/>
      <c r="P21" s="58"/>
      <c r="Q21" s="58"/>
      <c r="R21" s="58"/>
      <c r="S21" s="58"/>
      <c r="T21" s="58"/>
      <c r="U21" s="58"/>
      <c r="V21" s="58"/>
      <c r="W21" s="66"/>
      <c r="X21" s="66"/>
      <c r="Y21" s="67" t="str">
        <f>IFERROR(Table_Custom_Input[[#This Row],[Energy savings (kWh)]]*Value_Custom_IncentRate, "")</f>
        <v/>
      </c>
      <c r="Z21" s="69" t="str">
        <f>IF(Table_Custom_Input[[#This Row],[Replacing lamp or fixture?]]="Fixture", Table_Custom_Input[[#This Row],[Fixture Replacement: Energy Savings]], IF(Table_Custom_Input[[#This Row],[Replacing lamp or fixture?]]="Lamp", Table_Custom_Input[[#This Row],[Lamp Replacement: Energy Savings]], ""))</f>
        <v/>
      </c>
      <c r="AA21" s="73" t="str">
        <f>IF(Table_Custom_Input[[#This Row],[Replacing lamp or fixture?]]="Fixture", Table_Custom_Input[[#This Row],[Fixture Replacement: Demand Savings]], IF(Table_Custom_Input[[#This Row],[Replacing lamp or fixture?]]="Lamp", Table_Custom_Input[[#This Row],[Lamp Replacement: Demand Savings]], ""))</f>
        <v/>
      </c>
      <c r="AB21" s="67" t="str">
        <f>IFERROR(Table_Custom_Input[[#This Row],[Energy savings (kWh)]]*Input_AvgkWhRate, "")</f>
        <v/>
      </c>
      <c r="AC21" s="67" t="str">
        <f>IF(Table_Custom_Input[[#This Row],[Replacing lamp or fixture?]]&lt;&gt;"",Table_Custom_Input[[#This Row],[Material cost per unit]]*Table_Custom_Input[[#This Row],[Number of proposed units]]+Table_Custom_Input[[#This Row],[Total labor cost]],"")</f>
        <v/>
      </c>
      <c r="AD21" s="67" t="str">
        <f>IF(Table_Custom_Input[[#This Row],[Estimated incentive]]="","",Table_Custom_Input[[#This Row],[Gross measure Cost]]-Table_Custom_Input[[#This Row],[Estimated incentive]])</f>
        <v/>
      </c>
      <c r="AE21" s="69" t="str">
        <f>IFERROR(Table_Custom_Input[[#This Row],[Net measure cost]]/Table_Custom_Input[[#This Row],[Cost savings]], "")</f>
        <v/>
      </c>
      <c r="AF21" s="85">
        <f>IF(Table_Custom_Input[[#This Row],[Use custom or default operating hours?]]="Default", Table_Custom_Input[[#This Row],[Default annual operating hours]], IF(Table_Custom_Input[[#This Row],[Use custom or default operating hours?]]="Custom", Table_Custom_Input[[#This Row],[Custom annual operating hours]], 0))</f>
        <v>0</v>
      </c>
      <c r="AG21" s="85" t="e">
        <f>INDEX(Table_TRM_Fixtures[Fixture Wattage for Baseline Calculations], MATCH(Table_Custom_Input[[#This Row],[Existing fixture code]], Table_TRM_Fixtures[Fixture Code], 0))</f>
        <v>#N/A</v>
      </c>
      <c r="AH21" s="85" t="e">
        <f>INDEX(Table_TRM_Fixtures[Fixture Watts  (TRM Data)], MATCH(Table_Custom_Input[[#This Row],[Proposed fixture code]], Table_TRM_Fixtures[Fixture Code], 0))</f>
        <v>#N/A</v>
      </c>
      <c r="AI21"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21"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21" s="85" t="e">
        <f>INDEX(Table_TRM_Fixtures[Fixture Wattage for Baseline Calculations], MATCH(Table_Custom_Input[[#This Row],[Existing fixture code]], Table_TRM_Fixtures[Fixture Code], 0))/Table_Custom_Input[[#This Row],[Existing lamps per fixture]]</f>
        <v>#N/A</v>
      </c>
      <c r="AL21" s="85" t="str">
        <f>IF(Table_Custom_Input[[#This Row],[Proposed lamp wattage]]="","",Table_Custom_Input[[#This Row],[Proposed lamp wattage]])</f>
        <v/>
      </c>
      <c r="AM21"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21"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22" spans="2:40" s="18" customFormat="1" ht="15" x14ac:dyDescent="0.2">
      <c r="B22" s="61">
        <v>18</v>
      </c>
      <c r="C22" s="61" t="str">
        <f>IFERROR(INDEX(Table_Custom_Measure_No[Custom Measure No], MATCH(Table_Custom_Input[[#This Row],[Existing lighting type]], Table_Custom_Measure_No[List_Light_Type], 0)), "")</f>
        <v/>
      </c>
      <c r="D22" s="192"/>
      <c r="E22" s="179"/>
      <c r="F22" s="58"/>
      <c r="G22" s="58"/>
      <c r="H22" s="68" t="str">
        <f>IFERROR(INDEX(Table_Bldg_Type[AOH], MATCH(Table_Custom_Input[[#This Row],[Building/space type]], Table_Bldg_Type[List_Bldg_Types], 0)), "")</f>
        <v/>
      </c>
      <c r="I22" s="65"/>
      <c r="J22" s="58"/>
      <c r="K22" s="58"/>
      <c r="L22" s="58"/>
      <c r="M22" s="58"/>
      <c r="N22" s="58"/>
      <c r="O22" s="58"/>
      <c r="P22" s="58"/>
      <c r="Q22" s="58"/>
      <c r="R22" s="58"/>
      <c r="S22" s="58"/>
      <c r="T22" s="58"/>
      <c r="U22" s="58"/>
      <c r="V22" s="58"/>
      <c r="W22" s="66"/>
      <c r="X22" s="66"/>
      <c r="Y22" s="67" t="str">
        <f>IFERROR(Table_Custom_Input[[#This Row],[Energy savings (kWh)]]*Value_Custom_IncentRate, "")</f>
        <v/>
      </c>
      <c r="Z22" s="69" t="str">
        <f>IF(Table_Custom_Input[[#This Row],[Replacing lamp or fixture?]]="Fixture", Table_Custom_Input[[#This Row],[Fixture Replacement: Energy Savings]], IF(Table_Custom_Input[[#This Row],[Replacing lamp or fixture?]]="Lamp", Table_Custom_Input[[#This Row],[Lamp Replacement: Energy Savings]], ""))</f>
        <v/>
      </c>
      <c r="AA22" s="73" t="str">
        <f>IF(Table_Custom_Input[[#This Row],[Replacing lamp or fixture?]]="Fixture", Table_Custom_Input[[#This Row],[Fixture Replacement: Demand Savings]], IF(Table_Custom_Input[[#This Row],[Replacing lamp or fixture?]]="Lamp", Table_Custom_Input[[#This Row],[Lamp Replacement: Demand Savings]], ""))</f>
        <v/>
      </c>
      <c r="AB22" s="67" t="str">
        <f>IFERROR(Table_Custom_Input[[#This Row],[Energy savings (kWh)]]*Input_AvgkWhRate, "")</f>
        <v/>
      </c>
      <c r="AC22" s="67" t="str">
        <f>IF(Table_Custom_Input[[#This Row],[Replacing lamp or fixture?]]&lt;&gt;"",Table_Custom_Input[[#This Row],[Material cost per unit]]*Table_Custom_Input[[#This Row],[Number of proposed units]]+Table_Custom_Input[[#This Row],[Total labor cost]],"")</f>
        <v/>
      </c>
      <c r="AD22" s="67" t="str">
        <f>IF(Table_Custom_Input[[#This Row],[Estimated incentive]]="","",Table_Custom_Input[[#This Row],[Gross measure Cost]]-Table_Custom_Input[[#This Row],[Estimated incentive]])</f>
        <v/>
      </c>
      <c r="AE22" s="69" t="str">
        <f>IFERROR(Table_Custom_Input[[#This Row],[Net measure cost]]/Table_Custom_Input[[#This Row],[Cost savings]], "")</f>
        <v/>
      </c>
      <c r="AF22" s="85">
        <f>IF(Table_Custom_Input[[#This Row],[Use custom or default operating hours?]]="Default", Table_Custom_Input[[#This Row],[Default annual operating hours]], IF(Table_Custom_Input[[#This Row],[Use custom or default operating hours?]]="Custom", Table_Custom_Input[[#This Row],[Custom annual operating hours]], 0))</f>
        <v>0</v>
      </c>
      <c r="AG22" s="85" t="e">
        <f>INDEX(Table_TRM_Fixtures[Fixture Wattage for Baseline Calculations], MATCH(Table_Custom_Input[[#This Row],[Existing fixture code]], Table_TRM_Fixtures[Fixture Code], 0))</f>
        <v>#N/A</v>
      </c>
      <c r="AH22" s="85" t="e">
        <f>INDEX(Table_TRM_Fixtures[Fixture Watts  (TRM Data)], MATCH(Table_Custom_Input[[#This Row],[Proposed fixture code]], Table_TRM_Fixtures[Fixture Code], 0))</f>
        <v>#N/A</v>
      </c>
      <c r="AI22"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22"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22" s="85" t="e">
        <f>INDEX(Table_TRM_Fixtures[Fixture Wattage for Baseline Calculations], MATCH(Table_Custom_Input[[#This Row],[Existing fixture code]], Table_TRM_Fixtures[Fixture Code], 0))/Table_Custom_Input[[#This Row],[Existing lamps per fixture]]</f>
        <v>#N/A</v>
      </c>
      <c r="AL22" s="85" t="str">
        <f>IF(Table_Custom_Input[[#This Row],[Proposed lamp wattage]]="","",Table_Custom_Input[[#This Row],[Proposed lamp wattage]])</f>
        <v/>
      </c>
      <c r="AM22"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22"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23" spans="2:40" s="18" customFormat="1" ht="15" x14ac:dyDescent="0.2">
      <c r="B23" s="61">
        <v>19</v>
      </c>
      <c r="C23" s="61" t="str">
        <f>IFERROR(INDEX(Table_Custom_Measure_No[Custom Measure No], MATCH(Table_Custom_Input[[#This Row],[Existing lighting type]], Table_Custom_Measure_No[List_Light_Type], 0)), "")</f>
        <v/>
      </c>
      <c r="D23" s="192"/>
      <c r="E23" s="179"/>
      <c r="F23" s="58"/>
      <c r="G23" s="58"/>
      <c r="H23" s="68" t="str">
        <f>IFERROR(INDEX(Table_Bldg_Type[AOH], MATCH(Table_Custom_Input[[#This Row],[Building/space type]], Table_Bldg_Type[List_Bldg_Types], 0)), "")</f>
        <v/>
      </c>
      <c r="I23" s="65"/>
      <c r="J23" s="58"/>
      <c r="K23" s="58"/>
      <c r="L23" s="58"/>
      <c r="M23" s="58"/>
      <c r="N23" s="58"/>
      <c r="O23" s="58"/>
      <c r="P23" s="58"/>
      <c r="Q23" s="58"/>
      <c r="R23" s="58"/>
      <c r="S23" s="58"/>
      <c r="T23" s="58"/>
      <c r="U23" s="58"/>
      <c r="V23" s="58"/>
      <c r="W23" s="66"/>
      <c r="X23" s="66"/>
      <c r="Y23" s="67" t="str">
        <f>IFERROR(Table_Custom_Input[[#This Row],[Energy savings (kWh)]]*Value_Custom_IncentRate, "")</f>
        <v/>
      </c>
      <c r="Z23" s="69" t="str">
        <f>IF(Table_Custom_Input[[#This Row],[Replacing lamp or fixture?]]="Fixture", Table_Custom_Input[[#This Row],[Fixture Replacement: Energy Savings]], IF(Table_Custom_Input[[#This Row],[Replacing lamp or fixture?]]="Lamp", Table_Custom_Input[[#This Row],[Lamp Replacement: Energy Savings]], ""))</f>
        <v/>
      </c>
      <c r="AA23" s="73" t="str">
        <f>IF(Table_Custom_Input[[#This Row],[Replacing lamp or fixture?]]="Fixture", Table_Custom_Input[[#This Row],[Fixture Replacement: Demand Savings]], IF(Table_Custom_Input[[#This Row],[Replacing lamp or fixture?]]="Lamp", Table_Custom_Input[[#This Row],[Lamp Replacement: Demand Savings]], ""))</f>
        <v/>
      </c>
      <c r="AB23" s="67" t="str">
        <f>IFERROR(Table_Custom_Input[[#This Row],[Energy savings (kWh)]]*Input_AvgkWhRate, "")</f>
        <v/>
      </c>
      <c r="AC23" s="67" t="str">
        <f>IF(Table_Custom_Input[[#This Row],[Replacing lamp or fixture?]]&lt;&gt;"",Table_Custom_Input[[#This Row],[Material cost per unit]]*Table_Custom_Input[[#This Row],[Number of proposed units]]+Table_Custom_Input[[#This Row],[Total labor cost]],"")</f>
        <v/>
      </c>
      <c r="AD23" s="67" t="str">
        <f>IF(Table_Custom_Input[[#This Row],[Estimated incentive]]="","",Table_Custom_Input[[#This Row],[Gross measure Cost]]-Table_Custom_Input[[#This Row],[Estimated incentive]])</f>
        <v/>
      </c>
      <c r="AE23" s="69" t="str">
        <f>IFERROR(Table_Custom_Input[[#This Row],[Net measure cost]]/Table_Custom_Input[[#This Row],[Cost savings]], "")</f>
        <v/>
      </c>
      <c r="AF23" s="85">
        <f>IF(Table_Custom_Input[[#This Row],[Use custom or default operating hours?]]="Default", Table_Custom_Input[[#This Row],[Default annual operating hours]], IF(Table_Custom_Input[[#This Row],[Use custom or default operating hours?]]="Custom", Table_Custom_Input[[#This Row],[Custom annual operating hours]], 0))</f>
        <v>0</v>
      </c>
      <c r="AG23" s="85" t="e">
        <f>INDEX(Table_TRM_Fixtures[Fixture Wattage for Baseline Calculations], MATCH(Table_Custom_Input[[#This Row],[Existing fixture code]], Table_TRM_Fixtures[Fixture Code], 0))</f>
        <v>#N/A</v>
      </c>
      <c r="AH23" s="85" t="e">
        <f>INDEX(Table_TRM_Fixtures[Fixture Watts  (TRM Data)], MATCH(Table_Custom_Input[[#This Row],[Proposed fixture code]], Table_TRM_Fixtures[Fixture Code], 0))</f>
        <v>#N/A</v>
      </c>
      <c r="AI23"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23"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23" s="85" t="e">
        <f>INDEX(Table_TRM_Fixtures[Fixture Wattage for Baseline Calculations], MATCH(Table_Custom_Input[[#This Row],[Existing fixture code]], Table_TRM_Fixtures[Fixture Code], 0))/Table_Custom_Input[[#This Row],[Existing lamps per fixture]]</f>
        <v>#N/A</v>
      </c>
      <c r="AL23" s="85" t="str">
        <f>IF(Table_Custom_Input[[#This Row],[Proposed lamp wattage]]="","",Table_Custom_Input[[#This Row],[Proposed lamp wattage]])</f>
        <v/>
      </c>
      <c r="AM23"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23"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24" spans="2:40" s="18" customFormat="1" ht="15" x14ac:dyDescent="0.2">
      <c r="B24" s="61">
        <v>20</v>
      </c>
      <c r="C24" s="61" t="str">
        <f>IFERROR(INDEX(Table_Custom_Measure_No[Custom Measure No], MATCH(Table_Custom_Input[[#This Row],[Existing lighting type]], Table_Custom_Measure_No[List_Light_Type], 0)), "")</f>
        <v/>
      </c>
      <c r="D24" s="192"/>
      <c r="E24" s="179"/>
      <c r="F24" s="58"/>
      <c r="G24" s="58"/>
      <c r="H24" s="68" t="str">
        <f>IFERROR(INDEX(Table_Bldg_Type[AOH], MATCH(Table_Custom_Input[[#This Row],[Building/space type]], Table_Bldg_Type[List_Bldg_Types], 0)), "")</f>
        <v/>
      </c>
      <c r="I24" s="65"/>
      <c r="J24" s="58"/>
      <c r="K24" s="58"/>
      <c r="L24" s="58"/>
      <c r="M24" s="58"/>
      <c r="N24" s="58"/>
      <c r="O24" s="58"/>
      <c r="P24" s="58"/>
      <c r="Q24" s="58"/>
      <c r="R24" s="58"/>
      <c r="S24" s="58"/>
      <c r="T24" s="58"/>
      <c r="U24" s="58"/>
      <c r="V24" s="58"/>
      <c r="W24" s="66"/>
      <c r="X24" s="66"/>
      <c r="Y24" s="67" t="str">
        <f>IFERROR(Table_Custom_Input[[#This Row],[Energy savings (kWh)]]*Value_Custom_IncentRate, "")</f>
        <v/>
      </c>
      <c r="Z24" s="69" t="str">
        <f>IF(Table_Custom_Input[[#This Row],[Replacing lamp or fixture?]]="Fixture", Table_Custom_Input[[#This Row],[Fixture Replacement: Energy Savings]], IF(Table_Custom_Input[[#This Row],[Replacing lamp or fixture?]]="Lamp", Table_Custom_Input[[#This Row],[Lamp Replacement: Energy Savings]], ""))</f>
        <v/>
      </c>
      <c r="AA24" s="73" t="str">
        <f>IF(Table_Custom_Input[[#This Row],[Replacing lamp or fixture?]]="Fixture", Table_Custom_Input[[#This Row],[Fixture Replacement: Demand Savings]], IF(Table_Custom_Input[[#This Row],[Replacing lamp or fixture?]]="Lamp", Table_Custom_Input[[#This Row],[Lamp Replacement: Demand Savings]], ""))</f>
        <v/>
      </c>
      <c r="AB24" s="67" t="str">
        <f>IFERROR(Table_Custom_Input[[#This Row],[Energy savings (kWh)]]*Input_AvgkWhRate, "")</f>
        <v/>
      </c>
      <c r="AC24" s="67" t="str">
        <f>IF(Table_Custom_Input[[#This Row],[Replacing lamp or fixture?]]&lt;&gt;"",Table_Custom_Input[[#This Row],[Material cost per unit]]*Table_Custom_Input[[#This Row],[Number of proposed units]]+Table_Custom_Input[[#This Row],[Total labor cost]],"")</f>
        <v/>
      </c>
      <c r="AD24" s="67" t="str">
        <f>IF(Table_Custom_Input[[#This Row],[Estimated incentive]]="","",Table_Custom_Input[[#This Row],[Gross measure Cost]]-Table_Custom_Input[[#This Row],[Estimated incentive]])</f>
        <v/>
      </c>
      <c r="AE24" s="69" t="str">
        <f>IFERROR(Table_Custom_Input[[#This Row],[Net measure cost]]/Table_Custom_Input[[#This Row],[Cost savings]], "")</f>
        <v/>
      </c>
      <c r="AF24" s="85">
        <f>IF(Table_Custom_Input[[#This Row],[Use custom or default operating hours?]]="Default", Table_Custom_Input[[#This Row],[Default annual operating hours]], IF(Table_Custom_Input[[#This Row],[Use custom or default operating hours?]]="Custom", Table_Custom_Input[[#This Row],[Custom annual operating hours]], 0))</f>
        <v>0</v>
      </c>
      <c r="AG24" s="85" t="e">
        <f>INDEX(Table_TRM_Fixtures[Fixture Wattage for Baseline Calculations], MATCH(Table_Custom_Input[[#This Row],[Existing fixture code]], Table_TRM_Fixtures[Fixture Code], 0))</f>
        <v>#N/A</v>
      </c>
      <c r="AH24" s="85" t="e">
        <f>INDEX(Table_TRM_Fixtures[Fixture Watts  (TRM Data)], MATCH(Table_Custom_Input[[#This Row],[Proposed fixture code]], Table_TRM_Fixtures[Fixture Code], 0))</f>
        <v>#N/A</v>
      </c>
      <c r="AI24"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24"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24" s="85" t="e">
        <f>INDEX(Table_TRM_Fixtures[Fixture Wattage for Baseline Calculations], MATCH(Table_Custom_Input[[#This Row],[Existing fixture code]], Table_TRM_Fixtures[Fixture Code], 0))/Table_Custom_Input[[#This Row],[Existing lamps per fixture]]</f>
        <v>#N/A</v>
      </c>
      <c r="AL24" s="85" t="str">
        <f>IF(Table_Custom_Input[[#This Row],[Proposed lamp wattage]]="","",Table_Custom_Input[[#This Row],[Proposed lamp wattage]])</f>
        <v/>
      </c>
      <c r="AM24"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24"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25" spans="2:40" s="18" customFormat="1" ht="15" x14ac:dyDescent="0.2">
      <c r="B25" s="61">
        <v>21</v>
      </c>
      <c r="C25" s="61" t="str">
        <f>IFERROR(INDEX(Table_Custom_Measure_No[Custom Measure No], MATCH(Table_Custom_Input[[#This Row],[Existing lighting type]], Table_Custom_Measure_No[List_Light_Type], 0)), "")</f>
        <v/>
      </c>
      <c r="D25" s="192"/>
      <c r="E25" s="179"/>
      <c r="F25" s="58"/>
      <c r="G25" s="58"/>
      <c r="H25" s="68" t="str">
        <f>IFERROR(INDEX(Table_Bldg_Type[AOH], MATCH(Table_Custom_Input[[#This Row],[Building/space type]], Table_Bldg_Type[List_Bldg_Types], 0)), "")</f>
        <v/>
      </c>
      <c r="I25" s="65"/>
      <c r="J25" s="58"/>
      <c r="K25" s="58"/>
      <c r="L25" s="58"/>
      <c r="M25" s="58"/>
      <c r="N25" s="58"/>
      <c r="O25" s="58"/>
      <c r="P25" s="58"/>
      <c r="Q25" s="58"/>
      <c r="R25" s="58"/>
      <c r="S25" s="58"/>
      <c r="T25" s="58"/>
      <c r="U25" s="58"/>
      <c r="V25" s="58"/>
      <c r="W25" s="66"/>
      <c r="X25" s="66"/>
      <c r="Y25" s="67" t="str">
        <f>IFERROR(Table_Custom_Input[[#This Row],[Energy savings (kWh)]]*Value_Custom_IncentRate, "")</f>
        <v/>
      </c>
      <c r="Z25" s="69" t="str">
        <f>IF(Table_Custom_Input[[#This Row],[Replacing lamp or fixture?]]="Fixture", Table_Custom_Input[[#This Row],[Fixture Replacement: Energy Savings]], IF(Table_Custom_Input[[#This Row],[Replacing lamp or fixture?]]="Lamp", Table_Custom_Input[[#This Row],[Lamp Replacement: Energy Savings]], ""))</f>
        <v/>
      </c>
      <c r="AA25" s="73" t="str">
        <f>IF(Table_Custom_Input[[#This Row],[Replacing lamp or fixture?]]="Fixture", Table_Custom_Input[[#This Row],[Fixture Replacement: Demand Savings]], IF(Table_Custom_Input[[#This Row],[Replacing lamp or fixture?]]="Lamp", Table_Custom_Input[[#This Row],[Lamp Replacement: Demand Savings]], ""))</f>
        <v/>
      </c>
      <c r="AB25" s="67" t="str">
        <f>IFERROR(Table_Custom_Input[[#This Row],[Energy savings (kWh)]]*Input_AvgkWhRate, "")</f>
        <v/>
      </c>
      <c r="AC25" s="67" t="str">
        <f>IF(Table_Custom_Input[[#This Row],[Replacing lamp or fixture?]]&lt;&gt;"",Table_Custom_Input[[#This Row],[Material cost per unit]]*Table_Custom_Input[[#This Row],[Number of proposed units]]+Table_Custom_Input[[#This Row],[Total labor cost]],"")</f>
        <v/>
      </c>
      <c r="AD25" s="67" t="str">
        <f>IF(Table_Custom_Input[[#This Row],[Estimated incentive]]="","",Table_Custom_Input[[#This Row],[Gross measure Cost]]-Table_Custom_Input[[#This Row],[Estimated incentive]])</f>
        <v/>
      </c>
      <c r="AE25" s="69" t="str">
        <f>IFERROR(Table_Custom_Input[[#This Row],[Net measure cost]]/Table_Custom_Input[[#This Row],[Cost savings]], "")</f>
        <v/>
      </c>
      <c r="AF25" s="85">
        <f>IF(Table_Custom_Input[[#This Row],[Use custom or default operating hours?]]="Default", Table_Custom_Input[[#This Row],[Default annual operating hours]], IF(Table_Custom_Input[[#This Row],[Use custom or default operating hours?]]="Custom", Table_Custom_Input[[#This Row],[Custom annual operating hours]], 0))</f>
        <v>0</v>
      </c>
      <c r="AG25" s="85" t="e">
        <f>INDEX(Table_TRM_Fixtures[Fixture Wattage for Baseline Calculations], MATCH(Table_Custom_Input[[#This Row],[Existing fixture code]], Table_TRM_Fixtures[Fixture Code], 0))</f>
        <v>#N/A</v>
      </c>
      <c r="AH25" s="85" t="e">
        <f>INDEX(Table_TRM_Fixtures[Fixture Watts  (TRM Data)], MATCH(Table_Custom_Input[[#This Row],[Proposed fixture code]], Table_TRM_Fixtures[Fixture Code], 0))</f>
        <v>#N/A</v>
      </c>
      <c r="AI25"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25"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25" s="85" t="e">
        <f>INDEX(Table_TRM_Fixtures[Fixture Wattage for Baseline Calculations], MATCH(Table_Custom_Input[[#This Row],[Existing fixture code]], Table_TRM_Fixtures[Fixture Code], 0))/Table_Custom_Input[[#This Row],[Existing lamps per fixture]]</f>
        <v>#N/A</v>
      </c>
      <c r="AL25" s="85" t="str">
        <f>IF(Table_Custom_Input[[#This Row],[Proposed lamp wattage]]="","",Table_Custom_Input[[#This Row],[Proposed lamp wattage]])</f>
        <v/>
      </c>
      <c r="AM25"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25"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26" spans="2:40" s="18" customFormat="1" ht="15" x14ac:dyDescent="0.2">
      <c r="B26" s="61">
        <v>22</v>
      </c>
      <c r="C26" s="61" t="str">
        <f>IFERROR(INDEX(Table_Custom_Measure_No[Custom Measure No], MATCH(Table_Custom_Input[[#This Row],[Existing lighting type]], Table_Custom_Measure_No[List_Light_Type], 0)), "")</f>
        <v/>
      </c>
      <c r="D26" s="192"/>
      <c r="E26" s="179"/>
      <c r="F26" s="58"/>
      <c r="G26" s="58"/>
      <c r="H26" s="68" t="str">
        <f>IFERROR(INDEX(Table_Bldg_Type[AOH], MATCH(Table_Custom_Input[[#This Row],[Building/space type]], Table_Bldg_Type[List_Bldg_Types], 0)), "")</f>
        <v/>
      </c>
      <c r="I26" s="65"/>
      <c r="J26" s="58"/>
      <c r="K26" s="58"/>
      <c r="L26" s="58"/>
      <c r="M26" s="58"/>
      <c r="N26" s="58"/>
      <c r="O26" s="58"/>
      <c r="P26" s="58"/>
      <c r="Q26" s="58"/>
      <c r="R26" s="58"/>
      <c r="S26" s="58"/>
      <c r="T26" s="58"/>
      <c r="U26" s="58"/>
      <c r="V26" s="58"/>
      <c r="W26" s="66"/>
      <c r="X26" s="66"/>
      <c r="Y26" s="67" t="str">
        <f>IFERROR(Table_Custom_Input[[#This Row],[Energy savings (kWh)]]*Value_Custom_IncentRate, "")</f>
        <v/>
      </c>
      <c r="Z26" s="69" t="str">
        <f>IF(Table_Custom_Input[[#This Row],[Replacing lamp or fixture?]]="Fixture", Table_Custom_Input[[#This Row],[Fixture Replacement: Energy Savings]], IF(Table_Custom_Input[[#This Row],[Replacing lamp or fixture?]]="Lamp", Table_Custom_Input[[#This Row],[Lamp Replacement: Energy Savings]], ""))</f>
        <v/>
      </c>
      <c r="AA26" s="73" t="str">
        <f>IF(Table_Custom_Input[[#This Row],[Replacing lamp or fixture?]]="Fixture", Table_Custom_Input[[#This Row],[Fixture Replacement: Demand Savings]], IF(Table_Custom_Input[[#This Row],[Replacing lamp or fixture?]]="Lamp", Table_Custom_Input[[#This Row],[Lamp Replacement: Demand Savings]], ""))</f>
        <v/>
      </c>
      <c r="AB26" s="67" t="str">
        <f>IFERROR(Table_Custom_Input[[#This Row],[Energy savings (kWh)]]*Input_AvgkWhRate, "")</f>
        <v/>
      </c>
      <c r="AC26" s="67" t="str">
        <f>IF(Table_Custom_Input[[#This Row],[Replacing lamp or fixture?]]&lt;&gt;"",Table_Custom_Input[[#This Row],[Material cost per unit]]*Table_Custom_Input[[#This Row],[Number of proposed units]]+Table_Custom_Input[[#This Row],[Total labor cost]],"")</f>
        <v/>
      </c>
      <c r="AD26" s="67" t="str">
        <f>IF(Table_Custom_Input[[#This Row],[Estimated incentive]]="","",Table_Custom_Input[[#This Row],[Gross measure Cost]]-Table_Custom_Input[[#This Row],[Estimated incentive]])</f>
        <v/>
      </c>
      <c r="AE26" s="69" t="str">
        <f>IFERROR(Table_Custom_Input[[#This Row],[Net measure cost]]/Table_Custom_Input[[#This Row],[Cost savings]], "")</f>
        <v/>
      </c>
      <c r="AF26" s="85">
        <f>IF(Table_Custom_Input[[#This Row],[Use custom or default operating hours?]]="Default", Table_Custom_Input[[#This Row],[Default annual operating hours]], IF(Table_Custom_Input[[#This Row],[Use custom or default operating hours?]]="Custom", Table_Custom_Input[[#This Row],[Custom annual operating hours]], 0))</f>
        <v>0</v>
      </c>
      <c r="AG26" s="85" t="e">
        <f>INDEX(Table_TRM_Fixtures[Fixture Wattage for Baseline Calculations], MATCH(Table_Custom_Input[[#This Row],[Existing fixture code]], Table_TRM_Fixtures[Fixture Code], 0))</f>
        <v>#N/A</v>
      </c>
      <c r="AH26" s="85" t="e">
        <f>INDEX(Table_TRM_Fixtures[Fixture Watts  (TRM Data)], MATCH(Table_Custom_Input[[#This Row],[Proposed fixture code]], Table_TRM_Fixtures[Fixture Code], 0))</f>
        <v>#N/A</v>
      </c>
      <c r="AI26"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26"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26" s="85" t="e">
        <f>INDEX(Table_TRM_Fixtures[Fixture Wattage for Baseline Calculations], MATCH(Table_Custom_Input[[#This Row],[Existing fixture code]], Table_TRM_Fixtures[Fixture Code], 0))/Table_Custom_Input[[#This Row],[Existing lamps per fixture]]</f>
        <v>#N/A</v>
      </c>
      <c r="AL26" s="85" t="str">
        <f>IF(Table_Custom_Input[[#This Row],[Proposed lamp wattage]]="","",Table_Custom_Input[[#This Row],[Proposed lamp wattage]])</f>
        <v/>
      </c>
      <c r="AM26"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26"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27" spans="2:40" s="18" customFormat="1" ht="15" x14ac:dyDescent="0.2">
      <c r="B27" s="61">
        <v>23</v>
      </c>
      <c r="C27" s="61" t="str">
        <f>IFERROR(INDEX(Table_Custom_Measure_No[Custom Measure No], MATCH(Table_Custom_Input[[#This Row],[Existing lighting type]], Table_Custom_Measure_No[List_Light_Type], 0)), "")</f>
        <v/>
      </c>
      <c r="D27" s="192"/>
      <c r="E27" s="179"/>
      <c r="F27" s="58"/>
      <c r="G27" s="58"/>
      <c r="H27" s="68" t="str">
        <f>IFERROR(INDEX(Table_Bldg_Type[AOH], MATCH(Table_Custom_Input[[#This Row],[Building/space type]], Table_Bldg_Type[List_Bldg_Types], 0)), "")</f>
        <v/>
      </c>
      <c r="I27" s="65"/>
      <c r="J27" s="58"/>
      <c r="K27" s="58"/>
      <c r="L27" s="58"/>
      <c r="M27" s="58"/>
      <c r="N27" s="58"/>
      <c r="O27" s="58"/>
      <c r="P27" s="58"/>
      <c r="Q27" s="58"/>
      <c r="R27" s="58"/>
      <c r="S27" s="58"/>
      <c r="T27" s="58"/>
      <c r="U27" s="58"/>
      <c r="V27" s="58"/>
      <c r="W27" s="66"/>
      <c r="X27" s="66"/>
      <c r="Y27" s="67" t="str">
        <f>IFERROR(Table_Custom_Input[[#This Row],[Energy savings (kWh)]]*Value_Custom_IncentRate, "")</f>
        <v/>
      </c>
      <c r="Z27" s="69" t="str">
        <f>IF(Table_Custom_Input[[#This Row],[Replacing lamp or fixture?]]="Fixture", Table_Custom_Input[[#This Row],[Fixture Replacement: Energy Savings]], IF(Table_Custom_Input[[#This Row],[Replacing lamp or fixture?]]="Lamp", Table_Custom_Input[[#This Row],[Lamp Replacement: Energy Savings]], ""))</f>
        <v/>
      </c>
      <c r="AA27" s="73" t="str">
        <f>IF(Table_Custom_Input[[#This Row],[Replacing lamp or fixture?]]="Fixture", Table_Custom_Input[[#This Row],[Fixture Replacement: Demand Savings]], IF(Table_Custom_Input[[#This Row],[Replacing lamp or fixture?]]="Lamp", Table_Custom_Input[[#This Row],[Lamp Replacement: Demand Savings]], ""))</f>
        <v/>
      </c>
      <c r="AB27" s="67" t="str">
        <f>IFERROR(Table_Custom_Input[[#This Row],[Energy savings (kWh)]]*Input_AvgkWhRate, "")</f>
        <v/>
      </c>
      <c r="AC27" s="67" t="str">
        <f>IF(Table_Custom_Input[[#This Row],[Replacing lamp or fixture?]]&lt;&gt;"",Table_Custom_Input[[#This Row],[Material cost per unit]]*Table_Custom_Input[[#This Row],[Number of proposed units]]+Table_Custom_Input[[#This Row],[Total labor cost]],"")</f>
        <v/>
      </c>
      <c r="AD27" s="67" t="str">
        <f>IF(Table_Custom_Input[[#This Row],[Estimated incentive]]="","",Table_Custom_Input[[#This Row],[Gross measure Cost]]-Table_Custom_Input[[#This Row],[Estimated incentive]])</f>
        <v/>
      </c>
      <c r="AE27" s="69" t="str">
        <f>IFERROR(Table_Custom_Input[[#This Row],[Net measure cost]]/Table_Custom_Input[[#This Row],[Cost savings]], "")</f>
        <v/>
      </c>
      <c r="AF27" s="85">
        <f>IF(Table_Custom_Input[[#This Row],[Use custom or default operating hours?]]="Default", Table_Custom_Input[[#This Row],[Default annual operating hours]], IF(Table_Custom_Input[[#This Row],[Use custom or default operating hours?]]="Custom", Table_Custom_Input[[#This Row],[Custom annual operating hours]], 0))</f>
        <v>0</v>
      </c>
      <c r="AG27" s="85" t="e">
        <f>INDEX(Table_TRM_Fixtures[Fixture Wattage for Baseline Calculations], MATCH(Table_Custom_Input[[#This Row],[Existing fixture code]], Table_TRM_Fixtures[Fixture Code], 0))</f>
        <v>#N/A</v>
      </c>
      <c r="AH27" s="85" t="e">
        <f>INDEX(Table_TRM_Fixtures[Fixture Watts  (TRM Data)], MATCH(Table_Custom_Input[[#This Row],[Proposed fixture code]], Table_TRM_Fixtures[Fixture Code], 0))</f>
        <v>#N/A</v>
      </c>
      <c r="AI27"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27"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27" s="85" t="e">
        <f>INDEX(Table_TRM_Fixtures[Fixture Wattage for Baseline Calculations], MATCH(Table_Custom_Input[[#This Row],[Existing fixture code]], Table_TRM_Fixtures[Fixture Code], 0))/Table_Custom_Input[[#This Row],[Existing lamps per fixture]]</f>
        <v>#N/A</v>
      </c>
      <c r="AL27" s="85" t="str">
        <f>IF(Table_Custom_Input[[#This Row],[Proposed lamp wattage]]="","",Table_Custom_Input[[#This Row],[Proposed lamp wattage]])</f>
        <v/>
      </c>
      <c r="AM27"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27"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28" spans="2:40" s="18" customFormat="1" ht="15" x14ac:dyDescent="0.2">
      <c r="B28" s="61">
        <v>24</v>
      </c>
      <c r="C28" s="61" t="str">
        <f>IFERROR(INDEX(Table_Custom_Measure_No[Custom Measure No], MATCH(Table_Custom_Input[[#This Row],[Existing lighting type]], Table_Custom_Measure_No[List_Light_Type], 0)), "")</f>
        <v/>
      </c>
      <c r="D28" s="192"/>
      <c r="E28" s="179"/>
      <c r="F28" s="58"/>
      <c r="G28" s="58"/>
      <c r="H28" s="68" t="str">
        <f>IFERROR(INDEX(Table_Bldg_Type[AOH], MATCH(Table_Custom_Input[[#This Row],[Building/space type]], Table_Bldg_Type[List_Bldg_Types], 0)), "")</f>
        <v/>
      </c>
      <c r="I28" s="65"/>
      <c r="J28" s="58"/>
      <c r="K28" s="58"/>
      <c r="L28" s="58"/>
      <c r="M28" s="58"/>
      <c r="N28" s="58"/>
      <c r="O28" s="58"/>
      <c r="P28" s="58"/>
      <c r="Q28" s="58"/>
      <c r="R28" s="58"/>
      <c r="S28" s="58"/>
      <c r="T28" s="58"/>
      <c r="U28" s="58"/>
      <c r="V28" s="58"/>
      <c r="W28" s="66"/>
      <c r="X28" s="66"/>
      <c r="Y28" s="67" t="str">
        <f>IFERROR(Table_Custom_Input[[#This Row],[Energy savings (kWh)]]*Value_Custom_IncentRate, "")</f>
        <v/>
      </c>
      <c r="Z28" s="69" t="str">
        <f>IF(Table_Custom_Input[[#This Row],[Replacing lamp or fixture?]]="Fixture", Table_Custom_Input[[#This Row],[Fixture Replacement: Energy Savings]], IF(Table_Custom_Input[[#This Row],[Replacing lamp or fixture?]]="Lamp", Table_Custom_Input[[#This Row],[Lamp Replacement: Energy Savings]], ""))</f>
        <v/>
      </c>
      <c r="AA28" s="73" t="str">
        <f>IF(Table_Custom_Input[[#This Row],[Replacing lamp or fixture?]]="Fixture", Table_Custom_Input[[#This Row],[Fixture Replacement: Demand Savings]], IF(Table_Custom_Input[[#This Row],[Replacing lamp or fixture?]]="Lamp", Table_Custom_Input[[#This Row],[Lamp Replacement: Demand Savings]], ""))</f>
        <v/>
      </c>
      <c r="AB28" s="67" t="str">
        <f>IFERROR(Table_Custom_Input[[#This Row],[Energy savings (kWh)]]*Input_AvgkWhRate, "")</f>
        <v/>
      </c>
      <c r="AC28" s="67" t="str">
        <f>IF(Table_Custom_Input[[#This Row],[Replacing lamp or fixture?]]&lt;&gt;"",Table_Custom_Input[[#This Row],[Material cost per unit]]*Table_Custom_Input[[#This Row],[Number of proposed units]]+Table_Custom_Input[[#This Row],[Total labor cost]],"")</f>
        <v/>
      </c>
      <c r="AD28" s="67" t="str">
        <f>IF(Table_Custom_Input[[#This Row],[Estimated incentive]]="","",Table_Custom_Input[[#This Row],[Gross measure Cost]]-Table_Custom_Input[[#This Row],[Estimated incentive]])</f>
        <v/>
      </c>
      <c r="AE28" s="69" t="str">
        <f>IFERROR(Table_Custom_Input[[#This Row],[Net measure cost]]/Table_Custom_Input[[#This Row],[Cost savings]], "")</f>
        <v/>
      </c>
      <c r="AF28" s="85">
        <f>IF(Table_Custom_Input[[#This Row],[Use custom or default operating hours?]]="Default", Table_Custom_Input[[#This Row],[Default annual operating hours]], IF(Table_Custom_Input[[#This Row],[Use custom or default operating hours?]]="Custom", Table_Custom_Input[[#This Row],[Custom annual operating hours]], 0))</f>
        <v>0</v>
      </c>
      <c r="AG28" s="85" t="e">
        <f>INDEX(Table_TRM_Fixtures[Fixture Wattage for Baseline Calculations], MATCH(Table_Custom_Input[[#This Row],[Existing fixture code]], Table_TRM_Fixtures[Fixture Code], 0))</f>
        <v>#N/A</v>
      </c>
      <c r="AH28" s="85" t="e">
        <f>INDEX(Table_TRM_Fixtures[Fixture Watts  (TRM Data)], MATCH(Table_Custom_Input[[#This Row],[Proposed fixture code]], Table_TRM_Fixtures[Fixture Code], 0))</f>
        <v>#N/A</v>
      </c>
      <c r="AI28"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28"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28" s="85" t="e">
        <f>INDEX(Table_TRM_Fixtures[Fixture Wattage for Baseline Calculations], MATCH(Table_Custom_Input[[#This Row],[Existing fixture code]], Table_TRM_Fixtures[Fixture Code], 0))/Table_Custom_Input[[#This Row],[Existing lamps per fixture]]</f>
        <v>#N/A</v>
      </c>
      <c r="AL28" s="85" t="str">
        <f>IF(Table_Custom_Input[[#This Row],[Proposed lamp wattage]]="","",Table_Custom_Input[[#This Row],[Proposed lamp wattage]])</f>
        <v/>
      </c>
      <c r="AM28"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28"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29" spans="2:40" s="18" customFormat="1" ht="15" x14ac:dyDescent="0.2">
      <c r="B29" s="61">
        <v>25</v>
      </c>
      <c r="C29" s="61" t="str">
        <f>IFERROR(INDEX(Table_Custom_Measure_No[Custom Measure No], MATCH(Table_Custom_Input[[#This Row],[Existing lighting type]], Table_Custom_Measure_No[List_Light_Type], 0)), "")</f>
        <v/>
      </c>
      <c r="D29" s="192"/>
      <c r="E29" s="179"/>
      <c r="F29" s="58"/>
      <c r="G29" s="58"/>
      <c r="H29" s="68" t="str">
        <f>IFERROR(INDEX(Table_Bldg_Type[AOH], MATCH(Table_Custom_Input[[#This Row],[Building/space type]], Table_Bldg_Type[List_Bldg_Types], 0)), "")</f>
        <v/>
      </c>
      <c r="I29" s="65"/>
      <c r="J29" s="58"/>
      <c r="K29" s="58"/>
      <c r="L29" s="58"/>
      <c r="M29" s="58"/>
      <c r="N29" s="58"/>
      <c r="O29" s="58"/>
      <c r="P29" s="58"/>
      <c r="Q29" s="58"/>
      <c r="R29" s="58"/>
      <c r="S29" s="58"/>
      <c r="T29" s="58"/>
      <c r="U29" s="58"/>
      <c r="V29" s="58"/>
      <c r="W29" s="66"/>
      <c r="X29" s="66"/>
      <c r="Y29" s="67" t="str">
        <f>IFERROR(Table_Custom_Input[[#This Row],[Energy savings (kWh)]]*Value_Custom_IncentRate, "")</f>
        <v/>
      </c>
      <c r="Z29" s="69" t="str">
        <f>IF(Table_Custom_Input[[#This Row],[Replacing lamp or fixture?]]="Fixture", Table_Custom_Input[[#This Row],[Fixture Replacement: Energy Savings]], IF(Table_Custom_Input[[#This Row],[Replacing lamp or fixture?]]="Lamp", Table_Custom_Input[[#This Row],[Lamp Replacement: Energy Savings]], ""))</f>
        <v/>
      </c>
      <c r="AA29" s="73" t="str">
        <f>IF(Table_Custom_Input[[#This Row],[Replacing lamp or fixture?]]="Fixture", Table_Custom_Input[[#This Row],[Fixture Replacement: Demand Savings]], IF(Table_Custom_Input[[#This Row],[Replacing lamp or fixture?]]="Lamp", Table_Custom_Input[[#This Row],[Lamp Replacement: Demand Savings]], ""))</f>
        <v/>
      </c>
      <c r="AB29" s="67" t="str">
        <f>IFERROR(Table_Custom_Input[[#This Row],[Energy savings (kWh)]]*Input_AvgkWhRate, "")</f>
        <v/>
      </c>
      <c r="AC29" s="67" t="str">
        <f>IF(Table_Custom_Input[[#This Row],[Replacing lamp or fixture?]]&lt;&gt;"",Table_Custom_Input[[#This Row],[Material cost per unit]]*Table_Custom_Input[[#This Row],[Number of proposed units]]+Table_Custom_Input[[#This Row],[Total labor cost]],"")</f>
        <v/>
      </c>
      <c r="AD29" s="67" t="str">
        <f>IF(Table_Custom_Input[[#This Row],[Estimated incentive]]="","",Table_Custom_Input[[#This Row],[Gross measure Cost]]-Table_Custom_Input[[#This Row],[Estimated incentive]])</f>
        <v/>
      </c>
      <c r="AE29" s="69" t="str">
        <f>IFERROR(Table_Custom_Input[[#This Row],[Net measure cost]]/Table_Custom_Input[[#This Row],[Cost savings]], "")</f>
        <v/>
      </c>
      <c r="AF29" s="85">
        <f>IF(Table_Custom_Input[[#This Row],[Use custom or default operating hours?]]="Default", Table_Custom_Input[[#This Row],[Default annual operating hours]], IF(Table_Custom_Input[[#This Row],[Use custom or default operating hours?]]="Custom", Table_Custom_Input[[#This Row],[Custom annual operating hours]], 0))</f>
        <v>0</v>
      </c>
      <c r="AG29" s="85" t="e">
        <f>INDEX(Table_TRM_Fixtures[Fixture Wattage for Baseline Calculations], MATCH(Table_Custom_Input[[#This Row],[Existing fixture code]], Table_TRM_Fixtures[Fixture Code], 0))</f>
        <v>#N/A</v>
      </c>
      <c r="AH29" s="85" t="e">
        <f>INDEX(Table_TRM_Fixtures[Fixture Watts  (TRM Data)], MATCH(Table_Custom_Input[[#This Row],[Proposed fixture code]], Table_TRM_Fixtures[Fixture Code], 0))</f>
        <v>#N/A</v>
      </c>
      <c r="AI29"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29"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29" s="85" t="e">
        <f>INDEX(Table_TRM_Fixtures[Fixture Wattage for Baseline Calculations], MATCH(Table_Custom_Input[[#This Row],[Existing fixture code]], Table_TRM_Fixtures[Fixture Code], 0))/Table_Custom_Input[[#This Row],[Existing lamps per fixture]]</f>
        <v>#N/A</v>
      </c>
      <c r="AL29" s="85" t="str">
        <f>IF(Table_Custom_Input[[#This Row],[Proposed lamp wattage]]="","",Table_Custom_Input[[#This Row],[Proposed lamp wattage]])</f>
        <v/>
      </c>
      <c r="AM29"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29"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30" spans="2:40" s="18" customFormat="1" ht="15" x14ac:dyDescent="0.2">
      <c r="B30" s="61">
        <v>26</v>
      </c>
      <c r="C30" s="61" t="str">
        <f>IFERROR(INDEX(Table_Custom_Measure_No[Custom Measure No], MATCH(Table_Custom_Input[[#This Row],[Existing lighting type]], Table_Custom_Measure_No[List_Light_Type], 0)), "")</f>
        <v/>
      </c>
      <c r="D30" s="192"/>
      <c r="E30" s="179"/>
      <c r="F30" s="58"/>
      <c r="G30" s="58"/>
      <c r="H30" s="68" t="str">
        <f>IFERROR(INDEX(Table_Bldg_Type[AOH], MATCH(Table_Custom_Input[[#This Row],[Building/space type]], Table_Bldg_Type[List_Bldg_Types], 0)), "")</f>
        <v/>
      </c>
      <c r="I30" s="65"/>
      <c r="J30" s="58"/>
      <c r="K30" s="58"/>
      <c r="L30" s="58"/>
      <c r="M30" s="58"/>
      <c r="N30" s="58"/>
      <c r="O30" s="58"/>
      <c r="P30" s="58"/>
      <c r="Q30" s="58"/>
      <c r="R30" s="58"/>
      <c r="S30" s="58"/>
      <c r="T30" s="58"/>
      <c r="U30" s="58"/>
      <c r="V30" s="58"/>
      <c r="W30" s="66"/>
      <c r="X30" s="66"/>
      <c r="Y30" s="67" t="str">
        <f>IFERROR(Table_Custom_Input[[#This Row],[Energy savings (kWh)]]*Value_Custom_IncentRate, "")</f>
        <v/>
      </c>
      <c r="Z30" s="69" t="str">
        <f>IF(Table_Custom_Input[[#This Row],[Replacing lamp or fixture?]]="Fixture", Table_Custom_Input[[#This Row],[Fixture Replacement: Energy Savings]], IF(Table_Custom_Input[[#This Row],[Replacing lamp or fixture?]]="Lamp", Table_Custom_Input[[#This Row],[Lamp Replacement: Energy Savings]], ""))</f>
        <v/>
      </c>
      <c r="AA30" s="73" t="str">
        <f>IF(Table_Custom_Input[[#This Row],[Replacing lamp or fixture?]]="Fixture", Table_Custom_Input[[#This Row],[Fixture Replacement: Demand Savings]], IF(Table_Custom_Input[[#This Row],[Replacing lamp or fixture?]]="Lamp", Table_Custom_Input[[#This Row],[Lamp Replacement: Demand Savings]], ""))</f>
        <v/>
      </c>
      <c r="AB30" s="67" t="str">
        <f>IFERROR(Table_Custom_Input[[#This Row],[Energy savings (kWh)]]*Input_AvgkWhRate, "")</f>
        <v/>
      </c>
      <c r="AC30" s="67" t="str">
        <f>IF(Table_Custom_Input[[#This Row],[Replacing lamp or fixture?]]&lt;&gt;"",Table_Custom_Input[[#This Row],[Material cost per unit]]*Table_Custom_Input[[#This Row],[Number of proposed units]]+Table_Custom_Input[[#This Row],[Total labor cost]],"")</f>
        <v/>
      </c>
      <c r="AD30" s="67" t="str">
        <f>IF(Table_Custom_Input[[#This Row],[Estimated incentive]]="","",Table_Custom_Input[[#This Row],[Gross measure Cost]]-Table_Custom_Input[[#This Row],[Estimated incentive]])</f>
        <v/>
      </c>
      <c r="AE30" s="69" t="str">
        <f>IFERROR(Table_Custom_Input[[#This Row],[Net measure cost]]/Table_Custom_Input[[#This Row],[Cost savings]], "")</f>
        <v/>
      </c>
      <c r="AF30" s="85">
        <f>IF(Table_Custom_Input[[#This Row],[Use custom or default operating hours?]]="Default", Table_Custom_Input[[#This Row],[Default annual operating hours]], IF(Table_Custom_Input[[#This Row],[Use custom or default operating hours?]]="Custom", Table_Custom_Input[[#This Row],[Custom annual operating hours]], 0))</f>
        <v>0</v>
      </c>
      <c r="AG30" s="85" t="e">
        <f>INDEX(Table_TRM_Fixtures[Fixture Wattage for Baseline Calculations], MATCH(Table_Custom_Input[[#This Row],[Existing fixture code]], Table_TRM_Fixtures[Fixture Code], 0))</f>
        <v>#N/A</v>
      </c>
      <c r="AH30" s="85" t="e">
        <f>INDEX(Table_TRM_Fixtures[Fixture Watts  (TRM Data)], MATCH(Table_Custom_Input[[#This Row],[Proposed fixture code]], Table_TRM_Fixtures[Fixture Code], 0))</f>
        <v>#N/A</v>
      </c>
      <c r="AI30"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30"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30" s="85" t="e">
        <f>INDEX(Table_TRM_Fixtures[Fixture Wattage for Baseline Calculations], MATCH(Table_Custom_Input[[#This Row],[Existing fixture code]], Table_TRM_Fixtures[Fixture Code], 0))/Table_Custom_Input[[#This Row],[Existing lamps per fixture]]</f>
        <v>#N/A</v>
      </c>
      <c r="AL30" s="85" t="str">
        <f>IF(Table_Custom_Input[[#This Row],[Proposed lamp wattage]]="","",Table_Custom_Input[[#This Row],[Proposed lamp wattage]])</f>
        <v/>
      </c>
      <c r="AM30"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30"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31" spans="2:40" s="18" customFormat="1" ht="15" x14ac:dyDescent="0.2">
      <c r="B31" s="61">
        <v>27</v>
      </c>
      <c r="C31" s="61" t="str">
        <f>IFERROR(INDEX(Table_Custom_Measure_No[Custom Measure No], MATCH(Table_Custom_Input[[#This Row],[Existing lighting type]], Table_Custom_Measure_No[List_Light_Type], 0)), "")</f>
        <v/>
      </c>
      <c r="D31" s="192"/>
      <c r="E31" s="179"/>
      <c r="F31" s="58"/>
      <c r="G31" s="58"/>
      <c r="H31" s="68" t="str">
        <f>IFERROR(INDEX(Table_Bldg_Type[AOH], MATCH(Table_Custom_Input[[#This Row],[Building/space type]], Table_Bldg_Type[List_Bldg_Types], 0)), "")</f>
        <v/>
      </c>
      <c r="I31" s="65"/>
      <c r="J31" s="58"/>
      <c r="K31" s="58"/>
      <c r="L31" s="58"/>
      <c r="M31" s="58"/>
      <c r="N31" s="58"/>
      <c r="O31" s="58"/>
      <c r="P31" s="58"/>
      <c r="Q31" s="58"/>
      <c r="R31" s="58"/>
      <c r="S31" s="58"/>
      <c r="T31" s="58"/>
      <c r="U31" s="58"/>
      <c r="V31" s="58"/>
      <c r="W31" s="66"/>
      <c r="X31" s="66"/>
      <c r="Y31" s="67" t="str">
        <f>IFERROR(Table_Custom_Input[[#This Row],[Energy savings (kWh)]]*Value_Custom_IncentRate, "")</f>
        <v/>
      </c>
      <c r="Z31" s="69" t="str">
        <f>IF(Table_Custom_Input[[#This Row],[Replacing lamp or fixture?]]="Fixture", Table_Custom_Input[[#This Row],[Fixture Replacement: Energy Savings]], IF(Table_Custom_Input[[#This Row],[Replacing lamp or fixture?]]="Lamp", Table_Custom_Input[[#This Row],[Lamp Replacement: Energy Savings]], ""))</f>
        <v/>
      </c>
      <c r="AA31" s="73" t="str">
        <f>IF(Table_Custom_Input[[#This Row],[Replacing lamp or fixture?]]="Fixture", Table_Custom_Input[[#This Row],[Fixture Replacement: Demand Savings]], IF(Table_Custom_Input[[#This Row],[Replacing lamp or fixture?]]="Lamp", Table_Custom_Input[[#This Row],[Lamp Replacement: Demand Savings]], ""))</f>
        <v/>
      </c>
      <c r="AB31" s="67" t="str">
        <f>IFERROR(Table_Custom_Input[[#This Row],[Energy savings (kWh)]]*Input_AvgkWhRate, "")</f>
        <v/>
      </c>
      <c r="AC31" s="67" t="str">
        <f>IF(Table_Custom_Input[[#This Row],[Replacing lamp or fixture?]]&lt;&gt;"",Table_Custom_Input[[#This Row],[Material cost per unit]]*Table_Custom_Input[[#This Row],[Number of proposed units]]+Table_Custom_Input[[#This Row],[Total labor cost]],"")</f>
        <v/>
      </c>
      <c r="AD31" s="67" t="str">
        <f>IF(Table_Custom_Input[[#This Row],[Estimated incentive]]="","",Table_Custom_Input[[#This Row],[Gross measure Cost]]-Table_Custom_Input[[#This Row],[Estimated incentive]])</f>
        <v/>
      </c>
      <c r="AE31" s="69" t="str">
        <f>IFERROR(Table_Custom_Input[[#This Row],[Net measure cost]]/Table_Custom_Input[[#This Row],[Cost savings]], "")</f>
        <v/>
      </c>
      <c r="AF31" s="85">
        <f>IF(Table_Custom_Input[[#This Row],[Use custom or default operating hours?]]="Default", Table_Custom_Input[[#This Row],[Default annual operating hours]], IF(Table_Custom_Input[[#This Row],[Use custom or default operating hours?]]="Custom", Table_Custom_Input[[#This Row],[Custom annual operating hours]], 0))</f>
        <v>0</v>
      </c>
      <c r="AG31" s="85" t="e">
        <f>INDEX(Table_TRM_Fixtures[Fixture Wattage for Baseline Calculations], MATCH(Table_Custom_Input[[#This Row],[Existing fixture code]], Table_TRM_Fixtures[Fixture Code], 0))</f>
        <v>#N/A</v>
      </c>
      <c r="AH31" s="85" t="e">
        <f>INDEX(Table_TRM_Fixtures[Fixture Watts  (TRM Data)], MATCH(Table_Custom_Input[[#This Row],[Proposed fixture code]], Table_TRM_Fixtures[Fixture Code], 0))</f>
        <v>#N/A</v>
      </c>
      <c r="AI31"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31"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31" s="85" t="e">
        <f>INDEX(Table_TRM_Fixtures[Fixture Wattage for Baseline Calculations], MATCH(Table_Custom_Input[[#This Row],[Existing fixture code]], Table_TRM_Fixtures[Fixture Code], 0))/Table_Custom_Input[[#This Row],[Existing lamps per fixture]]</f>
        <v>#N/A</v>
      </c>
      <c r="AL31" s="85" t="str">
        <f>IF(Table_Custom_Input[[#This Row],[Proposed lamp wattage]]="","",Table_Custom_Input[[#This Row],[Proposed lamp wattage]])</f>
        <v/>
      </c>
      <c r="AM31"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31"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32" spans="2:40" s="18" customFormat="1" ht="15" x14ac:dyDescent="0.2">
      <c r="B32" s="61">
        <v>28</v>
      </c>
      <c r="C32" s="61" t="str">
        <f>IFERROR(INDEX(Table_Custom_Measure_No[Custom Measure No], MATCH(Table_Custom_Input[[#This Row],[Existing lighting type]], Table_Custom_Measure_No[List_Light_Type], 0)), "")</f>
        <v/>
      </c>
      <c r="D32" s="192"/>
      <c r="E32" s="179"/>
      <c r="F32" s="58"/>
      <c r="G32" s="58"/>
      <c r="H32" s="68" t="str">
        <f>IFERROR(INDEX(Table_Bldg_Type[AOH], MATCH(Table_Custom_Input[[#This Row],[Building/space type]], Table_Bldg_Type[List_Bldg_Types], 0)), "")</f>
        <v/>
      </c>
      <c r="I32" s="65"/>
      <c r="J32" s="58"/>
      <c r="K32" s="58"/>
      <c r="L32" s="58"/>
      <c r="M32" s="58"/>
      <c r="N32" s="58"/>
      <c r="O32" s="58"/>
      <c r="P32" s="58"/>
      <c r="Q32" s="58"/>
      <c r="R32" s="58"/>
      <c r="S32" s="58"/>
      <c r="T32" s="58"/>
      <c r="U32" s="58"/>
      <c r="V32" s="58"/>
      <c r="W32" s="66"/>
      <c r="X32" s="66"/>
      <c r="Y32" s="67" t="str">
        <f>IFERROR(Table_Custom_Input[[#This Row],[Energy savings (kWh)]]*Value_Custom_IncentRate, "")</f>
        <v/>
      </c>
      <c r="Z32" s="69" t="str">
        <f>IF(Table_Custom_Input[[#This Row],[Replacing lamp or fixture?]]="Fixture", Table_Custom_Input[[#This Row],[Fixture Replacement: Energy Savings]], IF(Table_Custom_Input[[#This Row],[Replacing lamp or fixture?]]="Lamp", Table_Custom_Input[[#This Row],[Lamp Replacement: Energy Savings]], ""))</f>
        <v/>
      </c>
      <c r="AA32" s="73" t="str">
        <f>IF(Table_Custom_Input[[#This Row],[Replacing lamp or fixture?]]="Fixture", Table_Custom_Input[[#This Row],[Fixture Replacement: Demand Savings]], IF(Table_Custom_Input[[#This Row],[Replacing lamp or fixture?]]="Lamp", Table_Custom_Input[[#This Row],[Lamp Replacement: Demand Savings]], ""))</f>
        <v/>
      </c>
      <c r="AB32" s="67" t="str">
        <f>IFERROR(Table_Custom_Input[[#This Row],[Energy savings (kWh)]]*Input_AvgkWhRate, "")</f>
        <v/>
      </c>
      <c r="AC32" s="67" t="str">
        <f>IF(Table_Custom_Input[[#This Row],[Replacing lamp or fixture?]]&lt;&gt;"",Table_Custom_Input[[#This Row],[Material cost per unit]]*Table_Custom_Input[[#This Row],[Number of proposed units]]+Table_Custom_Input[[#This Row],[Total labor cost]],"")</f>
        <v/>
      </c>
      <c r="AD32" s="67" t="str">
        <f>IF(Table_Custom_Input[[#This Row],[Estimated incentive]]="","",Table_Custom_Input[[#This Row],[Gross measure Cost]]-Table_Custom_Input[[#This Row],[Estimated incentive]])</f>
        <v/>
      </c>
      <c r="AE32" s="69" t="str">
        <f>IFERROR(Table_Custom_Input[[#This Row],[Net measure cost]]/Table_Custom_Input[[#This Row],[Cost savings]], "")</f>
        <v/>
      </c>
      <c r="AF32" s="85">
        <f>IF(Table_Custom_Input[[#This Row],[Use custom or default operating hours?]]="Default", Table_Custom_Input[[#This Row],[Default annual operating hours]], IF(Table_Custom_Input[[#This Row],[Use custom or default operating hours?]]="Custom", Table_Custom_Input[[#This Row],[Custom annual operating hours]], 0))</f>
        <v>0</v>
      </c>
      <c r="AG32" s="85" t="e">
        <f>INDEX(Table_TRM_Fixtures[Fixture Wattage for Baseline Calculations], MATCH(Table_Custom_Input[[#This Row],[Existing fixture code]], Table_TRM_Fixtures[Fixture Code], 0))</f>
        <v>#N/A</v>
      </c>
      <c r="AH32" s="85" t="e">
        <f>INDEX(Table_TRM_Fixtures[Fixture Watts  (TRM Data)], MATCH(Table_Custom_Input[[#This Row],[Proposed fixture code]], Table_TRM_Fixtures[Fixture Code], 0))</f>
        <v>#N/A</v>
      </c>
      <c r="AI32"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32"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32" s="85" t="e">
        <f>INDEX(Table_TRM_Fixtures[Fixture Wattage for Baseline Calculations], MATCH(Table_Custom_Input[[#This Row],[Existing fixture code]], Table_TRM_Fixtures[Fixture Code], 0))/Table_Custom_Input[[#This Row],[Existing lamps per fixture]]</f>
        <v>#N/A</v>
      </c>
      <c r="AL32" s="85" t="str">
        <f>IF(Table_Custom_Input[[#This Row],[Proposed lamp wattage]]="","",Table_Custom_Input[[#This Row],[Proposed lamp wattage]])</f>
        <v/>
      </c>
      <c r="AM32"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32"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33" spans="2:40" s="18" customFormat="1" ht="15" x14ac:dyDescent="0.2">
      <c r="B33" s="61">
        <v>29</v>
      </c>
      <c r="C33" s="61" t="str">
        <f>IFERROR(INDEX(Table_Custom_Measure_No[Custom Measure No], MATCH(Table_Custom_Input[[#This Row],[Existing lighting type]], Table_Custom_Measure_No[List_Light_Type], 0)), "")</f>
        <v/>
      </c>
      <c r="D33" s="192"/>
      <c r="E33" s="179"/>
      <c r="F33" s="58"/>
      <c r="G33" s="58"/>
      <c r="H33" s="68" t="str">
        <f>IFERROR(INDEX(Table_Bldg_Type[AOH], MATCH(Table_Custom_Input[[#This Row],[Building/space type]], Table_Bldg_Type[List_Bldg_Types], 0)), "")</f>
        <v/>
      </c>
      <c r="I33" s="65"/>
      <c r="J33" s="58"/>
      <c r="K33" s="58"/>
      <c r="L33" s="58"/>
      <c r="M33" s="58"/>
      <c r="N33" s="58"/>
      <c r="O33" s="58"/>
      <c r="P33" s="58"/>
      <c r="Q33" s="58"/>
      <c r="R33" s="58"/>
      <c r="S33" s="58"/>
      <c r="T33" s="58"/>
      <c r="U33" s="58"/>
      <c r="V33" s="58"/>
      <c r="W33" s="66"/>
      <c r="X33" s="66"/>
      <c r="Y33" s="67" t="str">
        <f>IFERROR(Table_Custom_Input[[#This Row],[Energy savings (kWh)]]*Value_Custom_IncentRate, "")</f>
        <v/>
      </c>
      <c r="Z33" s="69" t="str">
        <f>IF(Table_Custom_Input[[#This Row],[Replacing lamp or fixture?]]="Fixture", Table_Custom_Input[[#This Row],[Fixture Replacement: Energy Savings]], IF(Table_Custom_Input[[#This Row],[Replacing lamp or fixture?]]="Lamp", Table_Custom_Input[[#This Row],[Lamp Replacement: Energy Savings]], ""))</f>
        <v/>
      </c>
      <c r="AA33" s="73" t="str">
        <f>IF(Table_Custom_Input[[#This Row],[Replacing lamp or fixture?]]="Fixture", Table_Custom_Input[[#This Row],[Fixture Replacement: Demand Savings]], IF(Table_Custom_Input[[#This Row],[Replacing lamp or fixture?]]="Lamp", Table_Custom_Input[[#This Row],[Lamp Replacement: Demand Savings]], ""))</f>
        <v/>
      </c>
      <c r="AB33" s="67" t="str">
        <f>IFERROR(Table_Custom_Input[[#This Row],[Energy savings (kWh)]]*Input_AvgkWhRate, "")</f>
        <v/>
      </c>
      <c r="AC33" s="67" t="str">
        <f>IF(Table_Custom_Input[[#This Row],[Replacing lamp or fixture?]]&lt;&gt;"",Table_Custom_Input[[#This Row],[Material cost per unit]]*Table_Custom_Input[[#This Row],[Number of proposed units]]+Table_Custom_Input[[#This Row],[Total labor cost]],"")</f>
        <v/>
      </c>
      <c r="AD33" s="67" t="str">
        <f>IF(Table_Custom_Input[[#This Row],[Estimated incentive]]="","",Table_Custom_Input[[#This Row],[Gross measure Cost]]-Table_Custom_Input[[#This Row],[Estimated incentive]])</f>
        <v/>
      </c>
      <c r="AE33" s="69" t="str">
        <f>IFERROR(Table_Custom_Input[[#This Row],[Net measure cost]]/Table_Custom_Input[[#This Row],[Cost savings]], "")</f>
        <v/>
      </c>
      <c r="AF33" s="85">
        <f>IF(Table_Custom_Input[[#This Row],[Use custom or default operating hours?]]="Default", Table_Custom_Input[[#This Row],[Default annual operating hours]], IF(Table_Custom_Input[[#This Row],[Use custom or default operating hours?]]="Custom", Table_Custom_Input[[#This Row],[Custom annual operating hours]], 0))</f>
        <v>0</v>
      </c>
      <c r="AG33" s="85" t="e">
        <f>INDEX(Table_TRM_Fixtures[Fixture Wattage for Baseline Calculations], MATCH(Table_Custom_Input[[#This Row],[Existing fixture code]], Table_TRM_Fixtures[Fixture Code], 0))</f>
        <v>#N/A</v>
      </c>
      <c r="AH33" s="85" t="e">
        <f>INDEX(Table_TRM_Fixtures[Fixture Watts  (TRM Data)], MATCH(Table_Custom_Input[[#This Row],[Proposed fixture code]], Table_TRM_Fixtures[Fixture Code], 0))</f>
        <v>#N/A</v>
      </c>
      <c r="AI33"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33"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33" s="85" t="e">
        <f>INDEX(Table_TRM_Fixtures[Fixture Wattage for Baseline Calculations], MATCH(Table_Custom_Input[[#This Row],[Existing fixture code]], Table_TRM_Fixtures[Fixture Code], 0))/Table_Custom_Input[[#This Row],[Existing lamps per fixture]]</f>
        <v>#N/A</v>
      </c>
      <c r="AL33" s="85" t="str">
        <f>IF(Table_Custom_Input[[#This Row],[Proposed lamp wattage]]="","",Table_Custom_Input[[#This Row],[Proposed lamp wattage]])</f>
        <v/>
      </c>
      <c r="AM33"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33"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34" spans="2:40" s="18" customFormat="1" ht="15" x14ac:dyDescent="0.2">
      <c r="B34" s="61">
        <v>30</v>
      </c>
      <c r="C34" s="61" t="str">
        <f>IFERROR(INDEX(Table_Custom_Measure_No[Custom Measure No], MATCH(Table_Custom_Input[[#This Row],[Existing lighting type]], Table_Custom_Measure_No[List_Light_Type], 0)), "")</f>
        <v/>
      </c>
      <c r="D34" s="192"/>
      <c r="E34" s="179"/>
      <c r="F34" s="58"/>
      <c r="G34" s="58"/>
      <c r="H34" s="68" t="str">
        <f>IFERROR(INDEX(Table_Bldg_Type[AOH], MATCH(Table_Custom_Input[[#This Row],[Building/space type]], Table_Bldg_Type[List_Bldg_Types], 0)), "")</f>
        <v/>
      </c>
      <c r="I34" s="65"/>
      <c r="J34" s="58"/>
      <c r="K34" s="58"/>
      <c r="L34" s="58"/>
      <c r="M34" s="58"/>
      <c r="N34" s="58"/>
      <c r="O34" s="58"/>
      <c r="P34" s="58"/>
      <c r="Q34" s="58"/>
      <c r="R34" s="58"/>
      <c r="S34" s="58"/>
      <c r="T34" s="58"/>
      <c r="U34" s="58"/>
      <c r="V34" s="58"/>
      <c r="W34" s="66"/>
      <c r="X34" s="66"/>
      <c r="Y34" s="67" t="str">
        <f>IFERROR(Table_Custom_Input[[#This Row],[Energy savings (kWh)]]*Value_Custom_IncentRate, "")</f>
        <v/>
      </c>
      <c r="Z34" s="69" t="str">
        <f>IF(Table_Custom_Input[[#This Row],[Replacing lamp or fixture?]]="Fixture", Table_Custom_Input[[#This Row],[Fixture Replacement: Energy Savings]], IF(Table_Custom_Input[[#This Row],[Replacing lamp or fixture?]]="Lamp", Table_Custom_Input[[#This Row],[Lamp Replacement: Energy Savings]], ""))</f>
        <v/>
      </c>
      <c r="AA34" s="73" t="str">
        <f>IF(Table_Custom_Input[[#This Row],[Replacing lamp or fixture?]]="Fixture", Table_Custom_Input[[#This Row],[Fixture Replacement: Demand Savings]], IF(Table_Custom_Input[[#This Row],[Replacing lamp or fixture?]]="Lamp", Table_Custom_Input[[#This Row],[Lamp Replacement: Demand Savings]], ""))</f>
        <v/>
      </c>
      <c r="AB34" s="67" t="str">
        <f>IFERROR(Table_Custom_Input[[#This Row],[Energy savings (kWh)]]*Input_AvgkWhRate, "")</f>
        <v/>
      </c>
      <c r="AC34" s="67" t="str">
        <f>IF(Table_Custom_Input[[#This Row],[Replacing lamp or fixture?]]&lt;&gt;"",Table_Custom_Input[[#This Row],[Material cost per unit]]*Table_Custom_Input[[#This Row],[Number of proposed units]]+Table_Custom_Input[[#This Row],[Total labor cost]],"")</f>
        <v/>
      </c>
      <c r="AD34" s="67" t="str">
        <f>IF(Table_Custom_Input[[#This Row],[Estimated incentive]]="","",Table_Custom_Input[[#This Row],[Gross measure Cost]]-Table_Custom_Input[[#This Row],[Estimated incentive]])</f>
        <v/>
      </c>
      <c r="AE34" s="69" t="str">
        <f>IFERROR(Table_Custom_Input[[#This Row],[Net measure cost]]/Table_Custom_Input[[#This Row],[Cost savings]], "")</f>
        <v/>
      </c>
      <c r="AF34" s="85">
        <f>IF(Table_Custom_Input[[#This Row],[Use custom or default operating hours?]]="Default", Table_Custom_Input[[#This Row],[Default annual operating hours]], IF(Table_Custom_Input[[#This Row],[Use custom or default operating hours?]]="Custom", Table_Custom_Input[[#This Row],[Custom annual operating hours]], 0))</f>
        <v>0</v>
      </c>
      <c r="AG34" s="85" t="e">
        <f>INDEX(Table_TRM_Fixtures[Fixture Wattage for Baseline Calculations], MATCH(Table_Custom_Input[[#This Row],[Existing fixture code]], Table_TRM_Fixtures[Fixture Code], 0))</f>
        <v>#N/A</v>
      </c>
      <c r="AH34" s="85" t="e">
        <f>INDEX(Table_TRM_Fixtures[Fixture Watts  (TRM Data)], MATCH(Table_Custom_Input[[#This Row],[Proposed fixture code]], Table_TRM_Fixtures[Fixture Code], 0))</f>
        <v>#N/A</v>
      </c>
      <c r="AI34"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34"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34" s="85" t="e">
        <f>INDEX(Table_TRM_Fixtures[Fixture Wattage for Baseline Calculations], MATCH(Table_Custom_Input[[#This Row],[Existing fixture code]], Table_TRM_Fixtures[Fixture Code], 0))/Table_Custom_Input[[#This Row],[Existing lamps per fixture]]</f>
        <v>#N/A</v>
      </c>
      <c r="AL34" s="85" t="str">
        <f>IF(Table_Custom_Input[[#This Row],[Proposed lamp wattage]]="","",Table_Custom_Input[[#This Row],[Proposed lamp wattage]])</f>
        <v/>
      </c>
      <c r="AM34"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34"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35" spans="2:40" s="18" customFormat="1" ht="15" x14ac:dyDescent="0.2">
      <c r="B35" s="61">
        <v>31</v>
      </c>
      <c r="C35" s="61" t="str">
        <f>IFERROR(INDEX(Table_Custom_Measure_No[Custom Measure No], MATCH(Table_Custom_Input[[#This Row],[Existing lighting type]], Table_Custom_Measure_No[List_Light_Type], 0)), "")</f>
        <v/>
      </c>
      <c r="D35" s="192"/>
      <c r="E35" s="179"/>
      <c r="F35" s="58"/>
      <c r="G35" s="58"/>
      <c r="H35" s="68" t="str">
        <f>IFERROR(INDEX(Table_Bldg_Type[AOH], MATCH(Table_Custom_Input[[#This Row],[Building/space type]], Table_Bldg_Type[List_Bldg_Types], 0)), "")</f>
        <v/>
      </c>
      <c r="I35" s="65"/>
      <c r="J35" s="58"/>
      <c r="K35" s="58"/>
      <c r="L35" s="58"/>
      <c r="M35" s="58"/>
      <c r="N35" s="58"/>
      <c r="O35" s="58"/>
      <c r="P35" s="58"/>
      <c r="Q35" s="58"/>
      <c r="R35" s="58"/>
      <c r="S35" s="58"/>
      <c r="T35" s="58"/>
      <c r="U35" s="58"/>
      <c r="V35" s="58"/>
      <c r="W35" s="66"/>
      <c r="X35" s="66"/>
      <c r="Y35" s="67" t="str">
        <f>IFERROR(Table_Custom_Input[[#This Row],[Energy savings (kWh)]]*Value_Custom_IncentRate, "")</f>
        <v/>
      </c>
      <c r="Z35" s="69" t="str">
        <f>IF(Table_Custom_Input[[#This Row],[Replacing lamp or fixture?]]="Fixture", Table_Custom_Input[[#This Row],[Fixture Replacement: Energy Savings]], IF(Table_Custom_Input[[#This Row],[Replacing lamp or fixture?]]="Lamp", Table_Custom_Input[[#This Row],[Lamp Replacement: Energy Savings]], ""))</f>
        <v/>
      </c>
      <c r="AA35" s="73" t="str">
        <f>IF(Table_Custom_Input[[#This Row],[Replacing lamp or fixture?]]="Fixture", Table_Custom_Input[[#This Row],[Fixture Replacement: Demand Savings]], IF(Table_Custom_Input[[#This Row],[Replacing lamp or fixture?]]="Lamp", Table_Custom_Input[[#This Row],[Lamp Replacement: Demand Savings]], ""))</f>
        <v/>
      </c>
      <c r="AB35" s="67" t="str">
        <f>IFERROR(Table_Custom_Input[[#This Row],[Energy savings (kWh)]]*Input_AvgkWhRate, "")</f>
        <v/>
      </c>
      <c r="AC35" s="67" t="str">
        <f>IF(Table_Custom_Input[[#This Row],[Replacing lamp or fixture?]]&lt;&gt;"",Table_Custom_Input[[#This Row],[Material cost per unit]]*Table_Custom_Input[[#This Row],[Number of proposed units]]+Table_Custom_Input[[#This Row],[Total labor cost]],"")</f>
        <v/>
      </c>
      <c r="AD35" s="67" t="str">
        <f>IF(Table_Custom_Input[[#This Row],[Estimated incentive]]="","",Table_Custom_Input[[#This Row],[Gross measure Cost]]-Table_Custom_Input[[#This Row],[Estimated incentive]])</f>
        <v/>
      </c>
      <c r="AE35" s="69" t="str">
        <f>IFERROR(Table_Custom_Input[[#This Row],[Net measure cost]]/Table_Custom_Input[[#This Row],[Cost savings]], "")</f>
        <v/>
      </c>
      <c r="AF35" s="85">
        <f>IF(Table_Custom_Input[[#This Row],[Use custom or default operating hours?]]="Default", Table_Custom_Input[[#This Row],[Default annual operating hours]], IF(Table_Custom_Input[[#This Row],[Use custom or default operating hours?]]="Custom", Table_Custom_Input[[#This Row],[Custom annual operating hours]], 0))</f>
        <v>0</v>
      </c>
      <c r="AG35" s="85" t="e">
        <f>INDEX(Table_TRM_Fixtures[Fixture Wattage for Baseline Calculations], MATCH(Table_Custom_Input[[#This Row],[Existing fixture code]], Table_TRM_Fixtures[Fixture Code], 0))</f>
        <v>#N/A</v>
      </c>
      <c r="AH35" s="85" t="e">
        <f>INDEX(Table_TRM_Fixtures[Fixture Watts  (TRM Data)], MATCH(Table_Custom_Input[[#This Row],[Proposed fixture code]], Table_TRM_Fixtures[Fixture Code], 0))</f>
        <v>#N/A</v>
      </c>
      <c r="AI35"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35"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35" s="85" t="e">
        <f>INDEX(Table_TRM_Fixtures[Fixture Wattage for Baseline Calculations], MATCH(Table_Custom_Input[[#This Row],[Existing fixture code]], Table_TRM_Fixtures[Fixture Code], 0))/Table_Custom_Input[[#This Row],[Existing lamps per fixture]]</f>
        <v>#N/A</v>
      </c>
      <c r="AL35" s="85" t="str">
        <f>IF(Table_Custom_Input[[#This Row],[Proposed lamp wattage]]="","",Table_Custom_Input[[#This Row],[Proposed lamp wattage]])</f>
        <v/>
      </c>
      <c r="AM35"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35"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36" spans="2:40" s="18" customFormat="1" ht="15" x14ac:dyDescent="0.2">
      <c r="B36" s="61">
        <v>32</v>
      </c>
      <c r="C36" s="61" t="str">
        <f>IFERROR(INDEX(Table_Custom_Measure_No[Custom Measure No], MATCH(Table_Custom_Input[[#This Row],[Existing lighting type]], Table_Custom_Measure_No[List_Light_Type], 0)), "")</f>
        <v/>
      </c>
      <c r="D36" s="192"/>
      <c r="E36" s="179"/>
      <c r="F36" s="58"/>
      <c r="G36" s="58"/>
      <c r="H36" s="68" t="str">
        <f>IFERROR(INDEX(Table_Bldg_Type[AOH], MATCH(Table_Custom_Input[[#This Row],[Building/space type]], Table_Bldg_Type[List_Bldg_Types], 0)), "")</f>
        <v/>
      </c>
      <c r="I36" s="65"/>
      <c r="J36" s="58"/>
      <c r="K36" s="58"/>
      <c r="L36" s="58"/>
      <c r="M36" s="58"/>
      <c r="N36" s="58"/>
      <c r="O36" s="58"/>
      <c r="P36" s="58"/>
      <c r="Q36" s="58"/>
      <c r="R36" s="58"/>
      <c r="S36" s="58"/>
      <c r="T36" s="58"/>
      <c r="U36" s="58"/>
      <c r="V36" s="58"/>
      <c r="W36" s="66"/>
      <c r="X36" s="66"/>
      <c r="Y36" s="67" t="str">
        <f>IFERROR(Table_Custom_Input[[#This Row],[Energy savings (kWh)]]*Value_Custom_IncentRate, "")</f>
        <v/>
      </c>
      <c r="Z36" s="69" t="str">
        <f>IF(Table_Custom_Input[[#This Row],[Replacing lamp or fixture?]]="Fixture", Table_Custom_Input[[#This Row],[Fixture Replacement: Energy Savings]], IF(Table_Custom_Input[[#This Row],[Replacing lamp or fixture?]]="Lamp", Table_Custom_Input[[#This Row],[Lamp Replacement: Energy Savings]], ""))</f>
        <v/>
      </c>
      <c r="AA36" s="73" t="str">
        <f>IF(Table_Custom_Input[[#This Row],[Replacing lamp or fixture?]]="Fixture", Table_Custom_Input[[#This Row],[Fixture Replacement: Demand Savings]], IF(Table_Custom_Input[[#This Row],[Replacing lamp or fixture?]]="Lamp", Table_Custom_Input[[#This Row],[Lamp Replacement: Demand Savings]], ""))</f>
        <v/>
      </c>
      <c r="AB36" s="67" t="str">
        <f>IFERROR(Table_Custom_Input[[#This Row],[Energy savings (kWh)]]*Input_AvgkWhRate, "")</f>
        <v/>
      </c>
      <c r="AC36" s="67" t="str">
        <f>IF(Table_Custom_Input[[#This Row],[Replacing lamp or fixture?]]&lt;&gt;"",Table_Custom_Input[[#This Row],[Material cost per unit]]*Table_Custom_Input[[#This Row],[Number of proposed units]]+Table_Custom_Input[[#This Row],[Total labor cost]],"")</f>
        <v/>
      </c>
      <c r="AD36" s="67" t="str">
        <f>IF(Table_Custom_Input[[#This Row],[Estimated incentive]]="","",Table_Custom_Input[[#This Row],[Gross measure Cost]]-Table_Custom_Input[[#This Row],[Estimated incentive]])</f>
        <v/>
      </c>
      <c r="AE36" s="69" t="str">
        <f>IFERROR(Table_Custom_Input[[#This Row],[Net measure cost]]/Table_Custom_Input[[#This Row],[Cost savings]], "")</f>
        <v/>
      </c>
      <c r="AF36" s="85">
        <f>IF(Table_Custom_Input[[#This Row],[Use custom or default operating hours?]]="Default", Table_Custom_Input[[#This Row],[Default annual operating hours]], IF(Table_Custom_Input[[#This Row],[Use custom or default operating hours?]]="Custom", Table_Custom_Input[[#This Row],[Custom annual operating hours]], 0))</f>
        <v>0</v>
      </c>
      <c r="AG36" s="85" t="e">
        <f>INDEX(Table_TRM_Fixtures[Fixture Wattage for Baseline Calculations], MATCH(Table_Custom_Input[[#This Row],[Existing fixture code]], Table_TRM_Fixtures[Fixture Code], 0))</f>
        <v>#N/A</v>
      </c>
      <c r="AH36" s="85" t="e">
        <f>INDEX(Table_TRM_Fixtures[Fixture Watts  (TRM Data)], MATCH(Table_Custom_Input[[#This Row],[Proposed fixture code]], Table_TRM_Fixtures[Fixture Code], 0))</f>
        <v>#N/A</v>
      </c>
      <c r="AI36"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36"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36" s="85" t="e">
        <f>INDEX(Table_TRM_Fixtures[Fixture Wattage for Baseline Calculations], MATCH(Table_Custom_Input[[#This Row],[Existing fixture code]], Table_TRM_Fixtures[Fixture Code], 0))/Table_Custom_Input[[#This Row],[Existing lamps per fixture]]</f>
        <v>#N/A</v>
      </c>
      <c r="AL36" s="85" t="str">
        <f>IF(Table_Custom_Input[[#This Row],[Proposed lamp wattage]]="","",Table_Custom_Input[[#This Row],[Proposed lamp wattage]])</f>
        <v/>
      </c>
      <c r="AM36"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36"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37" spans="2:40" s="18" customFormat="1" ht="15" x14ac:dyDescent="0.2">
      <c r="B37" s="61">
        <v>33</v>
      </c>
      <c r="C37" s="61" t="str">
        <f>IFERROR(INDEX(Table_Custom_Measure_No[Custom Measure No], MATCH(Table_Custom_Input[[#This Row],[Existing lighting type]], Table_Custom_Measure_No[List_Light_Type], 0)), "")</f>
        <v/>
      </c>
      <c r="D37" s="192"/>
      <c r="E37" s="179"/>
      <c r="F37" s="58"/>
      <c r="G37" s="58"/>
      <c r="H37" s="68" t="str">
        <f>IFERROR(INDEX(Table_Bldg_Type[AOH], MATCH(Table_Custom_Input[[#This Row],[Building/space type]], Table_Bldg_Type[List_Bldg_Types], 0)), "")</f>
        <v/>
      </c>
      <c r="I37" s="65"/>
      <c r="J37" s="58"/>
      <c r="K37" s="58"/>
      <c r="L37" s="58"/>
      <c r="M37" s="58"/>
      <c r="N37" s="58"/>
      <c r="O37" s="58"/>
      <c r="P37" s="58"/>
      <c r="Q37" s="58"/>
      <c r="R37" s="58"/>
      <c r="S37" s="58"/>
      <c r="T37" s="58"/>
      <c r="U37" s="58"/>
      <c r="V37" s="58"/>
      <c r="W37" s="66"/>
      <c r="X37" s="66"/>
      <c r="Y37" s="67" t="str">
        <f>IFERROR(Table_Custom_Input[[#This Row],[Energy savings (kWh)]]*Value_Custom_IncentRate, "")</f>
        <v/>
      </c>
      <c r="Z37" s="69" t="str">
        <f>IF(Table_Custom_Input[[#This Row],[Replacing lamp or fixture?]]="Fixture", Table_Custom_Input[[#This Row],[Fixture Replacement: Energy Savings]], IF(Table_Custom_Input[[#This Row],[Replacing lamp or fixture?]]="Lamp", Table_Custom_Input[[#This Row],[Lamp Replacement: Energy Savings]], ""))</f>
        <v/>
      </c>
      <c r="AA37" s="73" t="str">
        <f>IF(Table_Custom_Input[[#This Row],[Replacing lamp or fixture?]]="Fixture", Table_Custom_Input[[#This Row],[Fixture Replacement: Demand Savings]], IF(Table_Custom_Input[[#This Row],[Replacing lamp or fixture?]]="Lamp", Table_Custom_Input[[#This Row],[Lamp Replacement: Demand Savings]], ""))</f>
        <v/>
      </c>
      <c r="AB37" s="67" t="str">
        <f>IFERROR(Table_Custom_Input[[#This Row],[Energy savings (kWh)]]*Input_AvgkWhRate, "")</f>
        <v/>
      </c>
      <c r="AC37" s="67" t="str">
        <f>IF(Table_Custom_Input[[#This Row],[Replacing lamp or fixture?]]&lt;&gt;"",Table_Custom_Input[[#This Row],[Material cost per unit]]*Table_Custom_Input[[#This Row],[Number of proposed units]]+Table_Custom_Input[[#This Row],[Total labor cost]],"")</f>
        <v/>
      </c>
      <c r="AD37" s="67" t="str">
        <f>IF(Table_Custom_Input[[#This Row],[Estimated incentive]]="","",Table_Custom_Input[[#This Row],[Gross measure Cost]]-Table_Custom_Input[[#This Row],[Estimated incentive]])</f>
        <v/>
      </c>
      <c r="AE37" s="69" t="str">
        <f>IFERROR(Table_Custom_Input[[#This Row],[Net measure cost]]/Table_Custom_Input[[#This Row],[Cost savings]], "")</f>
        <v/>
      </c>
      <c r="AF37" s="85">
        <f>IF(Table_Custom_Input[[#This Row],[Use custom or default operating hours?]]="Default", Table_Custom_Input[[#This Row],[Default annual operating hours]], IF(Table_Custom_Input[[#This Row],[Use custom or default operating hours?]]="Custom", Table_Custom_Input[[#This Row],[Custom annual operating hours]], 0))</f>
        <v>0</v>
      </c>
      <c r="AG37" s="85" t="e">
        <f>INDEX(Table_TRM_Fixtures[Fixture Wattage for Baseline Calculations], MATCH(Table_Custom_Input[[#This Row],[Existing fixture code]], Table_TRM_Fixtures[Fixture Code], 0))</f>
        <v>#N/A</v>
      </c>
      <c r="AH37" s="85" t="e">
        <f>INDEX(Table_TRM_Fixtures[Fixture Watts  (TRM Data)], MATCH(Table_Custom_Input[[#This Row],[Proposed fixture code]], Table_TRM_Fixtures[Fixture Code], 0))</f>
        <v>#N/A</v>
      </c>
      <c r="AI37"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37"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37" s="85" t="e">
        <f>INDEX(Table_TRM_Fixtures[Fixture Wattage for Baseline Calculations], MATCH(Table_Custom_Input[[#This Row],[Existing fixture code]], Table_TRM_Fixtures[Fixture Code], 0))/Table_Custom_Input[[#This Row],[Existing lamps per fixture]]</f>
        <v>#N/A</v>
      </c>
      <c r="AL37" s="85" t="str">
        <f>IF(Table_Custom_Input[[#This Row],[Proposed lamp wattage]]="","",Table_Custom_Input[[#This Row],[Proposed lamp wattage]])</f>
        <v/>
      </c>
      <c r="AM37"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37"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38" spans="2:40" s="18" customFormat="1" ht="15" x14ac:dyDescent="0.2">
      <c r="B38" s="61">
        <v>34</v>
      </c>
      <c r="C38" s="61" t="str">
        <f>IFERROR(INDEX(Table_Custom_Measure_No[Custom Measure No], MATCH(Table_Custom_Input[[#This Row],[Existing lighting type]], Table_Custom_Measure_No[List_Light_Type], 0)), "")</f>
        <v/>
      </c>
      <c r="D38" s="192"/>
      <c r="E38" s="179"/>
      <c r="F38" s="58"/>
      <c r="G38" s="58"/>
      <c r="H38" s="68" t="str">
        <f>IFERROR(INDEX(Table_Bldg_Type[AOH], MATCH(Table_Custom_Input[[#This Row],[Building/space type]], Table_Bldg_Type[List_Bldg_Types], 0)), "")</f>
        <v/>
      </c>
      <c r="I38" s="65"/>
      <c r="J38" s="58"/>
      <c r="K38" s="58"/>
      <c r="L38" s="58"/>
      <c r="M38" s="58"/>
      <c r="N38" s="58"/>
      <c r="O38" s="58"/>
      <c r="P38" s="58"/>
      <c r="Q38" s="58"/>
      <c r="R38" s="58"/>
      <c r="S38" s="58"/>
      <c r="T38" s="58"/>
      <c r="U38" s="58"/>
      <c r="V38" s="58"/>
      <c r="W38" s="66"/>
      <c r="X38" s="66"/>
      <c r="Y38" s="67" t="str">
        <f>IFERROR(Table_Custom_Input[[#This Row],[Energy savings (kWh)]]*Value_Custom_IncentRate, "")</f>
        <v/>
      </c>
      <c r="Z38" s="69" t="str">
        <f>IF(Table_Custom_Input[[#This Row],[Replacing lamp or fixture?]]="Fixture", Table_Custom_Input[[#This Row],[Fixture Replacement: Energy Savings]], IF(Table_Custom_Input[[#This Row],[Replacing lamp or fixture?]]="Lamp", Table_Custom_Input[[#This Row],[Lamp Replacement: Energy Savings]], ""))</f>
        <v/>
      </c>
      <c r="AA38" s="73" t="str">
        <f>IF(Table_Custom_Input[[#This Row],[Replacing lamp or fixture?]]="Fixture", Table_Custom_Input[[#This Row],[Fixture Replacement: Demand Savings]], IF(Table_Custom_Input[[#This Row],[Replacing lamp or fixture?]]="Lamp", Table_Custom_Input[[#This Row],[Lamp Replacement: Demand Savings]], ""))</f>
        <v/>
      </c>
      <c r="AB38" s="67" t="str">
        <f>IFERROR(Table_Custom_Input[[#This Row],[Energy savings (kWh)]]*Input_AvgkWhRate, "")</f>
        <v/>
      </c>
      <c r="AC38" s="67" t="str">
        <f>IF(Table_Custom_Input[[#This Row],[Replacing lamp or fixture?]]&lt;&gt;"",Table_Custom_Input[[#This Row],[Material cost per unit]]*Table_Custom_Input[[#This Row],[Number of proposed units]]+Table_Custom_Input[[#This Row],[Total labor cost]],"")</f>
        <v/>
      </c>
      <c r="AD38" s="67" t="str">
        <f>IF(Table_Custom_Input[[#This Row],[Estimated incentive]]="","",Table_Custom_Input[[#This Row],[Gross measure Cost]]-Table_Custom_Input[[#This Row],[Estimated incentive]])</f>
        <v/>
      </c>
      <c r="AE38" s="69" t="str">
        <f>IFERROR(Table_Custom_Input[[#This Row],[Net measure cost]]/Table_Custom_Input[[#This Row],[Cost savings]], "")</f>
        <v/>
      </c>
      <c r="AF38" s="85">
        <f>IF(Table_Custom_Input[[#This Row],[Use custom or default operating hours?]]="Default", Table_Custom_Input[[#This Row],[Default annual operating hours]], IF(Table_Custom_Input[[#This Row],[Use custom or default operating hours?]]="Custom", Table_Custom_Input[[#This Row],[Custom annual operating hours]], 0))</f>
        <v>0</v>
      </c>
      <c r="AG38" s="85" t="e">
        <f>INDEX(Table_TRM_Fixtures[Fixture Wattage for Baseline Calculations], MATCH(Table_Custom_Input[[#This Row],[Existing fixture code]], Table_TRM_Fixtures[Fixture Code], 0))</f>
        <v>#N/A</v>
      </c>
      <c r="AH38" s="85" t="e">
        <f>INDEX(Table_TRM_Fixtures[Fixture Watts  (TRM Data)], MATCH(Table_Custom_Input[[#This Row],[Proposed fixture code]], Table_TRM_Fixtures[Fixture Code], 0))</f>
        <v>#N/A</v>
      </c>
      <c r="AI38"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38"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38" s="85" t="e">
        <f>INDEX(Table_TRM_Fixtures[Fixture Wattage for Baseline Calculations], MATCH(Table_Custom_Input[[#This Row],[Existing fixture code]], Table_TRM_Fixtures[Fixture Code], 0))/Table_Custom_Input[[#This Row],[Existing lamps per fixture]]</f>
        <v>#N/A</v>
      </c>
      <c r="AL38" s="85" t="str">
        <f>IF(Table_Custom_Input[[#This Row],[Proposed lamp wattage]]="","",Table_Custom_Input[[#This Row],[Proposed lamp wattage]])</f>
        <v/>
      </c>
      <c r="AM38"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38"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39" spans="2:40" s="18" customFormat="1" ht="15" x14ac:dyDescent="0.2">
      <c r="B39" s="61">
        <v>35</v>
      </c>
      <c r="C39" s="61" t="str">
        <f>IFERROR(INDEX(Table_Custom_Measure_No[Custom Measure No], MATCH(Table_Custom_Input[[#This Row],[Existing lighting type]], Table_Custom_Measure_No[List_Light_Type], 0)), "")</f>
        <v/>
      </c>
      <c r="D39" s="192"/>
      <c r="E39" s="179"/>
      <c r="F39" s="58"/>
      <c r="G39" s="58"/>
      <c r="H39" s="68" t="str">
        <f>IFERROR(INDEX(Table_Bldg_Type[AOH], MATCH(Table_Custom_Input[[#This Row],[Building/space type]], Table_Bldg_Type[List_Bldg_Types], 0)), "")</f>
        <v/>
      </c>
      <c r="I39" s="65"/>
      <c r="J39" s="58"/>
      <c r="K39" s="58"/>
      <c r="L39" s="58"/>
      <c r="M39" s="58"/>
      <c r="N39" s="58"/>
      <c r="O39" s="58"/>
      <c r="P39" s="58"/>
      <c r="Q39" s="58"/>
      <c r="R39" s="58"/>
      <c r="S39" s="58"/>
      <c r="T39" s="58"/>
      <c r="U39" s="58"/>
      <c r="V39" s="58"/>
      <c r="W39" s="66"/>
      <c r="X39" s="66"/>
      <c r="Y39" s="67" t="str">
        <f>IFERROR(Table_Custom_Input[[#This Row],[Energy savings (kWh)]]*Value_Custom_IncentRate, "")</f>
        <v/>
      </c>
      <c r="Z39" s="69" t="str">
        <f>IF(Table_Custom_Input[[#This Row],[Replacing lamp or fixture?]]="Fixture", Table_Custom_Input[[#This Row],[Fixture Replacement: Energy Savings]], IF(Table_Custom_Input[[#This Row],[Replacing lamp or fixture?]]="Lamp", Table_Custom_Input[[#This Row],[Lamp Replacement: Energy Savings]], ""))</f>
        <v/>
      </c>
      <c r="AA39" s="73" t="str">
        <f>IF(Table_Custom_Input[[#This Row],[Replacing lamp or fixture?]]="Fixture", Table_Custom_Input[[#This Row],[Fixture Replacement: Demand Savings]], IF(Table_Custom_Input[[#This Row],[Replacing lamp or fixture?]]="Lamp", Table_Custom_Input[[#This Row],[Lamp Replacement: Demand Savings]], ""))</f>
        <v/>
      </c>
      <c r="AB39" s="67" t="str">
        <f>IFERROR(Table_Custom_Input[[#This Row],[Energy savings (kWh)]]*Input_AvgkWhRate, "")</f>
        <v/>
      </c>
      <c r="AC39" s="67" t="str">
        <f>IF(Table_Custom_Input[[#This Row],[Replacing lamp or fixture?]]&lt;&gt;"",Table_Custom_Input[[#This Row],[Material cost per unit]]*Table_Custom_Input[[#This Row],[Number of proposed units]]+Table_Custom_Input[[#This Row],[Total labor cost]],"")</f>
        <v/>
      </c>
      <c r="AD39" s="67" t="str">
        <f>IF(Table_Custom_Input[[#This Row],[Estimated incentive]]="","",Table_Custom_Input[[#This Row],[Gross measure Cost]]-Table_Custom_Input[[#This Row],[Estimated incentive]])</f>
        <v/>
      </c>
      <c r="AE39" s="69" t="str">
        <f>IFERROR(Table_Custom_Input[[#This Row],[Net measure cost]]/Table_Custom_Input[[#This Row],[Cost savings]], "")</f>
        <v/>
      </c>
      <c r="AF39" s="85">
        <f>IF(Table_Custom_Input[[#This Row],[Use custom or default operating hours?]]="Default", Table_Custom_Input[[#This Row],[Default annual operating hours]], IF(Table_Custom_Input[[#This Row],[Use custom or default operating hours?]]="Custom", Table_Custom_Input[[#This Row],[Custom annual operating hours]], 0))</f>
        <v>0</v>
      </c>
      <c r="AG39" s="85" t="e">
        <f>INDEX(Table_TRM_Fixtures[Fixture Wattage for Baseline Calculations], MATCH(Table_Custom_Input[[#This Row],[Existing fixture code]], Table_TRM_Fixtures[Fixture Code], 0))</f>
        <v>#N/A</v>
      </c>
      <c r="AH39" s="85" t="e">
        <f>INDEX(Table_TRM_Fixtures[Fixture Watts  (TRM Data)], MATCH(Table_Custom_Input[[#This Row],[Proposed fixture code]], Table_TRM_Fixtures[Fixture Code], 0))</f>
        <v>#N/A</v>
      </c>
      <c r="AI39"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39"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39" s="85" t="e">
        <f>INDEX(Table_TRM_Fixtures[Fixture Wattage for Baseline Calculations], MATCH(Table_Custom_Input[[#This Row],[Existing fixture code]], Table_TRM_Fixtures[Fixture Code], 0))/Table_Custom_Input[[#This Row],[Existing lamps per fixture]]</f>
        <v>#N/A</v>
      </c>
      <c r="AL39" s="85" t="str">
        <f>IF(Table_Custom_Input[[#This Row],[Proposed lamp wattage]]="","",Table_Custom_Input[[#This Row],[Proposed lamp wattage]])</f>
        <v/>
      </c>
      <c r="AM39"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39"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40" spans="2:40" s="18" customFormat="1" ht="15" x14ac:dyDescent="0.2">
      <c r="B40" s="61">
        <v>36</v>
      </c>
      <c r="C40" s="61" t="str">
        <f>IFERROR(INDEX(Table_Custom_Measure_No[Custom Measure No], MATCH(Table_Custom_Input[[#This Row],[Existing lighting type]], Table_Custom_Measure_No[List_Light_Type], 0)), "")</f>
        <v/>
      </c>
      <c r="D40" s="192"/>
      <c r="E40" s="179"/>
      <c r="F40" s="58"/>
      <c r="G40" s="58"/>
      <c r="H40" s="68" t="str">
        <f>IFERROR(INDEX(Table_Bldg_Type[AOH], MATCH(Table_Custom_Input[[#This Row],[Building/space type]], Table_Bldg_Type[List_Bldg_Types], 0)), "")</f>
        <v/>
      </c>
      <c r="I40" s="65"/>
      <c r="J40" s="58"/>
      <c r="K40" s="58"/>
      <c r="L40" s="58"/>
      <c r="M40" s="58"/>
      <c r="N40" s="58"/>
      <c r="O40" s="58"/>
      <c r="P40" s="58"/>
      <c r="Q40" s="58"/>
      <c r="R40" s="58"/>
      <c r="S40" s="58"/>
      <c r="T40" s="58"/>
      <c r="U40" s="58"/>
      <c r="V40" s="58"/>
      <c r="W40" s="66"/>
      <c r="X40" s="66"/>
      <c r="Y40" s="67" t="str">
        <f>IFERROR(Table_Custom_Input[[#This Row],[Energy savings (kWh)]]*Value_Custom_IncentRate, "")</f>
        <v/>
      </c>
      <c r="Z40" s="69" t="str">
        <f>IF(Table_Custom_Input[[#This Row],[Replacing lamp or fixture?]]="Fixture", Table_Custom_Input[[#This Row],[Fixture Replacement: Energy Savings]], IF(Table_Custom_Input[[#This Row],[Replacing lamp or fixture?]]="Lamp", Table_Custom_Input[[#This Row],[Lamp Replacement: Energy Savings]], ""))</f>
        <v/>
      </c>
      <c r="AA40" s="73" t="str">
        <f>IF(Table_Custom_Input[[#This Row],[Replacing lamp or fixture?]]="Fixture", Table_Custom_Input[[#This Row],[Fixture Replacement: Demand Savings]], IF(Table_Custom_Input[[#This Row],[Replacing lamp or fixture?]]="Lamp", Table_Custom_Input[[#This Row],[Lamp Replacement: Demand Savings]], ""))</f>
        <v/>
      </c>
      <c r="AB40" s="67" t="str">
        <f>IFERROR(Table_Custom_Input[[#This Row],[Energy savings (kWh)]]*Input_AvgkWhRate, "")</f>
        <v/>
      </c>
      <c r="AC40" s="67" t="str">
        <f>IF(Table_Custom_Input[[#This Row],[Replacing lamp or fixture?]]&lt;&gt;"",Table_Custom_Input[[#This Row],[Material cost per unit]]*Table_Custom_Input[[#This Row],[Number of proposed units]]+Table_Custom_Input[[#This Row],[Total labor cost]],"")</f>
        <v/>
      </c>
      <c r="AD40" s="67" t="str">
        <f>IF(Table_Custom_Input[[#This Row],[Estimated incentive]]="","",Table_Custom_Input[[#This Row],[Gross measure Cost]]-Table_Custom_Input[[#This Row],[Estimated incentive]])</f>
        <v/>
      </c>
      <c r="AE40" s="69" t="str">
        <f>IFERROR(Table_Custom_Input[[#This Row],[Net measure cost]]/Table_Custom_Input[[#This Row],[Cost savings]], "")</f>
        <v/>
      </c>
      <c r="AF40" s="85">
        <f>IF(Table_Custom_Input[[#This Row],[Use custom or default operating hours?]]="Default", Table_Custom_Input[[#This Row],[Default annual operating hours]], IF(Table_Custom_Input[[#This Row],[Use custom or default operating hours?]]="Custom", Table_Custom_Input[[#This Row],[Custom annual operating hours]], 0))</f>
        <v>0</v>
      </c>
      <c r="AG40" s="85" t="e">
        <f>INDEX(Table_TRM_Fixtures[Fixture Wattage for Baseline Calculations], MATCH(Table_Custom_Input[[#This Row],[Existing fixture code]], Table_TRM_Fixtures[Fixture Code], 0))</f>
        <v>#N/A</v>
      </c>
      <c r="AH40" s="85" t="e">
        <f>INDEX(Table_TRM_Fixtures[Fixture Watts  (TRM Data)], MATCH(Table_Custom_Input[[#This Row],[Proposed fixture code]], Table_TRM_Fixtures[Fixture Code], 0))</f>
        <v>#N/A</v>
      </c>
      <c r="AI40"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40"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40" s="85" t="e">
        <f>INDEX(Table_TRM_Fixtures[Fixture Wattage for Baseline Calculations], MATCH(Table_Custom_Input[[#This Row],[Existing fixture code]], Table_TRM_Fixtures[Fixture Code], 0))/Table_Custom_Input[[#This Row],[Existing lamps per fixture]]</f>
        <v>#N/A</v>
      </c>
      <c r="AL40" s="85" t="str">
        <f>IF(Table_Custom_Input[[#This Row],[Proposed lamp wattage]]="","",Table_Custom_Input[[#This Row],[Proposed lamp wattage]])</f>
        <v/>
      </c>
      <c r="AM40"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40"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41" spans="2:40" s="18" customFormat="1" ht="15" x14ac:dyDescent="0.2">
      <c r="B41" s="61">
        <v>37</v>
      </c>
      <c r="C41" s="61" t="str">
        <f>IFERROR(INDEX(Table_Custom_Measure_No[Custom Measure No], MATCH(Table_Custom_Input[[#This Row],[Existing lighting type]], Table_Custom_Measure_No[List_Light_Type], 0)), "")</f>
        <v/>
      </c>
      <c r="D41" s="192"/>
      <c r="E41" s="179"/>
      <c r="F41" s="58"/>
      <c r="G41" s="58"/>
      <c r="H41" s="68" t="str">
        <f>IFERROR(INDEX(Table_Bldg_Type[AOH], MATCH(Table_Custom_Input[[#This Row],[Building/space type]], Table_Bldg_Type[List_Bldg_Types], 0)), "")</f>
        <v/>
      </c>
      <c r="I41" s="65"/>
      <c r="J41" s="58"/>
      <c r="K41" s="58"/>
      <c r="L41" s="58"/>
      <c r="M41" s="58"/>
      <c r="N41" s="58"/>
      <c r="O41" s="58"/>
      <c r="P41" s="58"/>
      <c r="Q41" s="58"/>
      <c r="R41" s="58"/>
      <c r="S41" s="58"/>
      <c r="T41" s="58"/>
      <c r="U41" s="58"/>
      <c r="V41" s="58"/>
      <c r="W41" s="66"/>
      <c r="X41" s="66"/>
      <c r="Y41" s="67" t="str">
        <f>IFERROR(Table_Custom_Input[[#This Row],[Energy savings (kWh)]]*Value_Custom_IncentRate, "")</f>
        <v/>
      </c>
      <c r="Z41" s="69" t="str">
        <f>IF(Table_Custom_Input[[#This Row],[Replacing lamp or fixture?]]="Fixture", Table_Custom_Input[[#This Row],[Fixture Replacement: Energy Savings]], IF(Table_Custom_Input[[#This Row],[Replacing lamp or fixture?]]="Lamp", Table_Custom_Input[[#This Row],[Lamp Replacement: Energy Savings]], ""))</f>
        <v/>
      </c>
      <c r="AA41" s="73" t="str">
        <f>IF(Table_Custom_Input[[#This Row],[Replacing lamp or fixture?]]="Fixture", Table_Custom_Input[[#This Row],[Fixture Replacement: Demand Savings]], IF(Table_Custom_Input[[#This Row],[Replacing lamp or fixture?]]="Lamp", Table_Custom_Input[[#This Row],[Lamp Replacement: Demand Savings]], ""))</f>
        <v/>
      </c>
      <c r="AB41" s="67" t="str">
        <f>IFERROR(Table_Custom_Input[[#This Row],[Energy savings (kWh)]]*Input_AvgkWhRate, "")</f>
        <v/>
      </c>
      <c r="AC41" s="67" t="str">
        <f>IF(Table_Custom_Input[[#This Row],[Replacing lamp or fixture?]]&lt;&gt;"",Table_Custom_Input[[#This Row],[Material cost per unit]]*Table_Custom_Input[[#This Row],[Number of proposed units]]+Table_Custom_Input[[#This Row],[Total labor cost]],"")</f>
        <v/>
      </c>
      <c r="AD41" s="67" t="str">
        <f>IF(Table_Custom_Input[[#This Row],[Estimated incentive]]="","",Table_Custom_Input[[#This Row],[Gross measure Cost]]-Table_Custom_Input[[#This Row],[Estimated incentive]])</f>
        <v/>
      </c>
      <c r="AE41" s="69" t="str">
        <f>IFERROR(Table_Custom_Input[[#This Row],[Net measure cost]]/Table_Custom_Input[[#This Row],[Cost savings]], "")</f>
        <v/>
      </c>
      <c r="AF41" s="85">
        <f>IF(Table_Custom_Input[[#This Row],[Use custom or default operating hours?]]="Default", Table_Custom_Input[[#This Row],[Default annual operating hours]], IF(Table_Custom_Input[[#This Row],[Use custom or default operating hours?]]="Custom", Table_Custom_Input[[#This Row],[Custom annual operating hours]], 0))</f>
        <v>0</v>
      </c>
      <c r="AG41" s="85" t="e">
        <f>INDEX(Table_TRM_Fixtures[Fixture Wattage for Baseline Calculations], MATCH(Table_Custom_Input[[#This Row],[Existing fixture code]], Table_TRM_Fixtures[Fixture Code], 0))</f>
        <v>#N/A</v>
      </c>
      <c r="AH41" s="85" t="e">
        <f>INDEX(Table_TRM_Fixtures[Fixture Watts  (TRM Data)], MATCH(Table_Custom_Input[[#This Row],[Proposed fixture code]], Table_TRM_Fixtures[Fixture Code], 0))</f>
        <v>#N/A</v>
      </c>
      <c r="AI41"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41"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41" s="85" t="e">
        <f>INDEX(Table_TRM_Fixtures[Fixture Wattage for Baseline Calculations], MATCH(Table_Custom_Input[[#This Row],[Existing fixture code]], Table_TRM_Fixtures[Fixture Code], 0))/Table_Custom_Input[[#This Row],[Existing lamps per fixture]]</f>
        <v>#N/A</v>
      </c>
      <c r="AL41" s="85" t="str">
        <f>IF(Table_Custom_Input[[#This Row],[Proposed lamp wattage]]="","",Table_Custom_Input[[#This Row],[Proposed lamp wattage]])</f>
        <v/>
      </c>
      <c r="AM41"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41"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42" spans="2:40" s="18" customFormat="1" ht="15" x14ac:dyDescent="0.2">
      <c r="B42" s="61">
        <v>38</v>
      </c>
      <c r="C42" s="61" t="str">
        <f>IFERROR(INDEX(Table_Custom_Measure_No[Custom Measure No], MATCH(Table_Custom_Input[[#This Row],[Existing lighting type]], Table_Custom_Measure_No[List_Light_Type], 0)), "")</f>
        <v/>
      </c>
      <c r="D42" s="192"/>
      <c r="E42" s="179"/>
      <c r="F42" s="58"/>
      <c r="G42" s="58"/>
      <c r="H42" s="68" t="str">
        <f>IFERROR(INDEX(Table_Bldg_Type[AOH], MATCH(Table_Custom_Input[[#This Row],[Building/space type]], Table_Bldg_Type[List_Bldg_Types], 0)), "")</f>
        <v/>
      </c>
      <c r="I42" s="65"/>
      <c r="J42" s="58"/>
      <c r="K42" s="58"/>
      <c r="L42" s="58"/>
      <c r="M42" s="58"/>
      <c r="N42" s="58"/>
      <c r="O42" s="58"/>
      <c r="P42" s="58"/>
      <c r="Q42" s="58"/>
      <c r="R42" s="58"/>
      <c r="S42" s="58"/>
      <c r="T42" s="58"/>
      <c r="U42" s="58"/>
      <c r="V42" s="58"/>
      <c r="W42" s="66"/>
      <c r="X42" s="66"/>
      <c r="Y42" s="67" t="str">
        <f>IFERROR(Table_Custom_Input[[#This Row],[Energy savings (kWh)]]*Value_Custom_IncentRate, "")</f>
        <v/>
      </c>
      <c r="Z42" s="69" t="str">
        <f>IF(Table_Custom_Input[[#This Row],[Replacing lamp or fixture?]]="Fixture", Table_Custom_Input[[#This Row],[Fixture Replacement: Energy Savings]], IF(Table_Custom_Input[[#This Row],[Replacing lamp or fixture?]]="Lamp", Table_Custom_Input[[#This Row],[Lamp Replacement: Energy Savings]], ""))</f>
        <v/>
      </c>
      <c r="AA42" s="73" t="str">
        <f>IF(Table_Custom_Input[[#This Row],[Replacing lamp or fixture?]]="Fixture", Table_Custom_Input[[#This Row],[Fixture Replacement: Demand Savings]], IF(Table_Custom_Input[[#This Row],[Replacing lamp or fixture?]]="Lamp", Table_Custom_Input[[#This Row],[Lamp Replacement: Demand Savings]], ""))</f>
        <v/>
      </c>
      <c r="AB42" s="67" t="str">
        <f>IFERROR(Table_Custom_Input[[#This Row],[Energy savings (kWh)]]*Input_AvgkWhRate, "")</f>
        <v/>
      </c>
      <c r="AC42" s="67" t="str">
        <f>IF(Table_Custom_Input[[#This Row],[Replacing lamp or fixture?]]&lt;&gt;"",Table_Custom_Input[[#This Row],[Material cost per unit]]*Table_Custom_Input[[#This Row],[Number of proposed units]]+Table_Custom_Input[[#This Row],[Total labor cost]],"")</f>
        <v/>
      </c>
      <c r="AD42" s="67" t="str">
        <f>IF(Table_Custom_Input[[#This Row],[Estimated incentive]]="","",Table_Custom_Input[[#This Row],[Gross measure Cost]]-Table_Custom_Input[[#This Row],[Estimated incentive]])</f>
        <v/>
      </c>
      <c r="AE42" s="69" t="str">
        <f>IFERROR(Table_Custom_Input[[#This Row],[Net measure cost]]/Table_Custom_Input[[#This Row],[Cost savings]], "")</f>
        <v/>
      </c>
      <c r="AF42" s="85">
        <f>IF(Table_Custom_Input[[#This Row],[Use custom or default operating hours?]]="Default", Table_Custom_Input[[#This Row],[Default annual operating hours]], IF(Table_Custom_Input[[#This Row],[Use custom or default operating hours?]]="Custom", Table_Custom_Input[[#This Row],[Custom annual operating hours]], 0))</f>
        <v>0</v>
      </c>
      <c r="AG42" s="85" t="e">
        <f>INDEX(Table_TRM_Fixtures[Fixture Wattage for Baseline Calculations], MATCH(Table_Custom_Input[[#This Row],[Existing fixture code]], Table_TRM_Fixtures[Fixture Code], 0))</f>
        <v>#N/A</v>
      </c>
      <c r="AH42" s="85" t="e">
        <f>INDEX(Table_TRM_Fixtures[Fixture Watts  (TRM Data)], MATCH(Table_Custom_Input[[#This Row],[Proposed fixture code]], Table_TRM_Fixtures[Fixture Code], 0))</f>
        <v>#N/A</v>
      </c>
      <c r="AI42"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42"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42" s="85" t="e">
        <f>INDEX(Table_TRM_Fixtures[Fixture Wattage for Baseline Calculations], MATCH(Table_Custom_Input[[#This Row],[Existing fixture code]], Table_TRM_Fixtures[Fixture Code], 0))/Table_Custom_Input[[#This Row],[Existing lamps per fixture]]</f>
        <v>#N/A</v>
      </c>
      <c r="AL42" s="85" t="str">
        <f>IF(Table_Custom_Input[[#This Row],[Proposed lamp wattage]]="","",Table_Custom_Input[[#This Row],[Proposed lamp wattage]])</f>
        <v/>
      </c>
      <c r="AM42"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42"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43" spans="2:40" s="18" customFormat="1" ht="15" x14ac:dyDescent="0.2">
      <c r="B43" s="61">
        <v>39</v>
      </c>
      <c r="C43" s="61" t="str">
        <f>IFERROR(INDEX(Table_Custom_Measure_No[Custom Measure No], MATCH(Table_Custom_Input[[#This Row],[Existing lighting type]], Table_Custom_Measure_No[List_Light_Type], 0)), "")</f>
        <v/>
      </c>
      <c r="D43" s="192"/>
      <c r="E43" s="179"/>
      <c r="F43" s="58"/>
      <c r="G43" s="58"/>
      <c r="H43" s="68" t="str">
        <f>IFERROR(INDEX(Table_Bldg_Type[AOH], MATCH(Table_Custom_Input[[#This Row],[Building/space type]], Table_Bldg_Type[List_Bldg_Types], 0)), "")</f>
        <v/>
      </c>
      <c r="I43" s="65"/>
      <c r="J43" s="58"/>
      <c r="K43" s="58"/>
      <c r="L43" s="58"/>
      <c r="M43" s="58"/>
      <c r="N43" s="58"/>
      <c r="O43" s="58"/>
      <c r="P43" s="58"/>
      <c r="Q43" s="58"/>
      <c r="R43" s="58"/>
      <c r="S43" s="58"/>
      <c r="T43" s="58"/>
      <c r="U43" s="58"/>
      <c r="V43" s="58"/>
      <c r="W43" s="66"/>
      <c r="X43" s="66"/>
      <c r="Y43" s="67" t="str">
        <f>IFERROR(Table_Custom_Input[[#This Row],[Energy savings (kWh)]]*Value_Custom_IncentRate, "")</f>
        <v/>
      </c>
      <c r="Z43" s="69" t="str">
        <f>IF(Table_Custom_Input[[#This Row],[Replacing lamp or fixture?]]="Fixture", Table_Custom_Input[[#This Row],[Fixture Replacement: Energy Savings]], IF(Table_Custom_Input[[#This Row],[Replacing lamp or fixture?]]="Lamp", Table_Custom_Input[[#This Row],[Lamp Replacement: Energy Savings]], ""))</f>
        <v/>
      </c>
      <c r="AA43" s="73" t="str">
        <f>IF(Table_Custom_Input[[#This Row],[Replacing lamp or fixture?]]="Fixture", Table_Custom_Input[[#This Row],[Fixture Replacement: Demand Savings]], IF(Table_Custom_Input[[#This Row],[Replacing lamp or fixture?]]="Lamp", Table_Custom_Input[[#This Row],[Lamp Replacement: Demand Savings]], ""))</f>
        <v/>
      </c>
      <c r="AB43" s="67" t="str">
        <f>IFERROR(Table_Custom_Input[[#This Row],[Energy savings (kWh)]]*Input_AvgkWhRate, "")</f>
        <v/>
      </c>
      <c r="AC43" s="67" t="str">
        <f>IF(Table_Custom_Input[[#This Row],[Replacing lamp or fixture?]]&lt;&gt;"",Table_Custom_Input[[#This Row],[Material cost per unit]]*Table_Custom_Input[[#This Row],[Number of proposed units]]+Table_Custom_Input[[#This Row],[Total labor cost]],"")</f>
        <v/>
      </c>
      <c r="AD43" s="67" t="str">
        <f>IF(Table_Custom_Input[[#This Row],[Estimated incentive]]="","",Table_Custom_Input[[#This Row],[Gross measure Cost]]-Table_Custom_Input[[#This Row],[Estimated incentive]])</f>
        <v/>
      </c>
      <c r="AE43" s="69" t="str">
        <f>IFERROR(Table_Custom_Input[[#This Row],[Net measure cost]]/Table_Custom_Input[[#This Row],[Cost savings]], "")</f>
        <v/>
      </c>
      <c r="AF43" s="85">
        <f>IF(Table_Custom_Input[[#This Row],[Use custom or default operating hours?]]="Default", Table_Custom_Input[[#This Row],[Default annual operating hours]], IF(Table_Custom_Input[[#This Row],[Use custom or default operating hours?]]="Custom", Table_Custom_Input[[#This Row],[Custom annual operating hours]], 0))</f>
        <v>0</v>
      </c>
      <c r="AG43" s="85" t="e">
        <f>INDEX(Table_TRM_Fixtures[Fixture Wattage for Baseline Calculations], MATCH(Table_Custom_Input[[#This Row],[Existing fixture code]], Table_TRM_Fixtures[Fixture Code], 0))</f>
        <v>#N/A</v>
      </c>
      <c r="AH43" s="85" t="e">
        <f>INDEX(Table_TRM_Fixtures[Fixture Watts  (TRM Data)], MATCH(Table_Custom_Input[[#This Row],[Proposed fixture code]], Table_TRM_Fixtures[Fixture Code], 0))</f>
        <v>#N/A</v>
      </c>
      <c r="AI43"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43"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43" s="85" t="e">
        <f>INDEX(Table_TRM_Fixtures[Fixture Wattage for Baseline Calculations], MATCH(Table_Custom_Input[[#This Row],[Existing fixture code]], Table_TRM_Fixtures[Fixture Code], 0))/Table_Custom_Input[[#This Row],[Existing lamps per fixture]]</f>
        <v>#N/A</v>
      </c>
      <c r="AL43" s="85" t="str">
        <f>IF(Table_Custom_Input[[#This Row],[Proposed lamp wattage]]="","",Table_Custom_Input[[#This Row],[Proposed lamp wattage]])</f>
        <v/>
      </c>
      <c r="AM43"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43"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44" spans="2:40" s="18" customFormat="1" ht="15" x14ac:dyDescent="0.2">
      <c r="B44" s="61">
        <v>40</v>
      </c>
      <c r="C44" s="61" t="str">
        <f>IFERROR(INDEX(Table_Custom_Measure_No[Custom Measure No], MATCH(Table_Custom_Input[[#This Row],[Existing lighting type]], Table_Custom_Measure_No[List_Light_Type], 0)), "")</f>
        <v/>
      </c>
      <c r="D44" s="192"/>
      <c r="E44" s="179"/>
      <c r="F44" s="58"/>
      <c r="G44" s="58"/>
      <c r="H44" s="68" t="str">
        <f>IFERROR(INDEX(Table_Bldg_Type[AOH], MATCH(Table_Custom_Input[[#This Row],[Building/space type]], Table_Bldg_Type[List_Bldg_Types], 0)), "")</f>
        <v/>
      </c>
      <c r="I44" s="65"/>
      <c r="J44" s="58"/>
      <c r="K44" s="58"/>
      <c r="L44" s="58"/>
      <c r="M44" s="58"/>
      <c r="N44" s="58"/>
      <c r="O44" s="58"/>
      <c r="P44" s="58"/>
      <c r="Q44" s="58"/>
      <c r="R44" s="58"/>
      <c r="S44" s="58"/>
      <c r="T44" s="58"/>
      <c r="U44" s="58"/>
      <c r="V44" s="58"/>
      <c r="W44" s="66"/>
      <c r="X44" s="66"/>
      <c r="Y44" s="67" t="str">
        <f>IFERROR(Table_Custom_Input[[#This Row],[Energy savings (kWh)]]*Value_Custom_IncentRate, "")</f>
        <v/>
      </c>
      <c r="Z44" s="69" t="str">
        <f>IF(Table_Custom_Input[[#This Row],[Replacing lamp or fixture?]]="Fixture", Table_Custom_Input[[#This Row],[Fixture Replacement: Energy Savings]], IF(Table_Custom_Input[[#This Row],[Replacing lamp or fixture?]]="Lamp", Table_Custom_Input[[#This Row],[Lamp Replacement: Energy Savings]], ""))</f>
        <v/>
      </c>
      <c r="AA44" s="73" t="str">
        <f>IF(Table_Custom_Input[[#This Row],[Replacing lamp or fixture?]]="Fixture", Table_Custom_Input[[#This Row],[Fixture Replacement: Demand Savings]], IF(Table_Custom_Input[[#This Row],[Replacing lamp or fixture?]]="Lamp", Table_Custom_Input[[#This Row],[Lamp Replacement: Demand Savings]], ""))</f>
        <v/>
      </c>
      <c r="AB44" s="67" t="str">
        <f>IFERROR(Table_Custom_Input[[#This Row],[Energy savings (kWh)]]*Input_AvgkWhRate, "")</f>
        <v/>
      </c>
      <c r="AC44" s="67" t="str">
        <f>IF(Table_Custom_Input[[#This Row],[Replacing lamp or fixture?]]&lt;&gt;"",Table_Custom_Input[[#This Row],[Material cost per unit]]*Table_Custom_Input[[#This Row],[Number of proposed units]]+Table_Custom_Input[[#This Row],[Total labor cost]],"")</f>
        <v/>
      </c>
      <c r="AD44" s="67" t="str">
        <f>IF(Table_Custom_Input[[#This Row],[Estimated incentive]]="","",Table_Custom_Input[[#This Row],[Gross measure Cost]]-Table_Custom_Input[[#This Row],[Estimated incentive]])</f>
        <v/>
      </c>
      <c r="AE44" s="69" t="str">
        <f>IFERROR(Table_Custom_Input[[#This Row],[Net measure cost]]/Table_Custom_Input[[#This Row],[Cost savings]], "")</f>
        <v/>
      </c>
      <c r="AF44" s="85">
        <f>IF(Table_Custom_Input[[#This Row],[Use custom or default operating hours?]]="Default", Table_Custom_Input[[#This Row],[Default annual operating hours]], IF(Table_Custom_Input[[#This Row],[Use custom or default operating hours?]]="Custom", Table_Custom_Input[[#This Row],[Custom annual operating hours]], 0))</f>
        <v>0</v>
      </c>
      <c r="AG44" s="85" t="e">
        <f>INDEX(Table_TRM_Fixtures[Fixture Wattage for Baseline Calculations], MATCH(Table_Custom_Input[[#This Row],[Existing fixture code]], Table_TRM_Fixtures[Fixture Code], 0))</f>
        <v>#N/A</v>
      </c>
      <c r="AH44" s="85" t="e">
        <f>INDEX(Table_TRM_Fixtures[Fixture Watts  (TRM Data)], MATCH(Table_Custom_Input[[#This Row],[Proposed fixture code]], Table_TRM_Fixtures[Fixture Code], 0))</f>
        <v>#N/A</v>
      </c>
      <c r="AI44"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44"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44" s="85" t="e">
        <f>INDEX(Table_TRM_Fixtures[Fixture Wattage for Baseline Calculations], MATCH(Table_Custom_Input[[#This Row],[Existing fixture code]], Table_TRM_Fixtures[Fixture Code], 0))/Table_Custom_Input[[#This Row],[Existing lamps per fixture]]</f>
        <v>#N/A</v>
      </c>
      <c r="AL44" s="85" t="str">
        <f>IF(Table_Custom_Input[[#This Row],[Proposed lamp wattage]]="","",Table_Custom_Input[[#This Row],[Proposed lamp wattage]])</f>
        <v/>
      </c>
      <c r="AM44"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44"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45" spans="2:40" s="18" customFormat="1" ht="15" x14ac:dyDescent="0.2">
      <c r="B45" s="61">
        <v>41</v>
      </c>
      <c r="C45" s="61" t="str">
        <f>IFERROR(INDEX(Table_Custom_Measure_No[Custom Measure No], MATCH(Table_Custom_Input[[#This Row],[Existing lighting type]], Table_Custom_Measure_No[List_Light_Type], 0)), "")</f>
        <v/>
      </c>
      <c r="D45" s="192"/>
      <c r="E45" s="179"/>
      <c r="F45" s="58"/>
      <c r="G45" s="58"/>
      <c r="H45" s="68" t="str">
        <f>IFERROR(INDEX(Table_Bldg_Type[AOH], MATCH(Table_Custom_Input[[#This Row],[Building/space type]], Table_Bldg_Type[List_Bldg_Types], 0)), "")</f>
        <v/>
      </c>
      <c r="I45" s="65"/>
      <c r="J45" s="58"/>
      <c r="K45" s="58"/>
      <c r="L45" s="58"/>
      <c r="M45" s="58"/>
      <c r="N45" s="58"/>
      <c r="O45" s="58"/>
      <c r="P45" s="58"/>
      <c r="Q45" s="58"/>
      <c r="R45" s="58"/>
      <c r="S45" s="58"/>
      <c r="T45" s="58"/>
      <c r="U45" s="58"/>
      <c r="V45" s="58"/>
      <c r="W45" s="66"/>
      <c r="X45" s="66"/>
      <c r="Y45" s="67" t="str">
        <f>IFERROR(Table_Custom_Input[[#This Row],[Energy savings (kWh)]]*Value_Custom_IncentRate, "")</f>
        <v/>
      </c>
      <c r="Z45" s="69" t="str">
        <f>IF(Table_Custom_Input[[#This Row],[Replacing lamp or fixture?]]="Fixture", Table_Custom_Input[[#This Row],[Fixture Replacement: Energy Savings]], IF(Table_Custom_Input[[#This Row],[Replacing lamp or fixture?]]="Lamp", Table_Custom_Input[[#This Row],[Lamp Replacement: Energy Savings]], ""))</f>
        <v/>
      </c>
      <c r="AA45" s="73" t="str">
        <f>IF(Table_Custom_Input[[#This Row],[Replacing lamp or fixture?]]="Fixture", Table_Custom_Input[[#This Row],[Fixture Replacement: Demand Savings]], IF(Table_Custom_Input[[#This Row],[Replacing lamp or fixture?]]="Lamp", Table_Custom_Input[[#This Row],[Lamp Replacement: Demand Savings]], ""))</f>
        <v/>
      </c>
      <c r="AB45" s="67" t="str">
        <f>IFERROR(Table_Custom_Input[[#This Row],[Energy savings (kWh)]]*Input_AvgkWhRate, "")</f>
        <v/>
      </c>
      <c r="AC45" s="67" t="str">
        <f>IF(Table_Custom_Input[[#This Row],[Replacing lamp or fixture?]]&lt;&gt;"",Table_Custom_Input[[#This Row],[Material cost per unit]]*Table_Custom_Input[[#This Row],[Number of proposed units]]+Table_Custom_Input[[#This Row],[Total labor cost]],"")</f>
        <v/>
      </c>
      <c r="AD45" s="67" t="str">
        <f>IF(Table_Custom_Input[[#This Row],[Estimated incentive]]="","",Table_Custom_Input[[#This Row],[Gross measure Cost]]-Table_Custom_Input[[#This Row],[Estimated incentive]])</f>
        <v/>
      </c>
      <c r="AE45" s="69" t="str">
        <f>IFERROR(Table_Custom_Input[[#This Row],[Net measure cost]]/Table_Custom_Input[[#This Row],[Cost savings]], "")</f>
        <v/>
      </c>
      <c r="AF45" s="85">
        <f>IF(Table_Custom_Input[[#This Row],[Use custom or default operating hours?]]="Default", Table_Custom_Input[[#This Row],[Default annual operating hours]], IF(Table_Custom_Input[[#This Row],[Use custom or default operating hours?]]="Custom", Table_Custom_Input[[#This Row],[Custom annual operating hours]], 0))</f>
        <v>0</v>
      </c>
      <c r="AG45" s="85" t="e">
        <f>INDEX(Table_TRM_Fixtures[Fixture Wattage for Baseline Calculations], MATCH(Table_Custom_Input[[#This Row],[Existing fixture code]], Table_TRM_Fixtures[Fixture Code], 0))</f>
        <v>#N/A</v>
      </c>
      <c r="AH45" s="85" t="e">
        <f>INDEX(Table_TRM_Fixtures[Fixture Watts  (TRM Data)], MATCH(Table_Custom_Input[[#This Row],[Proposed fixture code]], Table_TRM_Fixtures[Fixture Code], 0))</f>
        <v>#N/A</v>
      </c>
      <c r="AI45"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45"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45" s="85" t="e">
        <f>INDEX(Table_TRM_Fixtures[Fixture Wattage for Baseline Calculations], MATCH(Table_Custom_Input[[#This Row],[Existing fixture code]], Table_TRM_Fixtures[Fixture Code], 0))/Table_Custom_Input[[#This Row],[Existing lamps per fixture]]</f>
        <v>#N/A</v>
      </c>
      <c r="AL45" s="85" t="str">
        <f>IF(Table_Custom_Input[[#This Row],[Proposed lamp wattage]]="","",Table_Custom_Input[[#This Row],[Proposed lamp wattage]])</f>
        <v/>
      </c>
      <c r="AM45"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45"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46" spans="2:40" s="18" customFormat="1" ht="15" x14ac:dyDescent="0.2">
      <c r="B46" s="61">
        <v>42</v>
      </c>
      <c r="C46" s="61" t="str">
        <f>IFERROR(INDEX(Table_Custom_Measure_No[Custom Measure No], MATCH(Table_Custom_Input[[#This Row],[Existing lighting type]], Table_Custom_Measure_No[List_Light_Type], 0)), "")</f>
        <v/>
      </c>
      <c r="D46" s="192"/>
      <c r="E46" s="179"/>
      <c r="F46" s="58"/>
      <c r="G46" s="58"/>
      <c r="H46" s="68" t="str">
        <f>IFERROR(INDEX(Table_Bldg_Type[AOH], MATCH(Table_Custom_Input[[#This Row],[Building/space type]], Table_Bldg_Type[List_Bldg_Types], 0)), "")</f>
        <v/>
      </c>
      <c r="I46" s="65"/>
      <c r="J46" s="58"/>
      <c r="K46" s="58"/>
      <c r="L46" s="58"/>
      <c r="M46" s="58"/>
      <c r="N46" s="58"/>
      <c r="O46" s="58"/>
      <c r="P46" s="58"/>
      <c r="Q46" s="58"/>
      <c r="R46" s="58"/>
      <c r="S46" s="58"/>
      <c r="T46" s="58"/>
      <c r="U46" s="58"/>
      <c r="V46" s="58"/>
      <c r="W46" s="66"/>
      <c r="X46" s="66"/>
      <c r="Y46" s="67" t="str">
        <f>IFERROR(Table_Custom_Input[[#This Row],[Energy savings (kWh)]]*Value_Custom_IncentRate, "")</f>
        <v/>
      </c>
      <c r="Z46" s="69" t="str">
        <f>IF(Table_Custom_Input[[#This Row],[Replacing lamp or fixture?]]="Fixture", Table_Custom_Input[[#This Row],[Fixture Replacement: Energy Savings]], IF(Table_Custom_Input[[#This Row],[Replacing lamp or fixture?]]="Lamp", Table_Custom_Input[[#This Row],[Lamp Replacement: Energy Savings]], ""))</f>
        <v/>
      </c>
      <c r="AA46" s="73" t="str">
        <f>IF(Table_Custom_Input[[#This Row],[Replacing lamp or fixture?]]="Fixture", Table_Custom_Input[[#This Row],[Fixture Replacement: Demand Savings]], IF(Table_Custom_Input[[#This Row],[Replacing lamp or fixture?]]="Lamp", Table_Custom_Input[[#This Row],[Lamp Replacement: Demand Savings]], ""))</f>
        <v/>
      </c>
      <c r="AB46" s="67" t="str">
        <f>IFERROR(Table_Custom_Input[[#This Row],[Energy savings (kWh)]]*Input_AvgkWhRate, "")</f>
        <v/>
      </c>
      <c r="AC46" s="67" t="str">
        <f>IF(Table_Custom_Input[[#This Row],[Replacing lamp or fixture?]]&lt;&gt;"",Table_Custom_Input[[#This Row],[Material cost per unit]]*Table_Custom_Input[[#This Row],[Number of proposed units]]+Table_Custom_Input[[#This Row],[Total labor cost]],"")</f>
        <v/>
      </c>
      <c r="AD46" s="67" t="str">
        <f>IF(Table_Custom_Input[[#This Row],[Estimated incentive]]="","",Table_Custom_Input[[#This Row],[Gross measure Cost]]-Table_Custom_Input[[#This Row],[Estimated incentive]])</f>
        <v/>
      </c>
      <c r="AE46" s="69" t="str">
        <f>IFERROR(Table_Custom_Input[[#This Row],[Net measure cost]]/Table_Custom_Input[[#This Row],[Cost savings]], "")</f>
        <v/>
      </c>
      <c r="AF46" s="85">
        <f>IF(Table_Custom_Input[[#This Row],[Use custom or default operating hours?]]="Default", Table_Custom_Input[[#This Row],[Default annual operating hours]], IF(Table_Custom_Input[[#This Row],[Use custom or default operating hours?]]="Custom", Table_Custom_Input[[#This Row],[Custom annual operating hours]], 0))</f>
        <v>0</v>
      </c>
      <c r="AG46" s="85" t="e">
        <f>INDEX(Table_TRM_Fixtures[Fixture Wattage for Baseline Calculations], MATCH(Table_Custom_Input[[#This Row],[Existing fixture code]], Table_TRM_Fixtures[Fixture Code], 0))</f>
        <v>#N/A</v>
      </c>
      <c r="AH46" s="85" t="e">
        <f>INDEX(Table_TRM_Fixtures[Fixture Watts  (TRM Data)], MATCH(Table_Custom_Input[[#This Row],[Proposed fixture code]], Table_TRM_Fixtures[Fixture Code], 0))</f>
        <v>#N/A</v>
      </c>
      <c r="AI46"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46"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46" s="85" t="e">
        <f>INDEX(Table_TRM_Fixtures[Fixture Wattage for Baseline Calculations], MATCH(Table_Custom_Input[[#This Row],[Existing fixture code]], Table_TRM_Fixtures[Fixture Code], 0))/Table_Custom_Input[[#This Row],[Existing lamps per fixture]]</f>
        <v>#N/A</v>
      </c>
      <c r="AL46" s="85" t="str">
        <f>IF(Table_Custom_Input[[#This Row],[Proposed lamp wattage]]="","",Table_Custom_Input[[#This Row],[Proposed lamp wattage]])</f>
        <v/>
      </c>
      <c r="AM46"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46"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47" spans="2:40" s="18" customFormat="1" ht="15" x14ac:dyDescent="0.2">
      <c r="B47" s="61">
        <v>43</v>
      </c>
      <c r="C47" s="61" t="str">
        <f>IFERROR(INDEX(Table_Custom_Measure_No[Custom Measure No], MATCH(Table_Custom_Input[[#This Row],[Existing lighting type]], Table_Custom_Measure_No[List_Light_Type], 0)), "")</f>
        <v/>
      </c>
      <c r="D47" s="192"/>
      <c r="E47" s="179"/>
      <c r="F47" s="58"/>
      <c r="G47" s="58"/>
      <c r="H47" s="68" t="str">
        <f>IFERROR(INDEX(Table_Bldg_Type[AOH], MATCH(Table_Custom_Input[[#This Row],[Building/space type]], Table_Bldg_Type[List_Bldg_Types], 0)), "")</f>
        <v/>
      </c>
      <c r="I47" s="65"/>
      <c r="J47" s="58"/>
      <c r="K47" s="58"/>
      <c r="L47" s="58"/>
      <c r="M47" s="58"/>
      <c r="N47" s="58"/>
      <c r="O47" s="58"/>
      <c r="P47" s="58"/>
      <c r="Q47" s="58"/>
      <c r="R47" s="58"/>
      <c r="S47" s="58"/>
      <c r="T47" s="58"/>
      <c r="U47" s="58"/>
      <c r="V47" s="58"/>
      <c r="W47" s="66"/>
      <c r="X47" s="66"/>
      <c r="Y47" s="67" t="str">
        <f>IFERROR(Table_Custom_Input[[#This Row],[Energy savings (kWh)]]*Value_Custom_IncentRate, "")</f>
        <v/>
      </c>
      <c r="Z47" s="69" t="str">
        <f>IF(Table_Custom_Input[[#This Row],[Replacing lamp or fixture?]]="Fixture", Table_Custom_Input[[#This Row],[Fixture Replacement: Energy Savings]], IF(Table_Custom_Input[[#This Row],[Replacing lamp or fixture?]]="Lamp", Table_Custom_Input[[#This Row],[Lamp Replacement: Energy Savings]], ""))</f>
        <v/>
      </c>
      <c r="AA47" s="73" t="str">
        <f>IF(Table_Custom_Input[[#This Row],[Replacing lamp or fixture?]]="Fixture", Table_Custom_Input[[#This Row],[Fixture Replacement: Demand Savings]], IF(Table_Custom_Input[[#This Row],[Replacing lamp or fixture?]]="Lamp", Table_Custom_Input[[#This Row],[Lamp Replacement: Demand Savings]], ""))</f>
        <v/>
      </c>
      <c r="AB47" s="67" t="str">
        <f>IFERROR(Table_Custom_Input[[#This Row],[Energy savings (kWh)]]*Input_AvgkWhRate, "")</f>
        <v/>
      </c>
      <c r="AC47" s="67" t="str">
        <f>IF(Table_Custom_Input[[#This Row],[Replacing lamp or fixture?]]&lt;&gt;"",Table_Custom_Input[[#This Row],[Material cost per unit]]*Table_Custom_Input[[#This Row],[Number of proposed units]]+Table_Custom_Input[[#This Row],[Total labor cost]],"")</f>
        <v/>
      </c>
      <c r="AD47" s="67" t="str">
        <f>IF(Table_Custom_Input[[#This Row],[Estimated incentive]]="","",Table_Custom_Input[[#This Row],[Gross measure Cost]]-Table_Custom_Input[[#This Row],[Estimated incentive]])</f>
        <v/>
      </c>
      <c r="AE47" s="69" t="str">
        <f>IFERROR(Table_Custom_Input[[#This Row],[Net measure cost]]/Table_Custom_Input[[#This Row],[Cost savings]], "")</f>
        <v/>
      </c>
      <c r="AF47" s="85">
        <f>IF(Table_Custom_Input[[#This Row],[Use custom or default operating hours?]]="Default", Table_Custom_Input[[#This Row],[Default annual operating hours]], IF(Table_Custom_Input[[#This Row],[Use custom or default operating hours?]]="Custom", Table_Custom_Input[[#This Row],[Custom annual operating hours]], 0))</f>
        <v>0</v>
      </c>
      <c r="AG47" s="85" t="e">
        <f>INDEX(Table_TRM_Fixtures[Fixture Wattage for Baseline Calculations], MATCH(Table_Custom_Input[[#This Row],[Existing fixture code]], Table_TRM_Fixtures[Fixture Code], 0))</f>
        <v>#N/A</v>
      </c>
      <c r="AH47" s="85" t="e">
        <f>INDEX(Table_TRM_Fixtures[Fixture Watts  (TRM Data)], MATCH(Table_Custom_Input[[#This Row],[Proposed fixture code]], Table_TRM_Fixtures[Fixture Code], 0))</f>
        <v>#N/A</v>
      </c>
      <c r="AI47"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47"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47" s="85" t="e">
        <f>INDEX(Table_TRM_Fixtures[Fixture Wattage for Baseline Calculations], MATCH(Table_Custom_Input[[#This Row],[Existing fixture code]], Table_TRM_Fixtures[Fixture Code], 0))/Table_Custom_Input[[#This Row],[Existing lamps per fixture]]</f>
        <v>#N/A</v>
      </c>
      <c r="AL47" s="85" t="str">
        <f>IF(Table_Custom_Input[[#This Row],[Proposed lamp wattage]]="","",Table_Custom_Input[[#This Row],[Proposed lamp wattage]])</f>
        <v/>
      </c>
      <c r="AM47"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47"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48" spans="2:40" s="18" customFormat="1" ht="15" x14ac:dyDescent="0.2">
      <c r="B48" s="61">
        <v>44</v>
      </c>
      <c r="C48" s="61" t="str">
        <f>IFERROR(INDEX(Table_Custom_Measure_No[Custom Measure No], MATCH(Table_Custom_Input[[#This Row],[Existing lighting type]], Table_Custom_Measure_No[List_Light_Type], 0)), "")</f>
        <v/>
      </c>
      <c r="D48" s="192"/>
      <c r="E48" s="179"/>
      <c r="F48" s="58"/>
      <c r="G48" s="58"/>
      <c r="H48" s="68" t="str">
        <f>IFERROR(INDEX(Table_Bldg_Type[AOH], MATCH(Table_Custom_Input[[#This Row],[Building/space type]], Table_Bldg_Type[List_Bldg_Types], 0)), "")</f>
        <v/>
      </c>
      <c r="I48" s="65"/>
      <c r="J48" s="58"/>
      <c r="K48" s="58"/>
      <c r="L48" s="58"/>
      <c r="M48" s="58"/>
      <c r="N48" s="58"/>
      <c r="O48" s="58"/>
      <c r="P48" s="58"/>
      <c r="Q48" s="58"/>
      <c r="R48" s="58"/>
      <c r="S48" s="58"/>
      <c r="T48" s="58"/>
      <c r="U48" s="58"/>
      <c r="V48" s="58"/>
      <c r="W48" s="66"/>
      <c r="X48" s="66"/>
      <c r="Y48" s="67" t="str">
        <f>IFERROR(Table_Custom_Input[[#This Row],[Energy savings (kWh)]]*Value_Custom_IncentRate, "")</f>
        <v/>
      </c>
      <c r="Z48" s="69" t="str">
        <f>IF(Table_Custom_Input[[#This Row],[Replacing lamp or fixture?]]="Fixture", Table_Custom_Input[[#This Row],[Fixture Replacement: Energy Savings]], IF(Table_Custom_Input[[#This Row],[Replacing lamp or fixture?]]="Lamp", Table_Custom_Input[[#This Row],[Lamp Replacement: Energy Savings]], ""))</f>
        <v/>
      </c>
      <c r="AA48" s="73" t="str">
        <f>IF(Table_Custom_Input[[#This Row],[Replacing lamp or fixture?]]="Fixture", Table_Custom_Input[[#This Row],[Fixture Replacement: Demand Savings]], IF(Table_Custom_Input[[#This Row],[Replacing lamp or fixture?]]="Lamp", Table_Custom_Input[[#This Row],[Lamp Replacement: Demand Savings]], ""))</f>
        <v/>
      </c>
      <c r="AB48" s="67" t="str">
        <f>IFERROR(Table_Custom_Input[[#This Row],[Energy savings (kWh)]]*Input_AvgkWhRate, "")</f>
        <v/>
      </c>
      <c r="AC48" s="67" t="str">
        <f>IF(Table_Custom_Input[[#This Row],[Replacing lamp or fixture?]]&lt;&gt;"",Table_Custom_Input[[#This Row],[Material cost per unit]]*Table_Custom_Input[[#This Row],[Number of proposed units]]+Table_Custom_Input[[#This Row],[Total labor cost]],"")</f>
        <v/>
      </c>
      <c r="AD48" s="67" t="str">
        <f>IF(Table_Custom_Input[[#This Row],[Estimated incentive]]="","",Table_Custom_Input[[#This Row],[Gross measure Cost]]-Table_Custom_Input[[#This Row],[Estimated incentive]])</f>
        <v/>
      </c>
      <c r="AE48" s="69" t="str">
        <f>IFERROR(Table_Custom_Input[[#This Row],[Net measure cost]]/Table_Custom_Input[[#This Row],[Cost savings]], "")</f>
        <v/>
      </c>
      <c r="AF48" s="85">
        <f>IF(Table_Custom_Input[[#This Row],[Use custom or default operating hours?]]="Default", Table_Custom_Input[[#This Row],[Default annual operating hours]], IF(Table_Custom_Input[[#This Row],[Use custom or default operating hours?]]="Custom", Table_Custom_Input[[#This Row],[Custom annual operating hours]], 0))</f>
        <v>0</v>
      </c>
      <c r="AG48" s="85" t="e">
        <f>INDEX(Table_TRM_Fixtures[Fixture Wattage for Baseline Calculations], MATCH(Table_Custom_Input[[#This Row],[Existing fixture code]], Table_TRM_Fixtures[Fixture Code], 0))</f>
        <v>#N/A</v>
      </c>
      <c r="AH48" s="85" t="e">
        <f>INDEX(Table_TRM_Fixtures[Fixture Watts  (TRM Data)], MATCH(Table_Custom_Input[[#This Row],[Proposed fixture code]], Table_TRM_Fixtures[Fixture Code], 0))</f>
        <v>#N/A</v>
      </c>
      <c r="AI48"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48"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48" s="85" t="e">
        <f>INDEX(Table_TRM_Fixtures[Fixture Wattage for Baseline Calculations], MATCH(Table_Custom_Input[[#This Row],[Existing fixture code]], Table_TRM_Fixtures[Fixture Code], 0))/Table_Custom_Input[[#This Row],[Existing lamps per fixture]]</f>
        <v>#N/A</v>
      </c>
      <c r="AL48" s="85" t="str">
        <f>IF(Table_Custom_Input[[#This Row],[Proposed lamp wattage]]="","",Table_Custom_Input[[#This Row],[Proposed lamp wattage]])</f>
        <v/>
      </c>
      <c r="AM48"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48"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49" spans="2:40" s="18" customFormat="1" ht="15" x14ac:dyDescent="0.2">
      <c r="B49" s="61">
        <v>45</v>
      </c>
      <c r="C49" s="61" t="str">
        <f>IFERROR(INDEX(Table_Custom_Measure_No[Custom Measure No], MATCH(Table_Custom_Input[[#This Row],[Existing lighting type]], Table_Custom_Measure_No[List_Light_Type], 0)), "")</f>
        <v/>
      </c>
      <c r="D49" s="192"/>
      <c r="E49" s="179"/>
      <c r="F49" s="58"/>
      <c r="G49" s="58"/>
      <c r="H49" s="68" t="str">
        <f>IFERROR(INDEX(Table_Bldg_Type[AOH], MATCH(Table_Custom_Input[[#This Row],[Building/space type]], Table_Bldg_Type[List_Bldg_Types], 0)), "")</f>
        <v/>
      </c>
      <c r="I49" s="65"/>
      <c r="J49" s="58"/>
      <c r="K49" s="58"/>
      <c r="L49" s="58"/>
      <c r="M49" s="58"/>
      <c r="N49" s="58"/>
      <c r="O49" s="58"/>
      <c r="P49" s="58"/>
      <c r="Q49" s="58"/>
      <c r="R49" s="58"/>
      <c r="S49" s="58"/>
      <c r="T49" s="58"/>
      <c r="U49" s="58"/>
      <c r="V49" s="58"/>
      <c r="W49" s="66"/>
      <c r="X49" s="66"/>
      <c r="Y49" s="67" t="str">
        <f>IFERROR(Table_Custom_Input[[#This Row],[Energy savings (kWh)]]*Value_Custom_IncentRate, "")</f>
        <v/>
      </c>
      <c r="Z49" s="69" t="str">
        <f>IF(Table_Custom_Input[[#This Row],[Replacing lamp or fixture?]]="Fixture", Table_Custom_Input[[#This Row],[Fixture Replacement: Energy Savings]], IF(Table_Custom_Input[[#This Row],[Replacing lamp or fixture?]]="Lamp", Table_Custom_Input[[#This Row],[Lamp Replacement: Energy Savings]], ""))</f>
        <v/>
      </c>
      <c r="AA49" s="73" t="str">
        <f>IF(Table_Custom_Input[[#This Row],[Replacing lamp or fixture?]]="Fixture", Table_Custom_Input[[#This Row],[Fixture Replacement: Demand Savings]], IF(Table_Custom_Input[[#This Row],[Replacing lamp or fixture?]]="Lamp", Table_Custom_Input[[#This Row],[Lamp Replacement: Demand Savings]], ""))</f>
        <v/>
      </c>
      <c r="AB49" s="67" t="str">
        <f>IFERROR(Table_Custom_Input[[#This Row],[Energy savings (kWh)]]*Input_AvgkWhRate, "")</f>
        <v/>
      </c>
      <c r="AC49" s="67" t="str">
        <f>IF(Table_Custom_Input[[#This Row],[Replacing lamp or fixture?]]&lt;&gt;"",Table_Custom_Input[[#This Row],[Material cost per unit]]*Table_Custom_Input[[#This Row],[Number of proposed units]]+Table_Custom_Input[[#This Row],[Total labor cost]],"")</f>
        <v/>
      </c>
      <c r="AD49" s="67" t="str">
        <f>IF(Table_Custom_Input[[#This Row],[Estimated incentive]]="","",Table_Custom_Input[[#This Row],[Gross measure Cost]]-Table_Custom_Input[[#This Row],[Estimated incentive]])</f>
        <v/>
      </c>
      <c r="AE49" s="69" t="str">
        <f>IFERROR(Table_Custom_Input[[#This Row],[Net measure cost]]/Table_Custom_Input[[#This Row],[Cost savings]], "")</f>
        <v/>
      </c>
      <c r="AF49" s="85">
        <f>IF(Table_Custom_Input[[#This Row],[Use custom or default operating hours?]]="Default", Table_Custom_Input[[#This Row],[Default annual operating hours]], IF(Table_Custom_Input[[#This Row],[Use custom or default operating hours?]]="Custom", Table_Custom_Input[[#This Row],[Custom annual operating hours]], 0))</f>
        <v>0</v>
      </c>
      <c r="AG49" s="85" t="e">
        <f>INDEX(Table_TRM_Fixtures[Fixture Wattage for Baseline Calculations], MATCH(Table_Custom_Input[[#This Row],[Existing fixture code]], Table_TRM_Fixtures[Fixture Code], 0))</f>
        <v>#N/A</v>
      </c>
      <c r="AH49" s="85" t="e">
        <f>INDEX(Table_TRM_Fixtures[Fixture Watts  (TRM Data)], MATCH(Table_Custom_Input[[#This Row],[Proposed fixture code]], Table_TRM_Fixtures[Fixture Code], 0))</f>
        <v>#N/A</v>
      </c>
      <c r="AI49"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49"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49" s="85" t="e">
        <f>INDEX(Table_TRM_Fixtures[Fixture Wattage for Baseline Calculations], MATCH(Table_Custom_Input[[#This Row],[Existing fixture code]], Table_TRM_Fixtures[Fixture Code], 0))/Table_Custom_Input[[#This Row],[Existing lamps per fixture]]</f>
        <v>#N/A</v>
      </c>
      <c r="AL49" s="85" t="str">
        <f>IF(Table_Custom_Input[[#This Row],[Proposed lamp wattage]]="","",Table_Custom_Input[[#This Row],[Proposed lamp wattage]])</f>
        <v/>
      </c>
      <c r="AM49"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49"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50" spans="2:40" s="18" customFormat="1" ht="15" x14ac:dyDescent="0.2">
      <c r="B50" s="61">
        <v>46</v>
      </c>
      <c r="C50" s="61" t="str">
        <f>IFERROR(INDEX(Table_Custom_Measure_No[Custom Measure No], MATCH(Table_Custom_Input[[#This Row],[Existing lighting type]], Table_Custom_Measure_No[List_Light_Type], 0)), "")</f>
        <v/>
      </c>
      <c r="D50" s="192"/>
      <c r="E50" s="179"/>
      <c r="F50" s="58"/>
      <c r="G50" s="58"/>
      <c r="H50" s="68" t="str">
        <f>IFERROR(INDEX(Table_Bldg_Type[AOH], MATCH(Table_Custom_Input[[#This Row],[Building/space type]], Table_Bldg_Type[List_Bldg_Types], 0)), "")</f>
        <v/>
      </c>
      <c r="I50" s="65"/>
      <c r="J50" s="58"/>
      <c r="K50" s="58"/>
      <c r="L50" s="58"/>
      <c r="M50" s="58"/>
      <c r="N50" s="58"/>
      <c r="O50" s="58"/>
      <c r="P50" s="58"/>
      <c r="Q50" s="58"/>
      <c r="R50" s="58"/>
      <c r="S50" s="58"/>
      <c r="T50" s="58"/>
      <c r="U50" s="58"/>
      <c r="V50" s="58"/>
      <c r="W50" s="66"/>
      <c r="X50" s="66"/>
      <c r="Y50" s="67" t="str">
        <f>IFERROR(Table_Custom_Input[[#This Row],[Energy savings (kWh)]]*Value_Custom_IncentRate, "")</f>
        <v/>
      </c>
      <c r="Z50" s="69" t="str">
        <f>IF(Table_Custom_Input[[#This Row],[Replacing lamp or fixture?]]="Fixture", Table_Custom_Input[[#This Row],[Fixture Replacement: Energy Savings]], IF(Table_Custom_Input[[#This Row],[Replacing lamp or fixture?]]="Lamp", Table_Custom_Input[[#This Row],[Lamp Replacement: Energy Savings]], ""))</f>
        <v/>
      </c>
      <c r="AA50" s="73" t="str">
        <f>IF(Table_Custom_Input[[#This Row],[Replacing lamp or fixture?]]="Fixture", Table_Custom_Input[[#This Row],[Fixture Replacement: Demand Savings]], IF(Table_Custom_Input[[#This Row],[Replacing lamp or fixture?]]="Lamp", Table_Custom_Input[[#This Row],[Lamp Replacement: Demand Savings]], ""))</f>
        <v/>
      </c>
      <c r="AB50" s="67" t="str">
        <f>IFERROR(Table_Custom_Input[[#This Row],[Energy savings (kWh)]]*Input_AvgkWhRate, "")</f>
        <v/>
      </c>
      <c r="AC50" s="67" t="str">
        <f>IF(Table_Custom_Input[[#This Row],[Replacing lamp or fixture?]]&lt;&gt;"",Table_Custom_Input[[#This Row],[Material cost per unit]]*Table_Custom_Input[[#This Row],[Number of proposed units]]+Table_Custom_Input[[#This Row],[Total labor cost]],"")</f>
        <v/>
      </c>
      <c r="AD50" s="67" t="str">
        <f>IF(Table_Custom_Input[[#This Row],[Estimated incentive]]="","",Table_Custom_Input[[#This Row],[Gross measure Cost]]-Table_Custom_Input[[#This Row],[Estimated incentive]])</f>
        <v/>
      </c>
      <c r="AE50" s="69" t="str">
        <f>IFERROR(Table_Custom_Input[[#This Row],[Net measure cost]]/Table_Custom_Input[[#This Row],[Cost savings]], "")</f>
        <v/>
      </c>
      <c r="AF50" s="85">
        <f>IF(Table_Custom_Input[[#This Row],[Use custom or default operating hours?]]="Default", Table_Custom_Input[[#This Row],[Default annual operating hours]], IF(Table_Custom_Input[[#This Row],[Use custom or default operating hours?]]="Custom", Table_Custom_Input[[#This Row],[Custom annual operating hours]], 0))</f>
        <v>0</v>
      </c>
      <c r="AG50" s="85" t="e">
        <f>INDEX(Table_TRM_Fixtures[Fixture Wattage for Baseline Calculations], MATCH(Table_Custom_Input[[#This Row],[Existing fixture code]], Table_TRM_Fixtures[Fixture Code], 0))</f>
        <v>#N/A</v>
      </c>
      <c r="AH50" s="85" t="e">
        <f>INDEX(Table_TRM_Fixtures[Fixture Watts  (TRM Data)], MATCH(Table_Custom_Input[[#This Row],[Proposed fixture code]], Table_TRM_Fixtures[Fixture Code], 0))</f>
        <v>#N/A</v>
      </c>
      <c r="AI50"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50"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50" s="85" t="e">
        <f>INDEX(Table_TRM_Fixtures[Fixture Wattage for Baseline Calculations], MATCH(Table_Custom_Input[[#This Row],[Existing fixture code]], Table_TRM_Fixtures[Fixture Code], 0))/Table_Custom_Input[[#This Row],[Existing lamps per fixture]]</f>
        <v>#N/A</v>
      </c>
      <c r="AL50" s="85" t="str">
        <f>IF(Table_Custom_Input[[#This Row],[Proposed lamp wattage]]="","",Table_Custom_Input[[#This Row],[Proposed lamp wattage]])</f>
        <v/>
      </c>
      <c r="AM50"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50"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51" spans="2:40" s="18" customFormat="1" ht="15" x14ac:dyDescent="0.2">
      <c r="B51" s="61">
        <v>47</v>
      </c>
      <c r="C51" s="61" t="str">
        <f>IFERROR(INDEX(Table_Custom_Measure_No[Custom Measure No], MATCH(Table_Custom_Input[[#This Row],[Existing lighting type]], Table_Custom_Measure_No[List_Light_Type], 0)), "")</f>
        <v/>
      </c>
      <c r="D51" s="192"/>
      <c r="E51" s="179"/>
      <c r="F51" s="58"/>
      <c r="G51" s="58"/>
      <c r="H51" s="68" t="str">
        <f>IFERROR(INDEX(Table_Bldg_Type[AOH], MATCH(Table_Custom_Input[[#This Row],[Building/space type]], Table_Bldg_Type[List_Bldg_Types], 0)), "")</f>
        <v/>
      </c>
      <c r="I51" s="65"/>
      <c r="J51" s="58"/>
      <c r="K51" s="58"/>
      <c r="L51" s="58"/>
      <c r="M51" s="58"/>
      <c r="N51" s="58"/>
      <c r="O51" s="58"/>
      <c r="P51" s="58"/>
      <c r="Q51" s="58"/>
      <c r="R51" s="58"/>
      <c r="S51" s="58"/>
      <c r="T51" s="58"/>
      <c r="U51" s="58"/>
      <c r="V51" s="58"/>
      <c r="W51" s="66"/>
      <c r="X51" s="66"/>
      <c r="Y51" s="67" t="str">
        <f>IFERROR(Table_Custom_Input[[#This Row],[Energy savings (kWh)]]*Value_Custom_IncentRate, "")</f>
        <v/>
      </c>
      <c r="Z51" s="69" t="str">
        <f>IF(Table_Custom_Input[[#This Row],[Replacing lamp or fixture?]]="Fixture", Table_Custom_Input[[#This Row],[Fixture Replacement: Energy Savings]], IF(Table_Custom_Input[[#This Row],[Replacing lamp or fixture?]]="Lamp", Table_Custom_Input[[#This Row],[Lamp Replacement: Energy Savings]], ""))</f>
        <v/>
      </c>
      <c r="AA51" s="73" t="str">
        <f>IF(Table_Custom_Input[[#This Row],[Replacing lamp or fixture?]]="Fixture", Table_Custom_Input[[#This Row],[Fixture Replacement: Demand Savings]], IF(Table_Custom_Input[[#This Row],[Replacing lamp or fixture?]]="Lamp", Table_Custom_Input[[#This Row],[Lamp Replacement: Demand Savings]], ""))</f>
        <v/>
      </c>
      <c r="AB51" s="67" t="str">
        <f>IFERROR(Table_Custom_Input[[#This Row],[Energy savings (kWh)]]*Input_AvgkWhRate, "")</f>
        <v/>
      </c>
      <c r="AC51" s="67" t="str">
        <f>IF(Table_Custom_Input[[#This Row],[Replacing lamp or fixture?]]&lt;&gt;"",Table_Custom_Input[[#This Row],[Material cost per unit]]*Table_Custom_Input[[#This Row],[Number of proposed units]]+Table_Custom_Input[[#This Row],[Total labor cost]],"")</f>
        <v/>
      </c>
      <c r="AD51" s="67" t="str">
        <f>IF(Table_Custom_Input[[#This Row],[Estimated incentive]]="","",Table_Custom_Input[[#This Row],[Gross measure Cost]]-Table_Custom_Input[[#This Row],[Estimated incentive]])</f>
        <v/>
      </c>
      <c r="AE51" s="69" t="str">
        <f>IFERROR(Table_Custom_Input[[#This Row],[Net measure cost]]/Table_Custom_Input[[#This Row],[Cost savings]], "")</f>
        <v/>
      </c>
      <c r="AF51" s="85">
        <f>IF(Table_Custom_Input[[#This Row],[Use custom or default operating hours?]]="Default", Table_Custom_Input[[#This Row],[Default annual operating hours]], IF(Table_Custom_Input[[#This Row],[Use custom or default operating hours?]]="Custom", Table_Custom_Input[[#This Row],[Custom annual operating hours]], 0))</f>
        <v>0</v>
      </c>
      <c r="AG51" s="85" t="e">
        <f>INDEX(Table_TRM_Fixtures[Fixture Wattage for Baseline Calculations], MATCH(Table_Custom_Input[[#This Row],[Existing fixture code]], Table_TRM_Fixtures[Fixture Code], 0))</f>
        <v>#N/A</v>
      </c>
      <c r="AH51" s="85" t="e">
        <f>INDEX(Table_TRM_Fixtures[Fixture Watts  (TRM Data)], MATCH(Table_Custom_Input[[#This Row],[Proposed fixture code]], Table_TRM_Fixtures[Fixture Code], 0))</f>
        <v>#N/A</v>
      </c>
      <c r="AI51"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51"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51" s="85" t="e">
        <f>INDEX(Table_TRM_Fixtures[Fixture Wattage for Baseline Calculations], MATCH(Table_Custom_Input[[#This Row],[Existing fixture code]], Table_TRM_Fixtures[Fixture Code], 0))/Table_Custom_Input[[#This Row],[Existing lamps per fixture]]</f>
        <v>#N/A</v>
      </c>
      <c r="AL51" s="85" t="str">
        <f>IF(Table_Custom_Input[[#This Row],[Proposed lamp wattage]]="","",Table_Custom_Input[[#This Row],[Proposed lamp wattage]])</f>
        <v/>
      </c>
      <c r="AM51"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51"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52" spans="2:40" s="18" customFormat="1" ht="15" x14ac:dyDescent="0.2">
      <c r="B52" s="61">
        <v>48</v>
      </c>
      <c r="C52" s="61" t="str">
        <f>IFERROR(INDEX(Table_Custom_Measure_No[Custom Measure No], MATCH(Table_Custom_Input[[#This Row],[Existing lighting type]], Table_Custom_Measure_No[List_Light_Type], 0)), "")</f>
        <v/>
      </c>
      <c r="D52" s="192"/>
      <c r="E52" s="179"/>
      <c r="F52" s="58"/>
      <c r="G52" s="58"/>
      <c r="H52" s="68" t="str">
        <f>IFERROR(INDEX(Table_Bldg_Type[AOH], MATCH(Table_Custom_Input[[#This Row],[Building/space type]], Table_Bldg_Type[List_Bldg_Types], 0)), "")</f>
        <v/>
      </c>
      <c r="I52" s="65"/>
      <c r="J52" s="58"/>
      <c r="K52" s="58"/>
      <c r="L52" s="58"/>
      <c r="M52" s="58"/>
      <c r="N52" s="58"/>
      <c r="O52" s="58"/>
      <c r="P52" s="58"/>
      <c r="Q52" s="58"/>
      <c r="R52" s="58"/>
      <c r="S52" s="58"/>
      <c r="T52" s="58"/>
      <c r="U52" s="58"/>
      <c r="V52" s="58"/>
      <c r="W52" s="66"/>
      <c r="X52" s="66"/>
      <c r="Y52" s="67" t="str">
        <f>IFERROR(Table_Custom_Input[[#This Row],[Energy savings (kWh)]]*Value_Custom_IncentRate, "")</f>
        <v/>
      </c>
      <c r="Z52" s="69" t="str">
        <f>IF(Table_Custom_Input[[#This Row],[Replacing lamp or fixture?]]="Fixture", Table_Custom_Input[[#This Row],[Fixture Replacement: Energy Savings]], IF(Table_Custom_Input[[#This Row],[Replacing lamp or fixture?]]="Lamp", Table_Custom_Input[[#This Row],[Lamp Replacement: Energy Savings]], ""))</f>
        <v/>
      </c>
      <c r="AA52" s="73" t="str">
        <f>IF(Table_Custom_Input[[#This Row],[Replacing lamp or fixture?]]="Fixture", Table_Custom_Input[[#This Row],[Fixture Replacement: Demand Savings]], IF(Table_Custom_Input[[#This Row],[Replacing lamp or fixture?]]="Lamp", Table_Custom_Input[[#This Row],[Lamp Replacement: Demand Savings]], ""))</f>
        <v/>
      </c>
      <c r="AB52" s="67" t="str">
        <f>IFERROR(Table_Custom_Input[[#This Row],[Energy savings (kWh)]]*Input_AvgkWhRate, "")</f>
        <v/>
      </c>
      <c r="AC52" s="67" t="str">
        <f>IF(Table_Custom_Input[[#This Row],[Replacing lamp or fixture?]]&lt;&gt;"",Table_Custom_Input[[#This Row],[Material cost per unit]]*Table_Custom_Input[[#This Row],[Number of proposed units]]+Table_Custom_Input[[#This Row],[Total labor cost]],"")</f>
        <v/>
      </c>
      <c r="AD52" s="67" t="str">
        <f>IF(Table_Custom_Input[[#This Row],[Estimated incentive]]="","",Table_Custom_Input[[#This Row],[Gross measure Cost]]-Table_Custom_Input[[#This Row],[Estimated incentive]])</f>
        <v/>
      </c>
      <c r="AE52" s="69" t="str">
        <f>IFERROR(Table_Custom_Input[[#This Row],[Net measure cost]]/Table_Custom_Input[[#This Row],[Cost savings]], "")</f>
        <v/>
      </c>
      <c r="AF52" s="85">
        <f>IF(Table_Custom_Input[[#This Row],[Use custom or default operating hours?]]="Default", Table_Custom_Input[[#This Row],[Default annual operating hours]], IF(Table_Custom_Input[[#This Row],[Use custom or default operating hours?]]="Custom", Table_Custom_Input[[#This Row],[Custom annual operating hours]], 0))</f>
        <v>0</v>
      </c>
      <c r="AG52" s="85" t="e">
        <f>INDEX(Table_TRM_Fixtures[Fixture Wattage for Baseline Calculations], MATCH(Table_Custom_Input[[#This Row],[Existing fixture code]], Table_TRM_Fixtures[Fixture Code], 0))</f>
        <v>#N/A</v>
      </c>
      <c r="AH52" s="85" t="e">
        <f>INDEX(Table_TRM_Fixtures[Fixture Watts  (TRM Data)], MATCH(Table_Custom_Input[[#This Row],[Proposed fixture code]], Table_TRM_Fixtures[Fixture Code], 0))</f>
        <v>#N/A</v>
      </c>
      <c r="AI52"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52"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52" s="85" t="e">
        <f>INDEX(Table_TRM_Fixtures[Fixture Wattage for Baseline Calculations], MATCH(Table_Custom_Input[[#This Row],[Existing fixture code]], Table_TRM_Fixtures[Fixture Code], 0))/Table_Custom_Input[[#This Row],[Existing lamps per fixture]]</f>
        <v>#N/A</v>
      </c>
      <c r="AL52" s="85" t="str">
        <f>IF(Table_Custom_Input[[#This Row],[Proposed lamp wattage]]="","",Table_Custom_Input[[#This Row],[Proposed lamp wattage]])</f>
        <v/>
      </c>
      <c r="AM52"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52"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53" spans="2:40" s="18" customFormat="1" ht="15" x14ac:dyDescent="0.2">
      <c r="B53" s="61">
        <v>49</v>
      </c>
      <c r="C53" s="61" t="str">
        <f>IFERROR(INDEX(Table_Custom_Measure_No[Custom Measure No], MATCH(Table_Custom_Input[[#This Row],[Existing lighting type]], Table_Custom_Measure_No[List_Light_Type], 0)), "")</f>
        <v/>
      </c>
      <c r="D53" s="192"/>
      <c r="E53" s="179"/>
      <c r="F53" s="58"/>
      <c r="G53" s="58"/>
      <c r="H53" s="68" t="str">
        <f>IFERROR(INDEX(Table_Bldg_Type[AOH], MATCH(Table_Custom_Input[[#This Row],[Building/space type]], Table_Bldg_Type[List_Bldg_Types], 0)), "")</f>
        <v/>
      </c>
      <c r="I53" s="65"/>
      <c r="J53" s="58"/>
      <c r="K53" s="58"/>
      <c r="L53" s="58"/>
      <c r="M53" s="58"/>
      <c r="N53" s="58"/>
      <c r="O53" s="58"/>
      <c r="P53" s="58"/>
      <c r="Q53" s="58"/>
      <c r="R53" s="58"/>
      <c r="S53" s="58"/>
      <c r="T53" s="58"/>
      <c r="U53" s="58"/>
      <c r="V53" s="58"/>
      <c r="W53" s="66"/>
      <c r="X53" s="66"/>
      <c r="Y53" s="67" t="str">
        <f>IFERROR(Table_Custom_Input[[#This Row],[Energy savings (kWh)]]*Value_Custom_IncentRate, "")</f>
        <v/>
      </c>
      <c r="Z53" s="69" t="str">
        <f>IF(Table_Custom_Input[[#This Row],[Replacing lamp or fixture?]]="Fixture", Table_Custom_Input[[#This Row],[Fixture Replacement: Energy Savings]], IF(Table_Custom_Input[[#This Row],[Replacing lamp or fixture?]]="Lamp", Table_Custom_Input[[#This Row],[Lamp Replacement: Energy Savings]], ""))</f>
        <v/>
      </c>
      <c r="AA53" s="73" t="str">
        <f>IF(Table_Custom_Input[[#This Row],[Replacing lamp or fixture?]]="Fixture", Table_Custom_Input[[#This Row],[Fixture Replacement: Demand Savings]], IF(Table_Custom_Input[[#This Row],[Replacing lamp or fixture?]]="Lamp", Table_Custom_Input[[#This Row],[Lamp Replacement: Demand Savings]], ""))</f>
        <v/>
      </c>
      <c r="AB53" s="67" t="str">
        <f>IFERROR(Table_Custom_Input[[#This Row],[Energy savings (kWh)]]*Input_AvgkWhRate, "")</f>
        <v/>
      </c>
      <c r="AC53" s="67" t="str">
        <f>IF(Table_Custom_Input[[#This Row],[Replacing lamp or fixture?]]&lt;&gt;"",Table_Custom_Input[[#This Row],[Material cost per unit]]*Table_Custom_Input[[#This Row],[Number of proposed units]]+Table_Custom_Input[[#This Row],[Total labor cost]],"")</f>
        <v/>
      </c>
      <c r="AD53" s="67" t="str">
        <f>IF(Table_Custom_Input[[#This Row],[Estimated incentive]]="","",Table_Custom_Input[[#This Row],[Gross measure Cost]]-Table_Custom_Input[[#This Row],[Estimated incentive]])</f>
        <v/>
      </c>
      <c r="AE53" s="69" t="str">
        <f>IFERROR(Table_Custom_Input[[#This Row],[Net measure cost]]/Table_Custom_Input[[#This Row],[Cost savings]], "")</f>
        <v/>
      </c>
      <c r="AF53" s="85">
        <f>IF(Table_Custom_Input[[#This Row],[Use custom or default operating hours?]]="Default", Table_Custom_Input[[#This Row],[Default annual operating hours]], IF(Table_Custom_Input[[#This Row],[Use custom or default operating hours?]]="Custom", Table_Custom_Input[[#This Row],[Custom annual operating hours]], 0))</f>
        <v>0</v>
      </c>
      <c r="AG53" s="85" t="e">
        <f>INDEX(Table_TRM_Fixtures[Fixture Wattage for Baseline Calculations], MATCH(Table_Custom_Input[[#This Row],[Existing fixture code]], Table_TRM_Fixtures[Fixture Code], 0))</f>
        <v>#N/A</v>
      </c>
      <c r="AH53" s="85" t="e">
        <f>INDEX(Table_TRM_Fixtures[Fixture Watts  (TRM Data)], MATCH(Table_Custom_Input[[#This Row],[Proposed fixture code]], Table_TRM_Fixtures[Fixture Code], 0))</f>
        <v>#N/A</v>
      </c>
      <c r="AI53"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53"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53" s="85" t="e">
        <f>INDEX(Table_TRM_Fixtures[Fixture Wattage for Baseline Calculations], MATCH(Table_Custom_Input[[#This Row],[Existing fixture code]], Table_TRM_Fixtures[Fixture Code], 0))/Table_Custom_Input[[#This Row],[Existing lamps per fixture]]</f>
        <v>#N/A</v>
      </c>
      <c r="AL53" s="85" t="str">
        <f>IF(Table_Custom_Input[[#This Row],[Proposed lamp wattage]]="","",Table_Custom_Input[[#This Row],[Proposed lamp wattage]])</f>
        <v/>
      </c>
      <c r="AM53"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53"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54" spans="2:40" s="18" customFormat="1" ht="15" x14ac:dyDescent="0.2">
      <c r="B54" s="61">
        <v>50</v>
      </c>
      <c r="C54" s="61" t="str">
        <f>IFERROR(INDEX(Table_Custom_Measure_No[Custom Measure No], MATCH(Table_Custom_Input[[#This Row],[Existing lighting type]], Table_Custom_Measure_No[List_Light_Type], 0)), "")</f>
        <v/>
      </c>
      <c r="D54" s="192"/>
      <c r="E54" s="179"/>
      <c r="F54" s="58"/>
      <c r="G54" s="58"/>
      <c r="H54" s="68" t="str">
        <f>IFERROR(INDEX(Table_Bldg_Type[AOH], MATCH(Table_Custom_Input[[#This Row],[Building/space type]], Table_Bldg_Type[List_Bldg_Types], 0)), "")</f>
        <v/>
      </c>
      <c r="I54" s="65"/>
      <c r="J54" s="58"/>
      <c r="K54" s="58"/>
      <c r="L54" s="58"/>
      <c r="M54" s="58"/>
      <c r="N54" s="58"/>
      <c r="O54" s="58"/>
      <c r="P54" s="58"/>
      <c r="Q54" s="58"/>
      <c r="R54" s="58"/>
      <c r="S54" s="58"/>
      <c r="T54" s="58"/>
      <c r="U54" s="58"/>
      <c r="V54" s="58"/>
      <c r="W54" s="66"/>
      <c r="X54" s="66"/>
      <c r="Y54" s="67" t="str">
        <f>IFERROR(Table_Custom_Input[[#This Row],[Energy savings (kWh)]]*Value_Custom_IncentRate, "")</f>
        <v/>
      </c>
      <c r="Z54" s="69" t="str">
        <f>IF(Table_Custom_Input[[#This Row],[Replacing lamp or fixture?]]="Fixture", Table_Custom_Input[[#This Row],[Fixture Replacement: Energy Savings]], IF(Table_Custom_Input[[#This Row],[Replacing lamp or fixture?]]="Lamp", Table_Custom_Input[[#This Row],[Lamp Replacement: Energy Savings]], ""))</f>
        <v/>
      </c>
      <c r="AA54" s="73" t="str">
        <f>IF(Table_Custom_Input[[#This Row],[Replacing lamp or fixture?]]="Fixture", Table_Custom_Input[[#This Row],[Fixture Replacement: Demand Savings]], IF(Table_Custom_Input[[#This Row],[Replacing lamp or fixture?]]="Lamp", Table_Custom_Input[[#This Row],[Lamp Replacement: Demand Savings]], ""))</f>
        <v/>
      </c>
      <c r="AB54" s="67" t="str">
        <f>IFERROR(Table_Custom_Input[[#This Row],[Energy savings (kWh)]]*Input_AvgkWhRate, "")</f>
        <v/>
      </c>
      <c r="AC54" s="67" t="str">
        <f>IF(Table_Custom_Input[[#This Row],[Replacing lamp or fixture?]]&lt;&gt;"",Table_Custom_Input[[#This Row],[Material cost per unit]]*Table_Custom_Input[[#This Row],[Number of proposed units]]+Table_Custom_Input[[#This Row],[Total labor cost]],"")</f>
        <v/>
      </c>
      <c r="AD54" s="67" t="str">
        <f>IF(Table_Custom_Input[[#This Row],[Estimated incentive]]="","",Table_Custom_Input[[#This Row],[Gross measure Cost]]-Table_Custom_Input[[#This Row],[Estimated incentive]])</f>
        <v/>
      </c>
      <c r="AE54" s="69" t="str">
        <f>IFERROR(Table_Custom_Input[[#This Row],[Net measure cost]]/Table_Custom_Input[[#This Row],[Cost savings]], "")</f>
        <v/>
      </c>
      <c r="AF54" s="85">
        <f>IF(Table_Custom_Input[[#This Row],[Use custom or default operating hours?]]="Default", Table_Custom_Input[[#This Row],[Default annual operating hours]], IF(Table_Custom_Input[[#This Row],[Use custom or default operating hours?]]="Custom", Table_Custom_Input[[#This Row],[Custom annual operating hours]], 0))</f>
        <v>0</v>
      </c>
      <c r="AG54" s="85" t="e">
        <f>INDEX(Table_TRM_Fixtures[Fixture Wattage for Baseline Calculations], MATCH(Table_Custom_Input[[#This Row],[Existing fixture code]], Table_TRM_Fixtures[Fixture Code], 0))</f>
        <v>#N/A</v>
      </c>
      <c r="AH54" s="85" t="e">
        <f>INDEX(Table_TRM_Fixtures[Fixture Watts  (TRM Data)], MATCH(Table_Custom_Input[[#This Row],[Proposed fixture code]], Table_TRM_Fixtures[Fixture Code], 0))</f>
        <v>#N/A</v>
      </c>
      <c r="AI54"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54"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54" s="85" t="e">
        <f>INDEX(Table_TRM_Fixtures[Fixture Wattage for Baseline Calculations], MATCH(Table_Custom_Input[[#This Row],[Existing fixture code]], Table_TRM_Fixtures[Fixture Code], 0))/Table_Custom_Input[[#This Row],[Existing lamps per fixture]]</f>
        <v>#N/A</v>
      </c>
      <c r="AL54" s="85" t="str">
        <f>IF(Table_Custom_Input[[#This Row],[Proposed lamp wattage]]="","",Table_Custom_Input[[#This Row],[Proposed lamp wattage]])</f>
        <v/>
      </c>
      <c r="AM54"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54"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55" spans="2:40" s="18" customFormat="1" ht="15" x14ac:dyDescent="0.2">
      <c r="B55" s="61">
        <v>51</v>
      </c>
      <c r="C55" s="61" t="str">
        <f>IFERROR(INDEX(Table_Custom_Measure_No[Custom Measure No], MATCH(Table_Custom_Input[[#This Row],[Existing lighting type]], Table_Custom_Measure_No[List_Light_Type], 0)), "")</f>
        <v/>
      </c>
      <c r="D55" s="192"/>
      <c r="E55" s="179"/>
      <c r="F55" s="58"/>
      <c r="G55" s="58"/>
      <c r="H55" s="68" t="str">
        <f>IFERROR(INDEX(Table_Bldg_Type[AOH], MATCH(Table_Custom_Input[[#This Row],[Building/space type]], Table_Bldg_Type[List_Bldg_Types], 0)), "")</f>
        <v/>
      </c>
      <c r="I55" s="65"/>
      <c r="J55" s="58"/>
      <c r="K55" s="58"/>
      <c r="L55" s="58"/>
      <c r="M55" s="58"/>
      <c r="N55" s="58"/>
      <c r="O55" s="58"/>
      <c r="P55" s="58"/>
      <c r="Q55" s="58"/>
      <c r="R55" s="58"/>
      <c r="S55" s="58"/>
      <c r="T55" s="58"/>
      <c r="U55" s="58"/>
      <c r="V55" s="58"/>
      <c r="W55" s="66"/>
      <c r="X55" s="66"/>
      <c r="Y55" s="67" t="str">
        <f>IFERROR(Table_Custom_Input[[#This Row],[Energy savings (kWh)]]*Value_Custom_IncentRate, "")</f>
        <v/>
      </c>
      <c r="Z55" s="69" t="str">
        <f>IF(Table_Custom_Input[[#This Row],[Replacing lamp or fixture?]]="Fixture", Table_Custom_Input[[#This Row],[Fixture Replacement: Energy Savings]], IF(Table_Custom_Input[[#This Row],[Replacing lamp or fixture?]]="Lamp", Table_Custom_Input[[#This Row],[Lamp Replacement: Energy Savings]], ""))</f>
        <v/>
      </c>
      <c r="AA55" s="73" t="str">
        <f>IF(Table_Custom_Input[[#This Row],[Replacing lamp or fixture?]]="Fixture", Table_Custom_Input[[#This Row],[Fixture Replacement: Demand Savings]], IF(Table_Custom_Input[[#This Row],[Replacing lamp or fixture?]]="Lamp", Table_Custom_Input[[#This Row],[Lamp Replacement: Demand Savings]], ""))</f>
        <v/>
      </c>
      <c r="AB55" s="67" t="str">
        <f>IFERROR(Table_Custom_Input[[#This Row],[Energy savings (kWh)]]*Input_AvgkWhRate, "")</f>
        <v/>
      </c>
      <c r="AC55" s="67" t="str">
        <f>IF(Table_Custom_Input[[#This Row],[Replacing lamp or fixture?]]&lt;&gt;"",Table_Custom_Input[[#This Row],[Material cost per unit]]*Table_Custom_Input[[#This Row],[Number of proposed units]]+Table_Custom_Input[[#This Row],[Total labor cost]],"")</f>
        <v/>
      </c>
      <c r="AD55" s="67" t="str">
        <f>IF(Table_Custom_Input[[#This Row],[Estimated incentive]]="","",Table_Custom_Input[[#This Row],[Gross measure Cost]]-Table_Custom_Input[[#This Row],[Estimated incentive]])</f>
        <v/>
      </c>
      <c r="AE55" s="69" t="str">
        <f>IFERROR(Table_Custom_Input[[#This Row],[Net measure cost]]/Table_Custom_Input[[#This Row],[Cost savings]], "")</f>
        <v/>
      </c>
      <c r="AF55" s="85">
        <f>IF(Table_Custom_Input[[#This Row],[Use custom or default operating hours?]]="Default", Table_Custom_Input[[#This Row],[Default annual operating hours]], IF(Table_Custom_Input[[#This Row],[Use custom or default operating hours?]]="Custom", Table_Custom_Input[[#This Row],[Custom annual operating hours]], 0))</f>
        <v>0</v>
      </c>
      <c r="AG55" s="85" t="e">
        <f>INDEX(Table_TRM_Fixtures[Fixture Wattage for Baseline Calculations], MATCH(Table_Custom_Input[[#This Row],[Existing fixture code]], Table_TRM_Fixtures[Fixture Code], 0))</f>
        <v>#N/A</v>
      </c>
      <c r="AH55" s="85" t="e">
        <f>INDEX(Table_TRM_Fixtures[Fixture Watts  (TRM Data)], MATCH(Table_Custom_Input[[#This Row],[Proposed fixture code]], Table_TRM_Fixtures[Fixture Code], 0))</f>
        <v>#N/A</v>
      </c>
      <c r="AI55"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55"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55" s="85" t="e">
        <f>INDEX(Table_TRM_Fixtures[Fixture Wattage for Baseline Calculations], MATCH(Table_Custom_Input[[#This Row],[Existing fixture code]], Table_TRM_Fixtures[Fixture Code], 0))/Table_Custom_Input[[#This Row],[Existing lamps per fixture]]</f>
        <v>#N/A</v>
      </c>
      <c r="AL55" s="85" t="str">
        <f>IF(Table_Custom_Input[[#This Row],[Proposed lamp wattage]]="","",Table_Custom_Input[[#This Row],[Proposed lamp wattage]])</f>
        <v/>
      </c>
      <c r="AM55"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55"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56" spans="2:40" s="18" customFormat="1" ht="15" x14ac:dyDescent="0.2">
      <c r="B56" s="61">
        <v>52</v>
      </c>
      <c r="C56" s="61" t="str">
        <f>IFERROR(INDEX(Table_Custom_Measure_No[Custom Measure No], MATCH(Table_Custom_Input[[#This Row],[Existing lighting type]], Table_Custom_Measure_No[List_Light_Type], 0)), "")</f>
        <v/>
      </c>
      <c r="D56" s="192"/>
      <c r="E56" s="179"/>
      <c r="F56" s="58"/>
      <c r="G56" s="58"/>
      <c r="H56" s="68" t="str">
        <f>IFERROR(INDEX(Table_Bldg_Type[AOH], MATCH(Table_Custom_Input[[#This Row],[Building/space type]], Table_Bldg_Type[List_Bldg_Types], 0)), "")</f>
        <v/>
      </c>
      <c r="I56" s="65"/>
      <c r="J56" s="58"/>
      <c r="K56" s="58"/>
      <c r="L56" s="58"/>
      <c r="M56" s="58"/>
      <c r="N56" s="58"/>
      <c r="O56" s="58"/>
      <c r="P56" s="58"/>
      <c r="Q56" s="58"/>
      <c r="R56" s="58"/>
      <c r="S56" s="58"/>
      <c r="T56" s="58"/>
      <c r="U56" s="58"/>
      <c r="V56" s="58"/>
      <c r="W56" s="66"/>
      <c r="X56" s="66"/>
      <c r="Y56" s="67" t="str">
        <f>IFERROR(Table_Custom_Input[[#This Row],[Energy savings (kWh)]]*Value_Custom_IncentRate, "")</f>
        <v/>
      </c>
      <c r="Z56" s="69" t="str">
        <f>IF(Table_Custom_Input[[#This Row],[Replacing lamp or fixture?]]="Fixture", Table_Custom_Input[[#This Row],[Fixture Replacement: Energy Savings]], IF(Table_Custom_Input[[#This Row],[Replacing lamp or fixture?]]="Lamp", Table_Custom_Input[[#This Row],[Lamp Replacement: Energy Savings]], ""))</f>
        <v/>
      </c>
      <c r="AA56" s="73" t="str">
        <f>IF(Table_Custom_Input[[#This Row],[Replacing lamp or fixture?]]="Fixture", Table_Custom_Input[[#This Row],[Fixture Replacement: Demand Savings]], IF(Table_Custom_Input[[#This Row],[Replacing lamp or fixture?]]="Lamp", Table_Custom_Input[[#This Row],[Lamp Replacement: Demand Savings]], ""))</f>
        <v/>
      </c>
      <c r="AB56" s="67" t="str">
        <f>IFERROR(Table_Custom_Input[[#This Row],[Energy savings (kWh)]]*Input_AvgkWhRate, "")</f>
        <v/>
      </c>
      <c r="AC56" s="67" t="str">
        <f>IF(Table_Custom_Input[[#This Row],[Replacing lamp or fixture?]]&lt;&gt;"",Table_Custom_Input[[#This Row],[Material cost per unit]]*Table_Custom_Input[[#This Row],[Number of proposed units]]+Table_Custom_Input[[#This Row],[Total labor cost]],"")</f>
        <v/>
      </c>
      <c r="AD56" s="67" t="str">
        <f>IF(Table_Custom_Input[[#This Row],[Estimated incentive]]="","",Table_Custom_Input[[#This Row],[Gross measure Cost]]-Table_Custom_Input[[#This Row],[Estimated incentive]])</f>
        <v/>
      </c>
      <c r="AE56" s="69" t="str">
        <f>IFERROR(Table_Custom_Input[[#This Row],[Net measure cost]]/Table_Custom_Input[[#This Row],[Cost savings]], "")</f>
        <v/>
      </c>
      <c r="AF56" s="85">
        <f>IF(Table_Custom_Input[[#This Row],[Use custom or default operating hours?]]="Default", Table_Custom_Input[[#This Row],[Default annual operating hours]], IF(Table_Custom_Input[[#This Row],[Use custom or default operating hours?]]="Custom", Table_Custom_Input[[#This Row],[Custom annual operating hours]], 0))</f>
        <v>0</v>
      </c>
      <c r="AG56" s="85" t="e">
        <f>INDEX(Table_TRM_Fixtures[Fixture Wattage for Baseline Calculations], MATCH(Table_Custom_Input[[#This Row],[Existing fixture code]], Table_TRM_Fixtures[Fixture Code], 0))</f>
        <v>#N/A</v>
      </c>
      <c r="AH56" s="85" t="e">
        <f>INDEX(Table_TRM_Fixtures[Fixture Watts  (TRM Data)], MATCH(Table_Custom_Input[[#This Row],[Proposed fixture code]], Table_TRM_Fixtures[Fixture Code], 0))</f>
        <v>#N/A</v>
      </c>
      <c r="AI56"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56"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56" s="85" t="e">
        <f>INDEX(Table_TRM_Fixtures[Fixture Wattage for Baseline Calculations], MATCH(Table_Custom_Input[[#This Row],[Existing fixture code]], Table_TRM_Fixtures[Fixture Code], 0))/Table_Custom_Input[[#This Row],[Existing lamps per fixture]]</f>
        <v>#N/A</v>
      </c>
      <c r="AL56" s="85" t="str">
        <f>IF(Table_Custom_Input[[#This Row],[Proposed lamp wattage]]="","",Table_Custom_Input[[#This Row],[Proposed lamp wattage]])</f>
        <v/>
      </c>
      <c r="AM56"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56"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57" spans="2:40" s="18" customFormat="1" ht="15" x14ac:dyDescent="0.2">
      <c r="B57" s="61">
        <v>53</v>
      </c>
      <c r="C57" s="61" t="str">
        <f>IFERROR(INDEX(Table_Custom_Measure_No[Custom Measure No], MATCH(Table_Custom_Input[[#This Row],[Existing lighting type]], Table_Custom_Measure_No[List_Light_Type], 0)), "")</f>
        <v/>
      </c>
      <c r="D57" s="192"/>
      <c r="E57" s="179"/>
      <c r="F57" s="58"/>
      <c r="G57" s="58"/>
      <c r="H57" s="68" t="str">
        <f>IFERROR(INDEX(Table_Bldg_Type[AOH], MATCH(Table_Custom_Input[[#This Row],[Building/space type]], Table_Bldg_Type[List_Bldg_Types], 0)), "")</f>
        <v/>
      </c>
      <c r="I57" s="65"/>
      <c r="J57" s="58"/>
      <c r="K57" s="58"/>
      <c r="L57" s="58"/>
      <c r="M57" s="58"/>
      <c r="N57" s="58"/>
      <c r="O57" s="58"/>
      <c r="P57" s="58"/>
      <c r="Q57" s="58"/>
      <c r="R57" s="58"/>
      <c r="S57" s="58"/>
      <c r="T57" s="58"/>
      <c r="U57" s="58"/>
      <c r="V57" s="58"/>
      <c r="W57" s="66"/>
      <c r="X57" s="66"/>
      <c r="Y57" s="67" t="str">
        <f>IFERROR(Table_Custom_Input[[#This Row],[Energy savings (kWh)]]*Value_Custom_IncentRate, "")</f>
        <v/>
      </c>
      <c r="Z57" s="69" t="str">
        <f>IF(Table_Custom_Input[[#This Row],[Replacing lamp or fixture?]]="Fixture", Table_Custom_Input[[#This Row],[Fixture Replacement: Energy Savings]], IF(Table_Custom_Input[[#This Row],[Replacing lamp or fixture?]]="Lamp", Table_Custom_Input[[#This Row],[Lamp Replacement: Energy Savings]], ""))</f>
        <v/>
      </c>
      <c r="AA57" s="73" t="str">
        <f>IF(Table_Custom_Input[[#This Row],[Replacing lamp or fixture?]]="Fixture", Table_Custom_Input[[#This Row],[Fixture Replacement: Demand Savings]], IF(Table_Custom_Input[[#This Row],[Replacing lamp or fixture?]]="Lamp", Table_Custom_Input[[#This Row],[Lamp Replacement: Demand Savings]], ""))</f>
        <v/>
      </c>
      <c r="AB57" s="67" t="str">
        <f>IFERROR(Table_Custom_Input[[#This Row],[Energy savings (kWh)]]*Input_AvgkWhRate, "")</f>
        <v/>
      </c>
      <c r="AC57" s="67" t="str">
        <f>IF(Table_Custom_Input[[#This Row],[Replacing lamp or fixture?]]&lt;&gt;"",Table_Custom_Input[[#This Row],[Material cost per unit]]*Table_Custom_Input[[#This Row],[Number of proposed units]]+Table_Custom_Input[[#This Row],[Total labor cost]],"")</f>
        <v/>
      </c>
      <c r="AD57" s="67" t="str">
        <f>IF(Table_Custom_Input[[#This Row],[Estimated incentive]]="","",Table_Custom_Input[[#This Row],[Gross measure Cost]]-Table_Custom_Input[[#This Row],[Estimated incentive]])</f>
        <v/>
      </c>
      <c r="AE57" s="69" t="str">
        <f>IFERROR(Table_Custom_Input[[#This Row],[Net measure cost]]/Table_Custom_Input[[#This Row],[Cost savings]], "")</f>
        <v/>
      </c>
      <c r="AF57" s="85">
        <f>IF(Table_Custom_Input[[#This Row],[Use custom or default operating hours?]]="Default", Table_Custom_Input[[#This Row],[Default annual operating hours]], IF(Table_Custom_Input[[#This Row],[Use custom or default operating hours?]]="Custom", Table_Custom_Input[[#This Row],[Custom annual operating hours]], 0))</f>
        <v>0</v>
      </c>
      <c r="AG57" s="85" t="e">
        <f>INDEX(Table_TRM_Fixtures[Fixture Wattage for Baseline Calculations], MATCH(Table_Custom_Input[[#This Row],[Existing fixture code]], Table_TRM_Fixtures[Fixture Code], 0))</f>
        <v>#N/A</v>
      </c>
      <c r="AH57" s="85" t="e">
        <f>INDEX(Table_TRM_Fixtures[Fixture Watts  (TRM Data)], MATCH(Table_Custom_Input[[#This Row],[Proposed fixture code]], Table_TRM_Fixtures[Fixture Code], 0))</f>
        <v>#N/A</v>
      </c>
      <c r="AI57"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57"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57" s="85" t="e">
        <f>INDEX(Table_TRM_Fixtures[Fixture Wattage for Baseline Calculations], MATCH(Table_Custom_Input[[#This Row],[Existing fixture code]], Table_TRM_Fixtures[Fixture Code], 0))/Table_Custom_Input[[#This Row],[Existing lamps per fixture]]</f>
        <v>#N/A</v>
      </c>
      <c r="AL57" s="85" t="str">
        <f>IF(Table_Custom_Input[[#This Row],[Proposed lamp wattage]]="","",Table_Custom_Input[[#This Row],[Proposed lamp wattage]])</f>
        <v/>
      </c>
      <c r="AM57"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57"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58" spans="2:40" s="18" customFormat="1" ht="15" x14ac:dyDescent="0.2">
      <c r="B58" s="61">
        <v>54</v>
      </c>
      <c r="C58" s="61" t="str">
        <f>IFERROR(INDEX(Table_Custom_Measure_No[Custom Measure No], MATCH(Table_Custom_Input[[#This Row],[Existing lighting type]], Table_Custom_Measure_No[List_Light_Type], 0)), "")</f>
        <v/>
      </c>
      <c r="D58" s="192"/>
      <c r="E58" s="179"/>
      <c r="F58" s="58"/>
      <c r="G58" s="58"/>
      <c r="H58" s="68" t="str">
        <f>IFERROR(INDEX(Table_Bldg_Type[AOH], MATCH(Table_Custom_Input[[#This Row],[Building/space type]], Table_Bldg_Type[List_Bldg_Types], 0)), "")</f>
        <v/>
      </c>
      <c r="I58" s="65"/>
      <c r="J58" s="58"/>
      <c r="K58" s="58"/>
      <c r="L58" s="58"/>
      <c r="M58" s="58"/>
      <c r="N58" s="58"/>
      <c r="O58" s="58"/>
      <c r="P58" s="58"/>
      <c r="Q58" s="58"/>
      <c r="R58" s="58"/>
      <c r="S58" s="58"/>
      <c r="T58" s="58"/>
      <c r="U58" s="58"/>
      <c r="V58" s="58"/>
      <c r="W58" s="66"/>
      <c r="X58" s="66"/>
      <c r="Y58" s="67" t="str">
        <f>IFERROR(Table_Custom_Input[[#This Row],[Energy savings (kWh)]]*Value_Custom_IncentRate, "")</f>
        <v/>
      </c>
      <c r="Z58" s="69" t="str">
        <f>IF(Table_Custom_Input[[#This Row],[Replacing lamp or fixture?]]="Fixture", Table_Custom_Input[[#This Row],[Fixture Replacement: Energy Savings]], IF(Table_Custom_Input[[#This Row],[Replacing lamp or fixture?]]="Lamp", Table_Custom_Input[[#This Row],[Lamp Replacement: Energy Savings]], ""))</f>
        <v/>
      </c>
      <c r="AA58" s="73" t="str">
        <f>IF(Table_Custom_Input[[#This Row],[Replacing lamp or fixture?]]="Fixture", Table_Custom_Input[[#This Row],[Fixture Replacement: Demand Savings]], IF(Table_Custom_Input[[#This Row],[Replacing lamp or fixture?]]="Lamp", Table_Custom_Input[[#This Row],[Lamp Replacement: Demand Savings]], ""))</f>
        <v/>
      </c>
      <c r="AB58" s="67" t="str">
        <f>IFERROR(Table_Custom_Input[[#This Row],[Energy savings (kWh)]]*Input_AvgkWhRate, "")</f>
        <v/>
      </c>
      <c r="AC58" s="67" t="str">
        <f>IF(Table_Custom_Input[[#This Row],[Replacing lamp or fixture?]]&lt;&gt;"",Table_Custom_Input[[#This Row],[Material cost per unit]]*Table_Custom_Input[[#This Row],[Number of proposed units]]+Table_Custom_Input[[#This Row],[Total labor cost]],"")</f>
        <v/>
      </c>
      <c r="AD58" s="67" t="str">
        <f>IF(Table_Custom_Input[[#This Row],[Estimated incentive]]="","",Table_Custom_Input[[#This Row],[Gross measure Cost]]-Table_Custom_Input[[#This Row],[Estimated incentive]])</f>
        <v/>
      </c>
      <c r="AE58" s="69" t="str">
        <f>IFERROR(Table_Custom_Input[[#This Row],[Net measure cost]]/Table_Custom_Input[[#This Row],[Cost savings]], "")</f>
        <v/>
      </c>
      <c r="AF58" s="85">
        <f>IF(Table_Custom_Input[[#This Row],[Use custom or default operating hours?]]="Default", Table_Custom_Input[[#This Row],[Default annual operating hours]], IF(Table_Custom_Input[[#This Row],[Use custom or default operating hours?]]="Custom", Table_Custom_Input[[#This Row],[Custom annual operating hours]], 0))</f>
        <v>0</v>
      </c>
      <c r="AG58" s="85" t="e">
        <f>INDEX(Table_TRM_Fixtures[Fixture Wattage for Baseline Calculations], MATCH(Table_Custom_Input[[#This Row],[Existing fixture code]], Table_TRM_Fixtures[Fixture Code], 0))</f>
        <v>#N/A</v>
      </c>
      <c r="AH58" s="85" t="e">
        <f>INDEX(Table_TRM_Fixtures[Fixture Watts  (TRM Data)], MATCH(Table_Custom_Input[[#This Row],[Proposed fixture code]], Table_TRM_Fixtures[Fixture Code], 0))</f>
        <v>#N/A</v>
      </c>
      <c r="AI58"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58"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58" s="85" t="e">
        <f>INDEX(Table_TRM_Fixtures[Fixture Wattage for Baseline Calculations], MATCH(Table_Custom_Input[[#This Row],[Existing fixture code]], Table_TRM_Fixtures[Fixture Code], 0))/Table_Custom_Input[[#This Row],[Existing lamps per fixture]]</f>
        <v>#N/A</v>
      </c>
      <c r="AL58" s="85" t="str">
        <f>IF(Table_Custom_Input[[#This Row],[Proposed lamp wattage]]="","",Table_Custom_Input[[#This Row],[Proposed lamp wattage]])</f>
        <v/>
      </c>
      <c r="AM58"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58"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59" spans="2:40" s="18" customFormat="1" ht="15" x14ac:dyDescent="0.2">
      <c r="B59" s="61">
        <v>55</v>
      </c>
      <c r="C59" s="61" t="str">
        <f>IFERROR(INDEX(Table_Custom_Measure_No[Custom Measure No], MATCH(Table_Custom_Input[[#This Row],[Existing lighting type]], Table_Custom_Measure_No[List_Light_Type], 0)), "")</f>
        <v/>
      </c>
      <c r="D59" s="192"/>
      <c r="E59" s="179"/>
      <c r="F59" s="58"/>
      <c r="G59" s="58"/>
      <c r="H59" s="68" t="str">
        <f>IFERROR(INDEX(Table_Bldg_Type[AOH], MATCH(Table_Custom_Input[[#This Row],[Building/space type]], Table_Bldg_Type[List_Bldg_Types], 0)), "")</f>
        <v/>
      </c>
      <c r="I59" s="65"/>
      <c r="J59" s="58"/>
      <c r="K59" s="58"/>
      <c r="L59" s="58"/>
      <c r="M59" s="58"/>
      <c r="N59" s="58"/>
      <c r="O59" s="58"/>
      <c r="P59" s="58"/>
      <c r="Q59" s="58"/>
      <c r="R59" s="58"/>
      <c r="S59" s="58"/>
      <c r="T59" s="58"/>
      <c r="U59" s="58"/>
      <c r="V59" s="58"/>
      <c r="W59" s="66"/>
      <c r="X59" s="66"/>
      <c r="Y59" s="67" t="str">
        <f>IFERROR(Table_Custom_Input[[#This Row],[Energy savings (kWh)]]*Value_Custom_IncentRate, "")</f>
        <v/>
      </c>
      <c r="Z59" s="69" t="str">
        <f>IF(Table_Custom_Input[[#This Row],[Replacing lamp or fixture?]]="Fixture", Table_Custom_Input[[#This Row],[Fixture Replacement: Energy Savings]], IF(Table_Custom_Input[[#This Row],[Replacing lamp or fixture?]]="Lamp", Table_Custom_Input[[#This Row],[Lamp Replacement: Energy Savings]], ""))</f>
        <v/>
      </c>
      <c r="AA59" s="73" t="str">
        <f>IF(Table_Custom_Input[[#This Row],[Replacing lamp or fixture?]]="Fixture", Table_Custom_Input[[#This Row],[Fixture Replacement: Demand Savings]], IF(Table_Custom_Input[[#This Row],[Replacing lamp or fixture?]]="Lamp", Table_Custom_Input[[#This Row],[Lamp Replacement: Demand Savings]], ""))</f>
        <v/>
      </c>
      <c r="AB59" s="67" t="str">
        <f>IFERROR(Table_Custom_Input[[#This Row],[Energy savings (kWh)]]*Input_AvgkWhRate, "")</f>
        <v/>
      </c>
      <c r="AC59" s="67" t="str">
        <f>IF(Table_Custom_Input[[#This Row],[Replacing lamp or fixture?]]&lt;&gt;"",Table_Custom_Input[[#This Row],[Material cost per unit]]*Table_Custom_Input[[#This Row],[Number of proposed units]]+Table_Custom_Input[[#This Row],[Total labor cost]],"")</f>
        <v/>
      </c>
      <c r="AD59" s="67" t="str">
        <f>IF(Table_Custom_Input[[#This Row],[Estimated incentive]]="","",Table_Custom_Input[[#This Row],[Gross measure Cost]]-Table_Custom_Input[[#This Row],[Estimated incentive]])</f>
        <v/>
      </c>
      <c r="AE59" s="69" t="str">
        <f>IFERROR(Table_Custom_Input[[#This Row],[Net measure cost]]/Table_Custom_Input[[#This Row],[Cost savings]], "")</f>
        <v/>
      </c>
      <c r="AF59" s="85">
        <f>IF(Table_Custom_Input[[#This Row],[Use custom or default operating hours?]]="Default", Table_Custom_Input[[#This Row],[Default annual operating hours]], IF(Table_Custom_Input[[#This Row],[Use custom or default operating hours?]]="Custom", Table_Custom_Input[[#This Row],[Custom annual operating hours]], 0))</f>
        <v>0</v>
      </c>
      <c r="AG59" s="85" t="e">
        <f>INDEX(Table_TRM_Fixtures[Fixture Wattage for Baseline Calculations], MATCH(Table_Custom_Input[[#This Row],[Existing fixture code]], Table_TRM_Fixtures[Fixture Code], 0))</f>
        <v>#N/A</v>
      </c>
      <c r="AH59" s="85" t="e">
        <f>INDEX(Table_TRM_Fixtures[Fixture Watts  (TRM Data)], MATCH(Table_Custom_Input[[#This Row],[Proposed fixture code]], Table_TRM_Fixtures[Fixture Code], 0))</f>
        <v>#N/A</v>
      </c>
      <c r="AI59"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59"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59" s="85" t="e">
        <f>INDEX(Table_TRM_Fixtures[Fixture Wattage for Baseline Calculations], MATCH(Table_Custom_Input[[#This Row],[Existing fixture code]], Table_TRM_Fixtures[Fixture Code], 0))/Table_Custom_Input[[#This Row],[Existing lamps per fixture]]</f>
        <v>#N/A</v>
      </c>
      <c r="AL59" s="85" t="str">
        <f>IF(Table_Custom_Input[[#This Row],[Proposed lamp wattage]]="","",Table_Custom_Input[[#This Row],[Proposed lamp wattage]])</f>
        <v/>
      </c>
      <c r="AM59"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59"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60" spans="2:40" s="18" customFormat="1" ht="15" x14ac:dyDescent="0.2">
      <c r="B60" s="61">
        <v>56</v>
      </c>
      <c r="C60" s="61" t="str">
        <f>IFERROR(INDEX(Table_Custom_Measure_No[Custom Measure No], MATCH(Table_Custom_Input[[#This Row],[Existing lighting type]], Table_Custom_Measure_No[List_Light_Type], 0)), "")</f>
        <v/>
      </c>
      <c r="D60" s="192"/>
      <c r="E60" s="179"/>
      <c r="F60" s="58"/>
      <c r="G60" s="58"/>
      <c r="H60" s="68" t="str">
        <f>IFERROR(INDEX(Table_Bldg_Type[AOH], MATCH(Table_Custom_Input[[#This Row],[Building/space type]], Table_Bldg_Type[List_Bldg_Types], 0)), "")</f>
        <v/>
      </c>
      <c r="I60" s="65"/>
      <c r="J60" s="58"/>
      <c r="K60" s="58"/>
      <c r="L60" s="58"/>
      <c r="M60" s="58"/>
      <c r="N60" s="58"/>
      <c r="O60" s="58"/>
      <c r="P60" s="58"/>
      <c r="Q60" s="58"/>
      <c r="R60" s="58"/>
      <c r="S60" s="58"/>
      <c r="T60" s="58"/>
      <c r="U60" s="58"/>
      <c r="V60" s="58"/>
      <c r="W60" s="66"/>
      <c r="X60" s="66"/>
      <c r="Y60" s="67" t="str">
        <f>IFERROR(Table_Custom_Input[[#This Row],[Energy savings (kWh)]]*Value_Custom_IncentRate, "")</f>
        <v/>
      </c>
      <c r="Z60" s="69" t="str">
        <f>IF(Table_Custom_Input[[#This Row],[Replacing lamp or fixture?]]="Fixture", Table_Custom_Input[[#This Row],[Fixture Replacement: Energy Savings]], IF(Table_Custom_Input[[#This Row],[Replacing lamp or fixture?]]="Lamp", Table_Custom_Input[[#This Row],[Lamp Replacement: Energy Savings]], ""))</f>
        <v/>
      </c>
      <c r="AA60" s="73" t="str">
        <f>IF(Table_Custom_Input[[#This Row],[Replacing lamp or fixture?]]="Fixture", Table_Custom_Input[[#This Row],[Fixture Replacement: Demand Savings]], IF(Table_Custom_Input[[#This Row],[Replacing lamp or fixture?]]="Lamp", Table_Custom_Input[[#This Row],[Lamp Replacement: Demand Savings]], ""))</f>
        <v/>
      </c>
      <c r="AB60" s="67" t="str">
        <f>IFERROR(Table_Custom_Input[[#This Row],[Energy savings (kWh)]]*Input_AvgkWhRate, "")</f>
        <v/>
      </c>
      <c r="AC60" s="67" t="str">
        <f>IF(Table_Custom_Input[[#This Row],[Replacing lamp or fixture?]]&lt;&gt;"",Table_Custom_Input[[#This Row],[Material cost per unit]]*Table_Custom_Input[[#This Row],[Number of proposed units]]+Table_Custom_Input[[#This Row],[Total labor cost]],"")</f>
        <v/>
      </c>
      <c r="AD60" s="67" t="str">
        <f>IF(Table_Custom_Input[[#This Row],[Estimated incentive]]="","",Table_Custom_Input[[#This Row],[Gross measure Cost]]-Table_Custom_Input[[#This Row],[Estimated incentive]])</f>
        <v/>
      </c>
      <c r="AE60" s="69" t="str">
        <f>IFERROR(Table_Custom_Input[[#This Row],[Net measure cost]]/Table_Custom_Input[[#This Row],[Cost savings]], "")</f>
        <v/>
      </c>
      <c r="AF60" s="85">
        <f>IF(Table_Custom_Input[[#This Row],[Use custom or default operating hours?]]="Default", Table_Custom_Input[[#This Row],[Default annual operating hours]], IF(Table_Custom_Input[[#This Row],[Use custom or default operating hours?]]="Custom", Table_Custom_Input[[#This Row],[Custom annual operating hours]], 0))</f>
        <v>0</v>
      </c>
      <c r="AG60" s="85" t="e">
        <f>INDEX(Table_TRM_Fixtures[Fixture Wattage for Baseline Calculations], MATCH(Table_Custom_Input[[#This Row],[Existing fixture code]], Table_TRM_Fixtures[Fixture Code], 0))</f>
        <v>#N/A</v>
      </c>
      <c r="AH60" s="85" t="e">
        <f>INDEX(Table_TRM_Fixtures[Fixture Watts  (TRM Data)], MATCH(Table_Custom_Input[[#This Row],[Proposed fixture code]], Table_TRM_Fixtures[Fixture Code], 0))</f>
        <v>#N/A</v>
      </c>
      <c r="AI60"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60"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60" s="85" t="e">
        <f>INDEX(Table_TRM_Fixtures[Fixture Wattage for Baseline Calculations], MATCH(Table_Custom_Input[[#This Row],[Existing fixture code]], Table_TRM_Fixtures[Fixture Code], 0))/Table_Custom_Input[[#This Row],[Existing lamps per fixture]]</f>
        <v>#N/A</v>
      </c>
      <c r="AL60" s="85" t="str">
        <f>IF(Table_Custom_Input[[#This Row],[Proposed lamp wattage]]="","",Table_Custom_Input[[#This Row],[Proposed lamp wattage]])</f>
        <v/>
      </c>
      <c r="AM60"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60"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61" spans="2:40" s="18" customFormat="1" ht="15" x14ac:dyDescent="0.2">
      <c r="B61" s="61">
        <v>57</v>
      </c>
      <c r="C61" s="61" t="str">
        <f>IFERROR(INDEX(Table_Custom_Measure_No[Custom Measure No], MATCH(Table_Custom_Input[[#This Row],[Existing lighting type]], Table_Custom_Measure_No[List_Light_Type], 0)), "")</f>
        <v/>
      </c>
      <c r="D61" s="192"/>
      <c r="E61" s="179"/>
      <c r="F61" s="58"/>
      <c r="G61" s="58"/>
      <c r="H61" s="68" t="str">
        <f>IFERROR(INDEX(Table_Bldg_Type[AOH], MATCH(Table_Custom_Input[[#This Row],[Building/space type]], Table_Bldg_Type[List_Bldg_Types], 0)), "")</f>
        <v/>
      </c>
      <c r="I61" s="65"/>
      <c r="J61" s="58"/>
      <c r="K61" s="58"/>
      <c r="L61" s="58"/>
      <c r="M61" s="58"/>
      <c r="N61" s="58"/>
      <c r="O61" s="58"/>
      <c r="P61" s="58"/>
      <c r="Q61" s="58"/>
      <c r="R61" s="58"/>
      <c r="S61" s="58"/>
      <c r="T61" s="58"/>
      <c r="U61" s="58"/>
      <c r="V61" s="58"/>
      <c r="W61" s="66"/>
      <c r="X61" s="66"/>
      <c r="Y61" s="67" t="str">
        <f>IFERROR(Table_Custom_Input[[#This Row],[Energy savings (kWh)]]*Value_Custom_IncentRate, "")</f>
        <v/>
      </c>
      <c r="Z61" s="69" t="str">
        <f>IF(Table_Custom_Input[[#This Row],[Replacing lamp or fixture?]]="Fixture", Table_Custom_Input[[#This Row],[Fixture Replacement: Energy Savings]], IF(Table_Custom_Input[[#This Row],[Replacing lamp or fixture?]]="Lamp", Table_Custom_Input[[#This Row],[Lamp Replacement: Energy Savings]], ""))</f>
        <v/>
      </c>
      <c r="AA61" s="73" t="str">
        <f>IF(Table_Custom_Input[[#This Row],[Replacing lamp or fixture?]]="Fixture", Table_Custom_Input[[#This Row],[Fixture Replacement: Demand Savings]], IF(Table_Custom_Input[[#This Row],[Replacing lamp or fixture?]]="Lamp", Table_Custom_Input[[#This Row],[Lamp Replacement: Demand Savings]], ""))</f>
        <v/>
      </c>
      <c r="AB61" s="67" t="str">
        <f>IFERROR(Table_Custom_Input[[#This Row],[Energy savings (kWh)]]*Input_AvgkWhRate, "")</f>
        <v/>
      </c>
      <c r="AC61" s="67" t="str">
        <f>IF(Table_Custom_Input[[#This Row],[Replacing lamp or fixture?]]&lt;&gt;"",Table_Custom_Input[[#This Row],[Material cost per unit]]*Table_Custom_Input[[#This Row],[Number of proposed units]]+Table_Custom_Input[[#This Row],[Total labor cost]],"")</f>
        <v/>
      </c>
      <c r="AD61" s="67" t="str">
        <f>IF(Table_Custom_Input[[#This Row],[Estimated incentive]]="","",Table_Custom_Input[[#This Row],[Gross measure Cost]]-Table_Custom_Input[[#This Row],[Estimated incentive]])</f>
        <v/>
      </c>
      <c r="AE61" s="69" t="str">
        <f>IFERROR(Table_Custom_Input[[#This Row],[Net measure cost]]/Table_Custom_Input[[#This Row],[Cost savings]], "")</f>
        <v/>
      </c>
      <c r="AF61" s="85">
        <f>IF(Table_Custom_Input[[#This Row],[Use custom or default operating hours?]]="Default", Table_Custom_Input[[#This Row],[Default annual operating hours]], IF(Table_Custom_Input[[#This Row],[Use custom or default operating hours?]]="Custom", Table_Custom_Input[[#This Row],[Custom annual operating hours]], 0))</f>
        <v>0</v>
      </c>
      <c r="AG61" s="85" t="e">
        <f>INDEX(Table_TRM_Fixtures[Fixture Wattage for Baseline Calculations], MATCH(Table_Custom_Input[[#This Row],[Existing fixture code]], Table_TRM_Fixtures[Fixture Code], 0))</f>
        <v>#N/A</v>
      </c>
      <c r="AH61" s="85" t="e">
        <f>INDEX(Table_TRM_Fixtures[Fixture Watts  (TRM Data)], MATCH(Table_Custom_Input[[#This Row],[Proposed fixture code]], Table_TRM_Fixtures[Fixture Code], 0))</f>
        <v>#N/A</v>
      </c>
      <c r="AI61"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61"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61" s="85" t="e">
        <f>INDEX(Table_TRM_Fixtures[Fixture Wattage for Baseline Calculations], MATCH(Table_Custom_Input[[#This Row],[Existing fixture code]], Table_TRM_Fixtures[Fixture Code], 0))/Table_Custom_Input[[#This Row],[Existing lamps per fixture]]</f>
        <v>#N/A</v>
      </c>
      <c r="AL61" s="85" t="str">
        <f>IF(Table_Custom_Input[[#This Row],[Proposed lamp wattage]]="","",Table_Custom_Input[[#This Row],[Proposed lamp wattage]])</f>
        <v/>
      </c>
      <c r="AM61"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61"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62" spans="2:40" s="18" customFormat="1" ht="15" x14ac:dyDescent="0.2">
      <c r="B62" s="61">
        <v>58</v>
      </c>
      <c r="C62" s="61" t="str">
        <f>IFERROR(INDEX(Table_Custom_Measure_No[Custom Measure No], MATCH(Table_Custom_Input[[#This Row],[Existing lighting type]], Table_Custom_Measure_No[List_Light_Type], 0)), "")</f>
        <v/>
      </c>
      <c r="D62" s="192"/>
      <c r="E62" s="179"/>
      <c r="F62" s="58"/>
      <c r="G62" s="58"/>
      <c r="H62" s="68" t="str">
        <f>IFERROR(INDEX(Table_Bldg_Type[AOH], MATCH(Table_Custom_Input[[#This Row],[Building/space type]], Table_Bldg_Type[List_Bldg_Types], 0)), "")</f>
        <v/>
      </c>
      <c r="I62" s="65"/>
      <c r="J62" s="58"/>
      <c r="K62" s="58"/>
      <c r="L62" s="58"/>
      <c r="M62" s="58"/>
      <c r="N62" s="58"/>
      <c r="O62" s="58"/>
      <c r="P62" s="58"/>
      <c r="Q62" s="58"/>
      <c r="R62" s="58"/>
      <c r="S62" s="58"/>
      <c r="T62" s="58"/>
      <c r="U62" s="58"/>
      <c r="V62" s="58"/>
      <c r="W62" s="66"/>
      <c r="X62" s="66"/>
      <c r="Y62" s="67" t="str">
        <f>IFERROR(Table_Custom_Input[[#This Row],[Energy savings (kWh)]]*Value_Custom_IncentRate, "")</f>
        <v/>
      </c>
      <c r="Z62" s="69" t="str">
        <f>IF(Table_Custom_Input[[#This Row],[Replacing lamp or fixture?]]="Fixture", Table_Custom_Input[[#This Row],[Fixture Replacement: Energy Savings]], IF(Table_Custom_Input[[#This Row],[Replacing lamp or fixture?]]="Lamp", Table_Custom_Input[[#This Row],[Lamp Replacement: Energy Savings]], ""))</f>
        <v/>
      </c>
      <c r="AA62" s="73" t="str">
        <f>IF(Table_Custom_Input[[#This Row],[Replacing lamp or fixture?]]="Fixture", Table_Custom_Input[[#This Row],[Fixture Replacement: Demand Savings]], IF(Table_Custom_Input[[#This Row],[Replacing lamp or fixture?]]="Lamp", Table_Custom_Input[[#This Row],[Lamp Replacement: Demand Savings]], ""))</f>
        <v/>
      </c>
      <c r="AB62" s="67" t="str">
        <f>IFERROR(Table_Custom_Input[[#This Row],[Energy savings (kWh)]]*Input_AvgkWhRate, "")</f>
        <v/>
      </c>
      <c r="AC62" s="67" t="str">
        <f>IF(Table_Custom_Input[[#This Row],[Replacing lamp or fixture?]]&lt;&gt;"",Table_Custom_Input[[#This Row],[Material cost per unit]]*Table_Custom_Input[[#This Row],[Number of proposed units]]+Table_Custom_Input[[#This Row],[Total labor cost]],"")</f>
        <v/>
      </c>
      <c r="AD62" s="67" t="str">
        <f>IF(Table_Custom_Input[[#This Row],[Estimated incentive]]="","",Table_Custom_Input[[#This Row],[Gross measure Cost]]-Table_Custom_Input[[#This Row],[Estimated incentive]])</f>
        <v/>
      </c>
      <c r="AE62" s="69" t="str">
        <f>IFERROR(Table_Custom_Input[[#This Row],[Net measure cost]]/Table_Custom_Input[[#This Row],[Cost savings]], "")</f>
        <v/>
      </c>
      <c r="AF62" s="85">
        <f>IF(Table_Custom_Input[[#This Row],[Use custom or default operating hours?]]="Default", Table_Custom_Input[[#This Row],[Default annual operating hours]], IF(Table_Custom_Input[[#This Row],[Use custom or default operating hours?]]="Custom", Table_Custom_Input[[#This Row],[Custom annual operating hours]], 0))</f>
        <v>0</v>
      </c>
      <c r="AG62" s="85" t="e">
        <f>INDEX(Table_TRM_Fixtures[Fixture Wattage for Baseline Calculations], MATCH(Table_Custom_Input[[#This Row],[Existing fixture code]], Table_TRM_Fixtures[Fixture Code], 0))</f>
        <v>#N/A</v>
      </c>
      <c r="AH62" s="85" t="e">
        <f>INDEX(Table_TRM_Fixtures[Fixture Watts  (TRM Data)], MATCH(Table_Custom_Input[[#This Row],[Proposed fixture code]], Table_TRM_Fixtures[Fixture Code], 0))</f>
        <v>#N/A</v>
      </c>
      <c r="AI62"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62"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62" s="85" t="e">
        <f>INDEX(Table_TRM_Fixtures[Fixture Wattage for Baseline Calculations], MATCH(Table_Custom_Input[[#This Row],[Existing fixture code]], Table_TRM_Fixtures[Fixture Code], 0))/Table_Custom_Input[[#This Row],[Existing lamps per fixture]]</f>
        <v>#N/A</v>
      </c>
      <c r="AL62" s="85" t="str">
        <f>IF(Table_Custom_Input[[#This Row],[Proposed lamp wattage]]="","",Table_Custom_Input[[#This Row],[Proposed lamp wattage]])</f>
        <v/>
      </c>
      <c r="AM62"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62"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63" spans="2:40" s="18" customFormat="1" ht="15" x14ac:dyDescent="0.2">
      <c r="B63" s="61">
        <v>59</v>
      </c>
      <c r="C63" s="61" t="str">
        <f>IFERROR(INDEX(Table_Custom_Measure_No[Custom Measure No], MATCH(Table_Custom_Input[[#This Row],[Existing lighting type]], Table_Custom_Measure_No[List_Light_Type], 0)), "")</f>
        <v/>
      </c>
      <c r="D63" s="192"/>
      <c r="E63" s="179"/>
      <c r="F63" s="58"/>
      <c r="G63" s="58"/>
      <c r="H63" s="68" t="str">
        <f>IFERROR(INDEX(Table_Bldg_Type[AOH], MATCH(Table_Custom_Input[[#This Row],[Building/space type]], Table_Bldg_Type[List_Bldg_Types], 0)), "")</f>
        <v/>
      </c>
      <c r="I63" s="65"/>
      <c r="J63" s="58"/>
      <c r="K63" s="58"/>
      <c r="L63" s="58"/>
      <c r="M63" s="58"/>
      <c r="N63" s="58"/>
      <c r="O63" s="58"/>
      <c r="P63" s="58"/>
      <c r="Q63" s="58"/>
      <c r="R63" s="58"/>
      <c r="S63" s="58"/>
      <c r="T63" s="58"/>
      <c r="U63" s="58"/>
      <c r="V63" s="58"/>
      <c r="W63" s="66"/>
      <c r="X63" s="66"/>
      <c r="Y63" s="67" t="str">
        <f>IFERROR(Table_Custom_Input[[#This Row],[Energy savings (kWh)]]*Value_Custom_IncentRate, "")</f>
        <v/>
      </c>
      <c r="Z63" s="69" t="str">
        <f>IF(Table_Custom_Input[[#This Row],[Replacing lamp or fixture?]]="Fixture", Table_Custom_Input[[#This Row],[Fixture Replacement: Energy Savings]], IF(Table_Custom_Input[[#This Row],[Replacing lamp or fixture?]]="Lamp", Table_Custom_Input[[#This Row],[Lamp Replacement: Energy Savings]], ""))</f>
        <v/>
      </c>
      <c r="AA63" s="73" t="str">
        <f>IF(Table_Custom_Input[[#This Row],[Replacing lamp or fixture?]]="Fixture", Table_Custom_Input[[#This Row],[Fixture Replacement: Demand Savings]], IF(Table_Custom_Input[[#This Row],[Replacing lamp or fixture?]]="Lamp", Table_Custom_Input[[#This Row],[Lamp Replacement: Demand Savings]], ""))</f>
        <v/>
      </c>
      <c r="AB63" s="67" t="str">
        <f>IFERROR(Table_Custom_Input[[#This Row],[Energy savings (kWh)]]*Input_AvgkWhRate, "")</f>
        <v/>
      </c>
      <c r="AC63" s="67" t="str">
        <f>IF(Table_Custom_Input[[#This Row],[Replacing lamp or fixture?]]&lt;&gt;"",Table_Custom_Input[[#This Row],[Material cost per unit]]*Table_Custom_Input[[#This Row],[Number of proposed units]]+Table_Custom_Input[[#This Row],[Total labor cost]],"")</f>
        <v/>
      </c>
      <c r="AD63" s="67" t="str">
        <f>IF(Table_Custom_Input[[#This Row],[Estimated incentive]]="","",Table_Custom_Input[[#This Row],[Gross measure Cost]]-Table_Custom_Input[[#This Row],[Estimated incentive]])</f>
        <v/>
      </c>
      <c r="AE63" s="69" t="str">
        <f>IFERROR(Table_Custom_Input[[#This Row],[Net measure cost]]/Table_Custom_Input[[#This Row],[Cost savings]], "")</f>
        <v/>
      </c>
      <c r="AF63" s="85">
        <f>IF(Table_Custom_Input[[#This Row],[Use custom or default operating hours?]]="Default", Table_Custom_Input[[#This Row],[Default annual operating hours]], IF(Table_Custom_Input[[#This Row],[Use custom or default operating hours?]]="Custom", Table_Custom_Input[[#This Row],[Custom annual operating hours]], 0))</f>
        <v>0</v>
      </c>
      <c r="AG63" s="85" t="e">
        <f>INDEX(Table_TRM_Fixtures[Fixture Wattage for Baseline Calculations], MATCH(Table_Custom_Input[[#This Row],[Existing fixture code]], Table_TRM_Fixtures[Fixture Code], 0))</f>
        <v>#N/A</v>
      </c>
      <c r="AH63" s="85" t="e">
        <f>INDEX(Table_TRM_Fixtures[Fixture Watts  (TRM Data)], MATCH(Table_Custom_Input[[#This Row],[Proposed fixture code]], Table_TRM_Fixtures[Fixture Code], 0))</f>
        <v>#N/A</v>
      </c>
      <c r="AI63"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63"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63" s="85" t="e">
        <f>INDEX(Table_TRM_Fixtures[Fixture Wattage for Baseline Calculations], MATCH(Table_Custom_Input[[#This Row],[Existing fixture code]], Table_TRM_Fixtures[Fixture Code], 0))/Table_Custom_Input[[#This Row],[Existing lamps per fixture]]</f>
        <v>#N/A</v>
      </c>
      <c r="AL63" s="85" t="str">
        <f>IF(Table_Custom_Input[[#This Row],[Proposed lamp wattage]]="","",Table_Custom_Input[[#This Row],[Proposed lamp wattage]])</f>
        <v/>
      </c>
      <c r="AM63"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63"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64" spans="2:40" s="18" customFormat="1" ht="15" x14ac:dyDescent="0.2">
      <c r="B64" s="61">
        <v>60</v>
      </c>
      <c r="C64" s="61" t="str">
        <f>IFERROR(INDEX(Table_Custom_Measure_No[Custom Measure No], MATCH(Table_Custom_Input[[#This Row],[Existing lighting type]], Table_Custom_Measure_No[List_Light_Type], 0)), "")</f>
        <v/>
      </c>
      <c r="D64" s="192"/>
      <c r="E64" s="179"/>
      <c r="F64" s="58"/>
      <c r="G64" s="58"/>
      <c r="H64" s="68" t="str">
        <f>IFERROR(INDEX(Table_Bldg_Type[AOH], MATCH(Table_Custom_Input[[#This Row],[Building/space type]], Table_Bldg_Type[List_Bldg_Types], 0)), "")</f>
        <v/>
      </c>
      <c r="I64" s="65"/>
      <c r="J64" s="58"/>
      <c r="K64" s="58"/>
      <c r="L64" s="58"/>
      <c r="M64" s="58"/>
      <c r="N64" s="58"/>
      <c r="O64" s="58"/>
      <c r="P64" s="58"/>
      <c r="Q64" s="58"/>
      <c r="R64" s="58"/>
      <c r="S64" s="58"/>
      <c r="T64" s="58"/>
      <c r="U64" s="58"/>
      <c r="V64" s="58"/>
      <c r="W64" s="66"/>
      <c r="X64" s="66"/>
      <c r="Y64" s="67" t="str">
        <f>IFERROR(Table_Custom_Input[[#This Row],[Energy savings (kWh)]]*Value_Custom_IncentRate, "")</f>
        <v/>
      </c>
      <c r="Z64" s="69" t="str">
        <f>IF(Table_Custom_Input[[#This Row],[Replacing lamp or fixture?]]="Fixture", Table_Custom_Input[[#This Row],[Fixture Replacement: Energy Savings]], IF(Table_Custom_Input[[#This Row],[Replacing lamp or fixture?]]="Lamp", Table_Custom_Input[[#This Row],[Lamp Replacement: Energy Savings]], ""))</f>
        <v/>
      </c>
      <c r="AA64" s="73" t="str">
        <f>IF(Table_Custom_Input[[#This Row],[Replacing lamp or fixture?]]="Fixture", Table_Custom_Input[[#This Row],[Fixture Replacement: Demand Savings]], IF(Table_Custom_Input[[#This Row],[Replacing lamp or fixture?]]="Lamp", Table_Custom_Input[[#This Row],[Lamp Replacement: Demand Savings]], ""))</f>
        <v/>
      </c>
      <c r="AB64" s="67" t="str">
        <f>IFERROR(Table_Custom_Input[[#This Row],[Energy savings (kWh)]]*Input_AvgkWhRate, "")</f>
        <v/>
      </c>
      <c r="AC64" s="67" t="str">
        <f>IF(Table_Custom_Input[[#This Row],[Replacing lamp or fixture?]]&lt;&gt;"",Table_Custom_Input[[#This Row],[Material cost per unit]]*Table_Custom_Input[[#This Row],[Number of proposed units]]+Table_Custom_Input[[#This Row],[Total labor cost]],"")</f>
        <v/>
      </c>
      <c r="AD64" s="67" t="str">
        <f>IF(Table_Custom_Input[[#This Row],[Estimated incentive]]="","",Table_Custom_Input[[#This Row],[Gross measure Cost]]-Table_Custom_Input[[#This Row],[Estimated incentive]])</f>
        <v/>
      </c>
      <c r="AE64" s="69" t="str">
        <f>IFERROR(Table_Custom_Input[[#This Row],[Net measure cost]]/Table_Custom_Input[[#This Row],[Cost savings]], "")</f>
        <v/>
      </c>
      <c r="AF64" s="85">
        <f>IF(Table_Custom_Input[[#This Row],[Use custom or default operating hours?]]="Default", Table_Custom_Input[[#This Row],[Default annual operating hours]], IF(Table_Custom_Input[[#This Row],[Use custom or default operating hours?]]="Custom", Table_Custom_Input[[#This Row],[Custom annual operating hours]], 0))</f>
        <v>0</v>
      </c>
      <c r="AG64" s="85" t="e">
        <f>INDEX(Table_TRM_Fixtures[Fixture Wattage for Baseline Calculations], MATCH(Table_Custom_Input[[#This Row],[Existing fixture code]], Table_TRM_Fixtures[Fixture Code], 0))</f>
        <v>#N/A</v>
      </c>
      <c r="AH64" s="85" t="e">
        <f>INDEX(Table_TRM_Fixtures[Fixture Watts  (TRM Data)], MATCH(Table_Custom_Input[[#This Row],[Proposed fixture code]], Table_TRM_Fixtures[Fixture Code], 0))</f>
        <v>#N/A</v>
      </c>
      <c r="AI64"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64"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64" s="85" t="e">
        <f>INDEX(Table_TRM_Fixtures[Fixture Wattage for Baseline Calculations], MATCH(Table_Custom_Input[[#This Row],[Existing fixture code]], Table_TRM_Fixtures[Fixture Code], 0))/Table_Custom_Input[[#This Row],[Existing lamps per fixture]]</f>
        <v>#N/A</v>
      </c>
      <c r="AL64" s="85" t="str">
        <f>IF(Table_Custom_Input[[#This Row],[Proposed lamp wattage]]="","",Table_Custom_Input[[#This Row],[Proposed lamp wattage]])</f>
        <v/>
      </c>
      <c r="AM64"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64"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65" spans="2:40" s="18" customFormat="1" ht="15" x14ac:dyDescent="0.2">
      <c r="B65" s="61">
        <v>61</v>
      </c>
      <c r="C65" s="61" t="str">
        <f>IFERROR(INDEX(Table_Custom_Measure_No[Custom Measure No], MATCH(Table_Custom_Input[[#This Row],[Existing lighting type]], Table_Custom_Measure_No[List_Light_Type], 0)), "")</f>
        <v/>
      </c>
      <c r="D65" s="192"/>
      <c r="E65" s="179"/>
      <c r="F65" s="58"/>
      <c r="G65" s="58"/>
      <c r="H65" s="68" t="str">
        <f>IFERROR(INDEX(Table_Bldg_Type[AOH], MATCH(Table_Custom_Input[[#This Row],[Building/space type]], Table_Bldg_Type[List_Bldg_Types], 0)), "")</f>
        <v/>
      </c>
      <c r="I65" s="65"/>
      <c r="J65" s="58"/>
      <c r="K65" s="58"/>
      <c r="L65" s="58"/>
      <c r="M65" s="58"/>
      <c r="N65" s="58"/>
      <c r="O65" s="58"/>
      <c r="P65" s="58"/>
      <c r="Q65" s="58"/>
      <c r="R65" s="58"/>
      <c r="S65" s="58"/>
      <c r="T65" s="58"/>
      <c r="U65" s="58"/>
      <c r="V65" s="58"/>
      <c r="W65" s="66"/>
      <c r="X65" s="66"/>
      <c r="Y65" s="67" t="str">
        <f>IFERROR(Table_Custom_Input[[#This Row],[Energy savings (kWh)]]*Value_Custom_IncentRate, "")</f>
        <v/>
      </c>
      <c r="Z65" s="69" t="str">
        <f>IF(Table_Custom_Input[[#This Row],[Replacing lamp or fixture?]]="Fixture", Table_Custom_Input[[#This Row],[Fixture Replacement: Energy Savings]], IF(Table_Custom_Input[[#This Row],[Replacing lamp or fixture?]]="Lamp", Table_Custom_Input[[#This Row],[Lamp Replacement: Energy Savings]], ""))</f>
        <v/>
      </c>
      <c r="AA65" s="73" t="str">
        <f>IF(Table_Custom_Input[[#This Row],[Replacing lamp or fixture?]]="Fixture", Table_Custom_Input[[#This Row],[Fixture Replacement: Demand Savings]], IF(Table_Custom_Input[[#This Row],[Replacing lamp or fixture?]]="Lamp", Table_Custom_Input[[#This Row],[Lamp Replacement: Demand Savings]], ""))</f>
        <v/>
      </c>
      <c r="AB65" s="67" t="str">
        <f>IFERROR(Table_Custom_Input[[#This Row],[Energy savings (kWh)]]*Input_AvgkWhRate, "")</f>
        <v/>
      </c>
      <c r="AC65" s="67" t="str">
        <f>IF(Table_Custom_Input[[#This Row],[Replacing lamp or fixture?]]&lt;&gt;"",Table_Custom_Input[[#This Row],[Material cost per unit]]*Table_Custom_Input[[#This Row],[Number of proposed units]]+Table_Custom_Input[[#This Row],[Total labor cost]],"")</f>
        <v/>
      </c>
      <c r="AD65" s="67" t="str">
        <f>IF(Table_Custom_Input[[#This Row],[Estimated incentive]]="","",Table_Custom_Input[[#This Row],[Gross measure Cost]]-Table_Custom_Input[[#This Row],[Estimated incentive]])</f>
        <v/>
      </c>
      <c r="AE65" s="69" t="str">
        <f>IFERROR(Table_Custom_Input[[#This Row],[Net measure cost]]/Table_Custom_Input[[#This Row],[Cost savings]], "")</f>
        <v/>
      </c>
      <c r="AF65" s="85">
        <f>IF(Table_Custom_Input[[#This Row],[Use custom or default operating hours?]]="Default", Table_Custom_Input[[#This Row],[Default annual operating hours]], IF(Table_Custom_Input[[#This Row],[Use custom or default operating hours?]]="Custom", Table_Custom_Input[[#This Row],[Custom annual operating hours]], 0))</f>
        <v>0</v>
      </c>
      <c r="AG65" s="85" t="e">
        <f>INDEX(Table_TRM_Fixtures[Fixture Wattage for Baseline Calculations], MATCH(Table_Custom_Input[[#This Row],[Existing fixture code]], Table_TRM_Fixtures[Fixture Code], 0))</f>
        <v>#N/A</v>
      </c>
      <c r="AH65" s="85" t="e">
        <f>INDEX(Table_TRM_Fixtures[Fixture Watts  (TRM Data)], MATCH(Table_Custom_Input[[#This Row],[Proposed fixture code]], Table_TRM_Fixtures[Fixture Code], 0))</f>
        <v>#N/A</v>
      </c>
      <c r="AI65"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65"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65" s="85" t="e">
        <f>INDEX(Table_TRM_Fixtures[Fixture Wattage for Baseline Calculations], MATCH(Table_Custom_Input[[#This Row],[Existing fixture code]], Table_TRM_Fixtures[Fixture Code], 0))/Table_Custom_Input[[#This Row],[Existing lamps per fixture]]</f>
        <v>#N/A</v>
      </c>
      <c r="AL65" s="85" t="str">
        <f>IF(Table_Custom_Input[[#This Row],[Proposed lamp wattage]]="","",Table_Custom_Input[[#This Row],[Proposed lamp wattage]])</f>
        <v/>
      </c>
      <c r="AM65"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65"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66" spans="2:40" s="18" customFormat="1" ht="15" x14ac:dyDescent="0.2">
      <c r="B66" s="61">
        <v>62</v>
      </c>
      <c r="C66" s="61" t="str">
        <f>IFERROR(INDEX(Table_Custom_Measure_No[Custom Measure No], MATCH(Table_Custom_Input[[#This Row],[Existing lighting type]], Table_Custom_Measure_No[List_Light_Type], 0)), "")</f>
        <v/>
      </c>
      <c r="D66" s="192"/>
      <c r="E66" s="179"/>
      <c r="F66" s="58"/>
      <c r="G66" s="58"/>
      <c r="H66" s="68" t="str">
        <f>IFERROR(INDEX(Table_Bldg_Type[AOH], MATCH(Table_Custom_Input[[#This Row],[Building/space type]], Table_Bldg_Type[List_Bldg_Types], 0)), "")</f>
        <v/>
      </c>
      <c r="I66" s="65"/>
      <c r="J66" s="58"/>
      <c r="K66" s="58"/>
      <c r="L66" s="58"/>
      <c r="M66" s="58"/>
      <c r="N66" s="58"/>
      <c r="O66" s="58"/>
      <c r="P66" s="58"/>
      <c r="Q66" s="58"/>
      <c r="R66" s="58"/>
      <c r="S66" s="58"/>
      <c r="T66" s="58"/>
      <c r="U66" s="58"/>
      <c r="V66" s="58"/>
      <c r="W66" s="66"/>
      <c r="X66" s="66"/>
      <c r="Y66" s="67" t="str">
        <f>IFERROR(Table_Custom_Input[[#This Row],[Energy savings (kWh)]]*Value_Custom_IncentRate, "")</f>
        <v/>
      </c>
      <c r="Z66" s="69" t="str">
        <f>IF(Table_Custom_Input[[#This Row],[Replacing lamp or fixture?]]="Fixture", Table_Custom_Input[[#This Row],[Fixture Replacement: Energy Savings]], IF(Table_Custom_Input[[#This Row],[Replacing lamp or fixture?]]="Lamp", Table_Custom_Input[[#This Row],[Lamp Replacement: Energy Savings]], ""))</f>
        <v/>
      </c>
      <c r="AA66" s="73" t="str">
        <f>IF(Table_Custom_Input[[#This Row],[Replacing lamp or fixture?]]="Fixture", Table_Custom_Input[[#This Row],[Fixture Replacement: Demand Savings]], IF(Table_Custom_Input[[#This Row],[Replacing lamp or fixture?]]="Lamp", Table_Custom_Input[[#This Row],[Lamp Replacement: Demand Savings]], ""))</f>
        <v/>
      </c>
      <c r="AB66" s="67" t="str">
        <f>IFERROR(Table_Custom_Input[[#This Row],[Energy savings (kWh)]]*Input_AvgkWhRate, "")</f>
        <v/>
      </c>
      <c r="AC66" s="67" t="str">
        <f>IF(Table_Custom_Input[[#This Row],[Replacing lamp or fixture?]]&lt;&gt;"",Table_Custom_Input[[#This Row],[Material cost per unit]]*Table_Custom_Input[[#This Row],[Number of proposed units]]+Table_Custom_Input[[#This Row],[Total labor cost]],"")</f>
        <v/>
      </c>
      <c r="AD66" s="67" t="str">
        <f>IF(Table_Custom_Input[[#This Row],[Estimated incentive]]="","",Table_Custom_Input[[#This Row],[Gross measure Cost]]-Table_Custom_Input[[#This Row],[Estimated incentive]])</f>
        <v/>
      </c>
      <c r="AE66" s="69" t="str">
        <f>IFERROR(Table_Custom_Input[[#This Row],[Net measure cost]]/Table_Custom_Input[[#This Row],[Cost savings]], "")</f>
        <v/>
      </c>
      <c r="AF66" s="85">
        <f>IF(Table_Custom_Input[[#This Row],[Use custom or default operating hours?]]="Default", Table_Custom_Input[[#This Row],[Default annual operating hours]], IF(Table_Custom_Input[[#This Row],[Use custom or default operating hours?]]="Custom", Table_Custom_Input[[#This Row],[Custom annual operating hours]], 0))</f>
        <v>0</v>
      </c>
      <c r="AG66" s="85" t="e">
        <f>INDEX(Table_TRM_Fixtures[Fixture Wattage for Baseline Calculations], MATCH(Table_Custom_Input[[#This Row],[Existing fixture code]], Table_TRM_Fixtures[Fixture Code], 0))</f>
        <v>#N/A</v>
      </c>
      <c r="AH66" s="85" t="e">
        <f>INDEX(Table_TRM_Fixtures[Fixture Watts  (TRM Data)], MATCH(Table_Custom_Input[[#This Row],[Proposed fixture code]], Table_TRM_Fixtures[Fixture Code], 0))</f>
        <v>#N/A</v>
      </c>
      <c r="AI66"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66"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66" s="85" t="e">
        <f>INDEX(Table_TRM_Fixtures[Fixture Wattage for Baseline Calculations], MATCH(Table_Custom_Input[[#This Row],[Existing fixture code]], Table_TRM_Fixtures[Fixture Code], 0))/Table_Custom_Input[[#This Row],[Existing lamps per fixture]]</f>
        <v>#N/A</v>
      </c>
      <c r="AL66" s="85" t="str">
        <f>IF(Table_Custom_Input[[#This Row],[Proposed lamp wattage]]="","",Table_Custom_Input[[#This Row],[Proposed lamp wattage]])</f>
        <v/>
      </c>
      <c r="AM66"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66"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67" spans="2:40" s="18" customFormat="1" ht="15" x14ac:dyDescent="0.2">
      <c r="B67" s="61">
        <v>63</v>
      </c>
      <c r="C67" s="61" t="str">
        <f>IFERROR(INDEX(Table_Custom_Measure_No[Custom Measure No], MATCH(Table_Custom_Input[[#This Row],[Existing lighting type]], Table_Custom_Measure_No[List_Light_Type], 0)), "")</f>
        <v/>
      </c>
      <c r="D67" s="192"/>
      <c r="E67" s="179"/>
      <c r="F67" s="58"/>
      <c r="G67" s="58"/>
      <c r="H67" s="68" t="str">
        <f>IFERROR(INDEX(Table_Bldg_Type[AOH], MATCH(Table_Custom_Input[[#This Row],[Building/space type]], Table_Bldg_Type[List_Bldg_Types], 0)), "")</f>
        <v/>
      </c>
      <c r="I67" s="65"/>
      <c r="J67" s="58"/>
      <c r="K67" s="58"/>
      <c r="L67" s="58"/>
      <c r="M67" s="58"/>
      <c r="N67" s="58"/>
      <c r="O67" s="58"/>
      <c r="P67" s="58"/>
      <c r="Q67" s="58"/>
      <c r="R67" s="58"/>
      <c r="S67" s="58"/>
      <c r="T67" s="58"/>
      <c r="U67" s="58"/>
      <c r="V67" s="58"/>
      <c r="W67" s="66"/>
      <c r="X67" s="66"/>
      <c r="Y67" s="67" t="str">
        <f>IFERROR(Table_Custom_Input[[#This Row],[Energy savings (kWh)]]*Value_Custom_IncentRate, "")</f>
        <v/>
      </c>
      <c r="Z67" s="69" t="str">
        <f>IF(Table_Custom_Input[[#This Row],[Replacing lamp or fixture?]]="Fixture", Table_Custom_Input[[#This Row],[Fixture Replacement: Energy Savings]], IF(Table_Custom_Input[[#This Row],[Replacing lamp or fixture?]]="Lamp", Table_Custom_Input[[#This Row],[Lamp Replacement: Energy Savings]], ""))</f>
        <v/>
      </c>
      <c r="AA67" s="73" t="str">
        <f>IF(Table_Custom_Input[[#This Row],[Replacing lamp or fixture?]]="Fixture", Table_Custom_Input[[#This Row],[Fixture Replacement: Demand Savings]], IF(Table_Custom_Input[[#This Row],[Replacing lamp or fixture?]]="Lamp", Table_Custom_Input[[#This Row],[Lamp Replacement: Demand Savings]], ""))</f>
        <v/>
      </c>
      <c r="AB67" s="67" t="str">
        <f>IFERROR(Table_Custom_Input[[#This Row],[Energy savings (kWh)]]*Input_AvgkWhRate, "")</f>
        <v/>
      </c>
      <c r="AC67" s="67" t="str">
        <f>IF(Table_Custom_Input[[#This Row],[Replacing lamp or fixture?]]&lt;&gt;"",Table_Custom_Input[[#This Row],[Material cost per unit]]*Table_Custom_Input[[#This Row],[Number of proposed units]]+Table_Custom_Input[[#This Row],[Total labor cost]],"")</f>
        <v/>
      </c>
      <c r="AD67" s="67" t="str">
        <f>IF(Table_Custom_Input[[#This Row],[Estimated incentive]]="","",Table_Custom_Input[[#This Row],[Gross measure Cost]]-Table_Custom_Input[[#This Row],[Estimated incentive]])</f>
        <v/>
      </c>
      <c r="AE67" s="69" t="str">
        <f>IFERROR(Table_Custom_Input[[#This Row],[Net measure cost]]/Table_Custom_Input[[#This Row],[Cost savings]], "")</f>
        <v/>
      </c>
      <c r="AF67" s="85">
        <f>IF(Table_Custom_Input[[#This Row],[Use custom or default operating hours?]]="Default", Table_Custom_Input[[#This Row],[Default annual operating hours]], IF(Table_Custom_Input[[#This Row],[Use custom or default operating hours?]]="Custom", Table_Custom_Input[[#This Row],[Custom annual operating hours]], 0))</f>
        <v>0</v>
      </c>
      <c r="AG67" s="85" t="e">
        <f>INDEX(Table_TRM_Fixtures[Fixture Wattage for Baseline Calculations], MATCH(Table_Custom_Input[[#This Row],[Existing fixture code]], Table_TRM_Fixtures[Fixture Code], 0))</f>
        <v>#N/A</v>
      </c>
      <c r="AH67" s="85" t="e">
        <f>INDEX(Table_TRM_Fixtures[Fixture Watts  (TRM Data)], MATCH(Table_Custom_Input[[#This Row],[Proposed fixture code]], Table_TRM_Fixtures[Fixture Code], 0))</f>
        <v>#N/A</v>
      </c>
      <c r="AI67"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67"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67" s="85" t="e">
        <f>INDEX(Table_TRM_Fixtures[Fixture Wattage for Baseline Calculations], MATCH(Table_Custom_Input[[#This Row],[Existing fixture code]], Table_TRM_Fixtures[Fixture Code], 0))/Table_Custom_Input[[#This Row],[Existing lamps per fixture]]</f>
        <v>#N/A</v>
      </c>
      <c r="AL67" s="85" t="str">
        <f>IF(Table_Custom_Input[[#This Row],[Proposed lamp wattage]]="","",Table_Custom_Input[[#This Row],[Proposed lamp wattage]])</f>
        <v/>
      </c>
      <c r="AM67"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67"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68" spans="2:40" s="18" customFormat="1" ht="15" x14ac:dyDescent="0.2">
      <c r="B68" s="61">
        <v>64</v>
      </c>
      <c r="C68" s="61" t="str">
        <f>IFERROR(INDEX(Table_Custom_Measure_No[Custom Measure No], MATCH(Table_Custom_Input[[#This Row],[Existing lighting type]], Table_Custom_Measure_No[List_Light_Type], 0)), "")</f>
        <v/>
      </c>
      <c r="D68" s="192"/>
      <c r="E68" s="179"/>
      <c r="F68" s="58"/>
      <c r="G68" s="58"/>
      <c r="H68" s="68" t="str">
        <f>IFERROR(INDEX(Table_Bldg_Type[AOH], MATCH(Table_Custom_Input[[#This Row],[Building/space type]], Table_Bldg_Type[List_Bldg_Types], 0)), "")</f>
        <v/>
      </c>
      <c r="I68" s="65"/>
      <c r="J68" s="58"/>
      <c r="K68" s="58"/>
      <c r="L68" s="58"/>
      <c r="M68" s="58"/>
      <c r="N68" s="58"/>
      <c r="O68" s="58"/>
      <c r="P68" s="58"/>
      <c r="Q68" s="58"/>
      <c r="R68" s="58"/>
      <c r="S68" s="58"/>
      <c r="T68" s="58"/>
      <c r="U68" s="58"/>
      <c r="V68" s="58"/>
      <c r="W68" s="66"/>
      <c r="X68" s="66"/>
      <c r="Y68" s="67" t="str">
        <f>IFERROR(Table_Custom_Input[[#This Row],[Energy savings (kWh)]]*Value_Custom_IncentRate, "")</f>
        <v/>
      </c>
      <c r="Z68" s="69" t="str">
        <f>IF(Table_Custom_Input[[#This Row],[Replacing lamp or fixture?]]="Fixture", Table_Custom_Input[[#This Row],[Fixture Replacement: Energy Savings]], IF(Table_Custom_Input[[#This Row],[Replacing lamp or fixture?]]="Lamp", Table_Custom_Input[[#This Row],[Lamp Replacement: Energy Savings]], ""))</f>
        <v/>
      </c>
      <c r="AA68" s="73" t="str">
        <f>IF(Table_Custom_Input[[#This Row],[Replacing lamp or fixture?]]="Fixture", Table_Custom_Input[[#This Row],[Fixture Replacement: Demand Savings]], IF(Table_Custom_Input[[#This Row],[Replacing lamp or fixture?]]="Lamp", Table_Custom_Input[[#This Row],[Lamp Replacement: Demand Savings]], ""))</f>
        <v/>
      </c>
      <c r="AB68" s="67" t="str">
        <f>IFERROR(Table_Custom_Input[[#This Row],[Energy savings (kWh)]]*Input_AvgkWhRate, "")</f>
        <v/>
      </c>
      <c r="AC68" s="67" t="str">
        <f>IF(Table_Custom_Input[[#This Row],[Replacing lamp or fixture?]]&lt;&gt;"",Table_Custom_Input[[#This Row],[Material cost per unit]]*Table_Custom_Input[[#This Row],[Number of proposed units]]+Table_Custom_Input[[#This Row],[Total labor cost]],"")</f>
        <v/>
      </c>
      <c r="AD68" s="67" t="str">
        <f>IF(Table_Custom_Input[[#This Row],[Estimated incentive]]="","",Table_Custom_Input[[#This Row],[Gross measure Cost]]-Table_Custom_Input[[#This Row],[Estimated incentive]])</f>
        <v/>
      </c>
      <c r="AE68" s="69" t="str">
        <f>IFERROR(Table_Custom_Input[[#This Row],[Net measure cost]]/Table_Custom_Input[[#This Row],[Cost savings]], "")</f>
        <v/>
      </c>
      <c r="AF68" s="85">
        <f>IF(Table_Custom_Input[[#This Row],[Use custom or default operating hours?]]="Default", Table_Custom_Input[[#This Row],[Default annual operating hours]], IF(Table_Custom_Input[[#This Row],[Use custom or default operating hours?]]="Custom", Table_Custom_Input[[#This Row],[Custom annual operating hours]], 0))</f>
        <v>0</v>
      </c>
      <c r="AG68" s="85" t="e">
        <f>INDEX(Table_TRM_Fixtures[Fixture Wattage for Baseline Calculations], MATCH(Table_Custom_Input[[#This Row],[Existing fixture code]], Table_TRM_Fixtures[Fixture Code], 0))</f>
        <v>#N/A</v>
      </c>
      <c r="AH68" s="85" t="e">
        <f>INDEX(Table_TRM_Fixtures[Fixture Watts  (TRM Data)], MATCH(Table_Custom_Input[[#This Row],[Proposed fixture code]], Table_TRM_Fixtures[Fixture Code], 0))</f>
        <v>#N/A</v>
      </c>
      <c r="AI68"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68"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68" s="85" t="e">
        <f>INDEX(Table_TRM_Fixtures[Fixture Wattage for Baseline Calculations], MATCH(Table_Custom_Input[[#This Row],[Existing fixture code]], Table_TRM_Fixtures[Fixture Code], 0))/Table_Custom_Input[[#This Row],[Existing lamps per fixture]]</f>
        <v>#N/A</v>
      </c>
      <c r="AL68" s="85" t="str">
        <f>IF(Table_Custom_Input[[#This Row],[Proposed lamp wattage]]="","",Table_Custom_Input[[#This Row],[Proposed lamp wattage]])</f>
        <v/>
      </c>
      <c r="AM68"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68"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69" spans="2:40" s="18" customFormat="1" ht="15" x14ac:dyDescent="0.2">
      <c r="B69" s="61">
        <v>65</v>
      </c>
      <c r="C69" s="61" t="str">
        <f>IFERROR(INDEX(Table_Custom_Measure_No[Custom Measure No], MATCH(Table_Custom_Input[[#This Row],[Existing lighting type]], Table_Custom_Measure_No[List_Light_Type], 0)), "")</f>
        <v/>
      </c>
      <c r="D69" s="192"/>
      <c r="E69" s="179"/>
      <c r="F69" s="58"/>
      <c r="G69" s="58"/>
      <c r="H69" s="68" t="str">
        <f>IFERROR(INDEX(Table_Bldg_Type[AOH], MATCH(Table_Custom_Input[[#This Row],[Building/space type]], Table_Bldg_Type[List_Bldg_Types], 0)), "")</f>
        <v/>
      </c>
      <c r="I69" s="65"/>
      <c r="J69" s="58"/>
      <c r="K69" s="58"/>
      <c r="L69" s="58"/>
      <c r="M69" s="58"/>
      <c r="N69" s="58"/>
      <c r="O69" s="58"/>
      <c r="P69" s="58"/>
      <c r="Q69" s="58"/>
      <c r="R69" s="58"/>
      <c r="S69" s="58"/>
      <c r="T69" s="58"/>
      <c r="U69" s="58"/>
      <c r="V69" s="58"/>
      <c r="W69" s="66"/>
      <c r="X69" s="66"/>
      <c r="Y69" s="67" t="str">
        <f>IFERROR(Table_Custom_Input[[#This Row],[Energy savings (kWh)]]*Value_Custom_IncentRate, "")</f>
        <v/>
      </c>
      <c r="Z69" s="69" t="str">
        <f>IF(Table_Custom_Input[[#This Row],[Replacing lamp or fixture?]]="Fixture", Table_Custom_Input[[#This Row],[Fixture Replacement: Energy Savings]], IF(Table_Custom_Input[[#This Row],[Replacing lamp or fixture?]]="Lamp", Table_Custom_Input[[#This Row],[Lamp Replacement: Energy Savings]], ""))</f>
        <v/>
      </c>
      <c r="AA69" s="73" t="str">
        <f>IF(Table_Custom_Input[[#This Row],[Replacing lamp or fixture?]]="Fixture", Table_Custom_Input[[#This Row],[Fixture Replacement: Demand Savings]], IF(Table_Custom_Input[[#This Row],[Replacing lamp or fixture?]]="Lamp", Table_Custom_Input[[#This Row],[Lamp Replacement: Demand Savings]], ""))</f>
        <v/>
      </c>
      <c r="AB69" s="67" t="str">
        <f>IFERROR(Table_Custom_Input[[#This Row],[Energy savings (kWh)]]*Input_AvgkWhRate, "")</f>
        <v/>
      </c>
      <c r="AC69" s="67" t="str">
        <f>IF(Table_Custom_Input[[#This Row],[Replacing lamp or fixture?]]&lt;&gt;"",Table_Custom_Input[[#This Row],[Material cost per unit]]*Table_Custom_Input[[#This Row],[Number of proposed units]]+Table_Custom_Input[[#This Row],[Total labor cost]],"")</f>
        <v/>
      </c>
      <c r="AD69" s="67" t="str">
        <f>IF(Table_Custom_Input[[#This Row],[Estimated incentive]]="","",Table_Custom_Input[[#This Row],[Gross measure Cost]]-Table_Custom_Input[[#This Row],[Estimated incentive]])</f>
        <v/>
      </c>
      <c r="AE69" s="69" t="str">
        <f>IFERROR(Table_Custom_Input[[#This Row],[Net measure cost]]/Table_Custom_Input[[#This Row],[Cost savings]], "")</f>
        <v/>
      </c>
      <c r="AF69" s="85">
        <f>IF(Table_Custom_Input[[#This Row],[Use custom or default operating hours?]]="Default", Table_Custom_Input[[#This Row],[Default annual operating hours]], IF(Table_Custom_Input[[#This Row],[Use custom or default operating hours?]]="Custom", Table_Custom_Input[[#This Row],[Custom annual operating hours]], 0))</f>
        <v>0</v>
      </c>
      <c r="AG69" s="85" t="e">
        <f>INDEX(Table_TRM_Fixtures[Fixture Wattage for Baseline Calculations], MATCH(Table_Custom_Input[[#This Row],[Existing fixture code]], Table_TRM_Fixtures[Fixture Code], 0))</f>
        <v>#N/A</v>
      </c>
      <c r="AH69" s="85" t="e">
        <f>INDEX(Table_TRM_Fixtures[Fixture Watts  (TRM Data)], MATCH(Table_Custom_Input[[#This Row],[Proposed fixture code]], Table_TRM_Fixtures[Fixture Code], 0))</f>
        <v>#N/A</v>
      </c>
      <c r="AI69"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69"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69" s="85" t="e">
        <f>INDEX(Table_TRM_Fixtures[Fixture Wattage for Baseline Calculations], MATCH(Table_Custom_Input[[#This Row],[Existing fixture code]], Table_TRM_Fixtures[Fixture Code], 0))/Table_Custom_Input[[#This Row],[Existing lamps per fixture]]</f>
        <v>#N/A</v>
      </c>
      <c r="AL69" s="85" t="str">
        <f>IF(Table_Custom_Input[[#This Row],[Proposed lamp wattage]]="","",Table_Custom_Input[[#This Row],[Proposed lamp wattage]])</f>
        <v/>
      </c>
      <c r="AM69"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69"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70" spans="2:40" s="18" customFormat="1" ht="15" x14ac:dyDescent="0.2">
      <c r="B70" s="61">
        <v>66</v>
      </c>
      <c r="C70" s="61" t="str">
        <f>IFERROR(INDEX(Table_Custom_Measure_No[Custom Measure No], MATCH(Table_Custom_Input[[#This Row],[Existing lighting type]], Table_Custom_Measure_No[List_Light_Type], 0)), "")</f>
        <v/>
      </c>
      <c r="D70" s="192"/>
      <c r="E70" s="179"/>
      <c r="F70" s="58"/>
      <c r="G70" s="58"/>
      <c r="H70" s="68" t="str">
        <f>IFERROR(INDEX(Table_Bldg_Type[AOH], MATCH(Table_Custom_Input[[#This Row],[Building/space type]], Table_Bldg_Type[List_Bldg_Types], 0)), "")</f>
        <v/>
      </c>
      <c r="I70" s="65"/>
      <c r="J70" s="58"/>
      <c r="K70" s="58"/>
      <c r="L70" s="58"/>
      <c r="M70" s="58"/>
      <c r="N70" s="58"/>
      <c r="O70" s="58"/>
      <c r="P70" s="58"/>
      <c r="Q70" s="58"/>
      <c r="R70" s="58"/>
      <c r="S70" s="58"/>
      <c r="T70" s="58"/>
      <c r="U70" s="58"/>
      <c r="V70" s="58"/>
      <c r="W70" s="66"/>
      <c r="X70" s="66"/>
      <c r="Y70" s="67" t="str">
        <f>IFERROR(Table_Custom_Input[[#This Row],[Energy savings (kWh)]]*Value_Custom_IncentRate, "")</f>
        <v/>
      </c>
      <c r="Z70" s="69" t="str">
        <f>IF(Table_Custom_Input[[#This Row],[Replacing lamp or fixture?]]="Fixture", Table_Custom_Input[[#This Row],[Fixture Replacement: Energy Savings]], IF(Table_Custom_Input[[#This Row],[Replacing lamp or fixture?]]="Lamp", Table_Custom_Input[[#This Row],[Lamp Replacement: Energy Savings]], ""))</f>
        <v/>
      </c>
      <c r="AA70" s="73" t="str">
        <f>IF(Table_Custom_Input[[#This Row],[Replacing lamp or fixture?]]="Fixture", Table_Custom_Input[[#This Row],[Fixture Replacement: Demand Savings]], IF(Table_Custom_Input[[#This Row],[Replacing lamp or fixture?]]="Lamp", Table_Custom_Input[[#This Row],[Lamp Replacement: Demand Savings]], ""))</f>
        <v/>
      </c>
      <c r="AB70" s="67" t="str">
        <f>IFERROR(Table_Custom_Input[[#This Row],[Energy savings (kWh)]]*Input_AvgkWhRate, "")</f>
        <v/>
      </c>
      <c r="AC70" s="67" t="str">
        <f>IF(Table_Custom_Input[[#This Row],[Replacing lamp or fixture?]]&lt;&gt;"",Table_Custom_Input[[#This Row],[Material cost per unit]]*Table_Custom_Input[[#This Row],[Number of proposed units]]+Table_Custom_Input[[#This Row],[Total labor cost]],"")</f>
        <v/>
      </c>
      <c r="AD70" s="67" t="str">
        <f>IF(Table_Custom_Input[[#This Row],[Estimated incentive]]="","",Table_Custom_Input[[#This Row],[Gross measure Cost]]-Table_Custom_Input[[#This Row],[Estimated incentive]])</f>
        <v/>
      </c>
      <c r="AE70" s="69" t="str">
        <f>IFERROR(Table_Custom_Input[[#This Row],[Net measure cost]]/Table_Custom_Input[[#This Row],[Cost savings]], "")</f>
        <v/>
      </c>
      <c r="AF70" s="85">
        <f>IF(Table_Custom_Input[[#This Row],[Use custom or default operating hours?]]="Default", Table_Custom_Input[[#This Row],[Default annual operating hours]], IF(Table_Custom_Input[[#This Row],[Use custom or default operating hours?]]="Custom", Table_Custom_Input[[#This Row],[Custom annual operating hours]], 0))</f>
        <v>0</v>
      </c>
      <c r="AG70" s="85" t="e">
        <f>INDEX(Table_TRM_Fixtures[Fixture Wattage for Baseline Calculations], MATCH(Table_Custom_Input[[#This Row],[Existing fixture code]], Table_TRM_Fixtures[Fixture Code], 0))</f>
        <v>#N/A</v>
      </c>
      <c r="AH70" s="85" t="e">
        <f>INDEX(Table_TRM_Fixtures[Fixture Watts  (TRM Data)], MATCH(Table_Custom_Input[[#This Row],[Proposed fixture code]], Table_TRM_Fixtures[Fixture Code], 0))</f>
        <v>#N/A</v>
      </c>
      <c r="AI70"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70"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70" s="85" t="e">
        <f>INDEX(Table_TRM_Fixtures[Fixture Wattage for Baseline Calculations], MATCH(Table_Custom_Input[[#This Row],[Existing fixture code]], Table_TRM_Fixtures[Fixture Code], 0))/Table_Custom_Input[[#This Row],[Existing lamps per fixture]]</f>
        <v>#N/A</v>
      </c>
      <c r="AL70" s="85" t="str">
        <f>IF(Table_Custom_Input[[#This Row],[Proposed lamp wattage]]="","",Table_Custom_Input[[#This Row],[Proposed lamp wattage]])</f>
        <v/>
      </c>
      <c r="AM70"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70"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71" spans="2:40" s="18" customFormat="1" ht="15" x14ac:dyDescent="0.2">
      <c r="B71" s="61">
        <v>67</v>
      </c>
      <c r="C71" s="61" t="str">
        <f>IFERROR(INDEX(Table_Custom_Measure_No[Custom Measure No], MATCH(Table_Custom_Input[[#This Row],[Existing lighting type]], Table_Custom_Measure_No[List_Light_Type], 0)), "")</f>
        <v/>
      </c>
      <c r="D71" s="192"/>
      <c r="E71" s="179"/>
      <c r="F71" s="58"/>
      <c r="G71" s="58"/>
      <c r="H71" s="68" t="str">
        <f>IFERROR(INDEX(Table_Bldg_Type[AOH], MATCH(Table_Custom_Input[[#This Row],[Building/space type]], Table_Bldg_Type[List_Bldg_Types], 0)), "")</f>
        <v/>
      </c>
      <c r="I71" s="65"/>
      <c r="J71" s="58"/>
      <c r="K71" s="58"/>
      <c r="L71" s="58"/>
      <c r="M71" s="58"/>
      <c r="N71" s="58"/>
      <c r="O71" s="58"/>
      <c r="P71" s="58"/>
      <c r="Q71" s="58"/>
      <c r="R71" s="58"/>
      <c r="S71" s="58"/>
      <c r="T71" s="58"/>
      <c r="U71" s="58"/>
      <c r="V71" s="58"/>
      <c r="W71" s="66"/>
      <c r="X71" s="66"/>
      <c r="Y71" s="67" t="str">
        <f>IFERROR(Table_Custom_Input[[#This Row],[Energy savings (kWh)]]*Value_Custom_IncentRate, "")</f>
        <v/>
      </c>
      <c r="Z71" s="69" t="str">
        <f>IF(Table_Custom_Input[[#This Row],[Replacing lamp or fixture?]]="Fixture", Table_Custom_Input[[#This Row],[Fixture Replacement: Energy Savings]], IF(Table_Custom_Input[[#This Row],[Replacing lamp or fixture?]]="Lamp", Table_Custom_Input[[#This Row],[Lamp Replacement: Energy Savings]], ""))</f>
        <v/>
      </c>
      <c r="AA71" s="73" t="str">
        <f>IF(Table_Custom_Input[[#This Row],[Replacing lamp or fixture?]]="Fixture", Table_Custom_Input[[#This Row],[Fixture Replacement: Demand Savings]], IF(Table_Custom_Input[[#This Row],[Replacing lamp or fixture?]]="Lamp", Table_Custom_Input[[#This Row],[Lamp Replacement: Demand Savings]], ""))</f>
        <v/>
      </c>
      <c r="AB71" s="67" t="str">
        <f>IFERROR(Table_Custom_Input[[#This Row],[Energy savings (kWh)]]*Input_AvgkWhRate, "")</f>
        <v/>
      </c>
      <c r="AC71" s="67" t="str">
        <f>IF(Table_Custom_Input[[#This Row],[Replacing lamp or fixture?]]&lt;&gt;"",Table_Custom_Input[[#This Row],[Material cost per unit]]*Table_Custom_Input[[#This Row],[Number of proposed units]]+Table_Custom_Input[[#This Row],[Total labor cost]],"")</f>
        <v/>
      </c>
      <c r="AD71" s="67" t="str">
        <f>IF(Table_Custom_Input[[#This Row],[Estimated incentive]]="","",Table_Custom_Input[[#This Row],[Gross measure Cost]]-Table_Custom_Input[[#This Row],[Estimated incentive]])</f>
        <v/>
      </c>
      <c r="AE71" s="69" t="str">
        <f>IFERROR(Table_Custom_Input[[#This Row],[Net measure cost]]/Table_Custom_Input[[#This Row],[Cost savings]], "")</f>
        <v/>
      </c>
      <c r="AF71" s="85">
        <f>IF(Table_Custom_Input[[#This Row],[Use custom or default operating hours?]]="Default", Table_Custom_Input[[#This Row],[Default annual operating hours]], IF(Table_Custom_Input[[#This Row],[Use custom or default operating hours?]]="Custom", Table_Custom_Input[[#This Row],[Custom annual operating hours]], 0))</f>
        <v>0</v>
      </c>
      <c r="AG71" s="85" t="e">
        <f>INDEX(Table_TRM_Fixtures[Fixture Wattage for Baseline Calculations], MATCH(Table_Custom_Input[[#This Row],[Existing fixture code]], Table_TRM_Fixtures[Fixture Code], 0))</f>
        <v>#N/A</v>
      </c>
      <c r="AH71" s="85" t="e">
        <f>INDEX(Table_TRM_Fixtures[Fixture Watts  (TRM Data)], MATCH(Table_Custom_Input[[#This Row],[Proposed fixture code]], Table_TRM_Fixtures[Fixture Code], 0))</f>
        <v>#N/A</v>
      </c>
      <c r="AI71"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71"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71" s="85" t="e">
        <f>INDEX(Table_TRM_Fixtures[Fixture Wattage for Baseline Calculations], MATCH(Table_Custom_Input[[#This Row],[Existing fixture code]], Table_TRM_Fixtures[Fixture Code], 0))/Table_Custom_Input[[#This Row],[Existing lamps per fixture]]</f>
        <v>#N/A</v>
      </c>
      <c r="AL71" s="85" t="str">
        <f>IF(Table_Custom_Input[[#This Row],[Proposed lamp wattage]]="","",Table_Custom_Input[[#This Row],[Proposed lamp wattage]])</f>
        <v/>
      </c>
      <c r="AM71"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71"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72" spans="2:40" s="18" customFormat="1" ht="15" x14ac:dyDescent="0.2">
      <c r="B72" s="61">
        <v>68</v>
      </c>
      <c r="C72" s="61" t="str">
        <f>IFERROR(INDEX(Table_Custom_Measure_No[Custom Measure No], MATCH(Table_Custom_Input[[#This Row],[Existing lighting type]], Table_Custom_Measure_No[List_Light_Type], 0)), "")</f>
        <v/>
      </c>
      <c r="D72" s="192"/>
      <c r="E72" s="179"/>
      <c r="F72" s="58"/>
      <c r="G72" s="58"/>
      <c r="H72" s="68" t="str">
        <f>IFERROR(INDEX(Table_Bldg_Type[AOH], MATCH(Table_Custom_Input[[#This Row],[Building/space type]], Table_Bldg_Type[List_Bldg_Types], 0)), "")</f>
        <v/>
      </c>
      <c r="I72" s="65"/>
      <c r="J72" s="58"/>
      <c r="K72" s="58"/>
      <c r="L72" s="58"/>
      <c r="M72" s="58"/>
      <c r="N72" s="58"/>
      <c r="O72" s="58"/>
      <c r="P72" s="58"/>
      <c r="Q72" s="58"/>
      <c r="R72" s="58"/>
      <c r="S72" s="58"/>
      <c r="T72" s="58"/>
      <c r="U72" s="58"/>
      <c r="V72" s="58"/>
      <c r="W72" s="66"/>
      <c r="X72" s="66"/>
      <c r="Y72" s="67" t="str">
        <f>IFERROR(Table_Custom_Input[[#This Row],[Energy savings (kWh)]]*Value_Custom_IncentRate, "")</f>
        <v/>
      </c>
      <c r="Z72" s="69" t="str">
        <f>IF(Table_Custom_Input[[#This Row],[Replacing lamp or fixture?]]="Fixture", Table_Custom_Input[[#This Row],[Fixture Replacement: Energy Savings]], IF(Table_Custom_Input[[#This Row],[Replacing lamp or fixture?]]="Lamp", Table_Custom_Input[[#This Row],[Lamp Replacement: Energy Savings]], ""))</f>
        <v/>
      </c>
      <c r="AA72" s="73" t="str">
        <f>IF(Table_Custom_Input[[#This Row],[Replacing lamp or fixture?]]="Fixture", Table_Custom_Input[[#This Row],[Fixture Replacement: Demand Savings]], IF(Table_Custom_Input[[#This Row],[Replacing lamp or fixture?]]="Lamp", Table_Custom_Input[[#This Row],[Lamp Replacement: Demand Savings]], ""))</f>
        <v/>
      </c>
      <c r="AB72" s="67" t="str">
        <f>IFERROR(Table_Custom_Input[[#This Row],[Energy savings (kWh)]]*Input_AvgkWhRate, "")</f>
        <v/>
      </c>
      <c r="AC72" s="67" t="str">
        <f>IF(Table_Custom_Input[[#This Row],[Replacing lamp or fixture?]]&lt;&gt;"",Table_Custom_Input[[#This Row],[Material cost per unit]]*Table_Custom_Input[[#This Row],[Number of proposed units]]+Table_Custom_Input[[#This Row],[Total labor cost]],"")</f>
        <v/>
      </c>
      <c r="AD72" s="67" t="str">
        <f>IF(Table_Custom_Input[[#This Row],[Estimated incentive]]="","",Table_Custom_Input[[#This Row],[Gross measure Cost]]-Table_Custom_Input[[#This Row],[Estimated incentive]])</f>
        <v/>
      </c>
      <c r="AE72" s="69" t="str">
        <f>IFERROR(Table_Custom_Input[[#This Row],[Net measure cost]]/Table_Custom_Input[[#This Row],[Cost savings]], "")</f>
        <v/>
      </c>
      <c r="AF72" s="85">
        <f>IF(Table_Custom_Input[[#This Row],[Use custom or default operating hours?]]="Default", Table_Custom_Input[[#This Row],[Default annual operating hours]], IF(Table_Custom_Input[[#This Row],[Use custom or default operating hours?]]="Custom", Table_Custom_Input[[#This Row],[Custom annual operating hours]], 0))</f>
        <v>0</v>
      </c>
      <c r="AG72" s="85" t="e">
        <f>INDEX(Table_TRM_Fixtures[Fixture Wattage for Baseline Calculations], MATCH(Table_Custom_Input[[#This Row],[Existing fixture code]], Table_TRM_Fixtures[Fixture Code], 0))</f>
        <v>#N/A</v>
      </c>
      <c r="AH72" s="85" t="e">
        <f>INDEX(Table_TRM_Fixtures[Fixture Watts  (TRM Data)], MATCH(Table_Custom_Input[[#This Row],[Proposed fixture code]], Table_TRM_Fixtures[Fixture Code], 0))</f>
        <v>#N/A</v>
      </c>
      <c r="AI72"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72"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72" s="85" t="e">
        <f>INDEX(Table_TRM_Fixtures[Fixture Wattage for Baseline Calculations], MATCH(Table_Custom_Input[[#This Row],[Existing fixture code]], Table_TRM_Fixtures[Fixture Code], 0))/Table_Custom_Input[[#This Row],[Existing lamps per fixture]]</f>
        <v>#N/A</v>
      </c>
      <c r="AL72" s="85" t="str">
        <f>IF(Table_Custom_Input[[#This Row],[Proposed lamp wattage]]="","",Table_Custom_Input[[#This Row],[Proposed lamp wattage]])</f>
        <v/>
      </c>
      <c r="AM72"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72"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73" spans="2:40" s="18" customFormat="1" ht="15" x14ac:dyDescent="0.2">
      <c r="B73" s="61">
        <v>69</v>
      </c>
      <c r="C73" s="61" t="str">
        <f>IFERROR(INDEX(Table_Custom_Measure_No[Custom Measure No], MATCH(Table_Custom_Input[[#This Row],[Existing lighting type]], Table_Custom_Measure_No[List_Light_Type], 0)), "")</f>
        <v/>
      </c>
      <c r="D73" s="192"/>
      <c r="E73" s="179"/>
      <c r="F73" s="58"/>
      <c r="G73" s="58"/>
      <c r="H73" s="68" t="str">
        <f>IFERROR(INDEX(Table_Bldg_Type[AOH], MATCH(Table_Custom_Input[[#This Row],[Building/space type]], Table_Bldg_Type[List_Bldg_Types], 0)), "")</f>
        <v/>
      </c>
      <c r="I73" s="65"/>
      <c r="J73" s="58"/>
      <c r="K73" s="58"/>
      <c r="L73" s="58"/>
      <c r="M73" s="58"/>
      <c r="N73" s="58"/>
      <c r="O73" s="58"/>
      <c r="P73" s="58"/>
      <c r="Q73" s="58"/>
      <c r="R73" s="58"/>
      <c r="S73" s="58"/>
      <c r="T73" s="58"/>
      <c r="U73" s="58"/>
      <c r="V73" s="58"/>
      <c r="W73" s="66"/>
      <c r="X73" s="66"/>
      <c r="Y73" s="67" t="str">
        <f>IFERROR(Table_Custom_Input[[#This Row],[Energy savings (kWh)]]*Value_Custom_IncentRate, "")</f>
        <v/>
      </c>
      <c r="Z73" s="69" t="str">
        <f>IF(Table_Custom_Input[[#This Row],[Replacing lamp or fixture?]]="Fixture", Table_Custom_Input[[#This Row],[Fixture Replacement: Energy Savings]], IF(Table_Custom_Input[[#This Row],[Replacing lamp or fixture?]]="Lamp", Table_Custom_Input[[#This Row],[Lamp Replacement: Energy Savings]], ""))</f>
        <v/>
      </c>
      <c r="AA73" s="73" t="str">
        <f>IF(Table_Custom_Input[[#This Row],[Replacing lamp or fixture?]]="Fixture", Table_Custom_Input[[#This Row],[Fixture Replacement: Demand Savings]], IF(Table_Custom_Input[[#This Row],[Replacing lamp or fixture?]]="Lamp", Table_Custom_Input[[#This Row],[Lamp Replacement: Demand Savings]], ""))</f>
        <v/>
      </c>
      <c r="AB73" s="67" t="str">
        <f>IFERROR(Table_Custom_Input[[#This Row],[Energy savings (kWh)]]*Input_AvgkWhRate, "")</f>
        <v/>
      </c>
      <c r="AC73" s="67" t="str">
        <f>IF(Table_Custom_Input[[#This Row],[Replacing lamp or fixture?]]&lt;&gt;"",Table_Custom_Input[[#This Row],[Material cost per unit]]*Table_Custom_Input[[#This Row],[Number of proposed units]]+Table_Custom_Input[[#This Row],[Total labor cost]],"")</f>
        <v/>
      </c>
      <c r="AD73" s="67" t="str">
        <f>IF(Table_Custom_Input[[#This Row],[Estimated incentive]]="","",Table_Custom_Input[[#This Row],[Gross measure Cost]]-Table_Custom_Input[[#This Row],[Estimated incentive]])</f>
        <v/>
      </c>
      <c r="AE73" s="69" t="str">
        <f>IFERROR(Table_Custom_Input[[#This Row],[Net measure cost]]/Table_Custom_Input[[#This Row],[Cost savings]], "")</f>
        <v/>
      </c>
      <c r="AF73" s="85">
        <f>IF(Table_Custom_Input[[#This Row],[Use custom or default operating hours?]]="Default", Table_Custom_Input[[#This Row],[Default annual operating hours]], IF(Table_Custom_Input[[#This Row],[Use custom or default operating hours?]]="Custom", Table_Custom_Input[[#This Row],[Custom annual operating hours]], 0))</f>
        <v>0</v>
      </c>
      <c r="AG73" s="85" t="e">
        <f>INDEX(Table_TRM_Fixtures[Fixture Wattage for Baseline Calculations], MATCH(Table_Custom_Input[[#This Row],[Existing fixture code]], Table_TRM_Fixtures[Fixture Code], 0))</f>
        <v>#N/A</v>
      </c>
      <c r="AH73" s="85" t="e">
        <f>INDEX(Table_TRM_Fixtures[Fixture Watts  (TRM Data)], MATCH(Table_Custom_Input[[#This Row],[Proposed fixture code]], Table_TRM_Fixtures[Fixture Code], 0))</f>
        <v>#N/A</v>
      </c>
      <c r="AI73"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73"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73" s="85" t="e">
        <f>INDEX(Table_TRM_Fixtures[Fixture Wattage for Baseline Calculations], MATCH(Table_Custom_Input[[#This Row],[Existing fixture code]], Table_TRM_Fixtures[Fixture Code], 0))/Table_Custom_Input[[#This Row],[Existing lamps per fixture]]</f>
        <v>#N/A</v>
      </c>
      <c r="AL73" s="85" t="str">
        <f>IF(Table_Custom_Input[[#This Row],[Proposed lamp wattage]]="","",Table_Custom_Input[[#This Row],[Proposed lamp wattage]])</f>
        <v/>
      </c>
      <c r="AM73"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73"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74" spans="2:40" s="18" customFormat="1" ht="15" x14ac:dyDescent="0.2">
      <c r="B74" s="61">
        <v>70</v>
      </c>
      <c r="C74" s="61" t="str">
        <f>IFERROR(INDEX(Table_Custom_Measure_No[Custom Measure No], MATCH(Table_Custom_Input[[#This Row],[Existing lighting type]], Table_Custom_Measure_No[List_Light_Type], 0)), "")</f>
        <v/>
      </c>
      <c r="D74" s="192"/>
      <c r="E74" s="179"/>
      <c r="F74" s="58"/>
      <c r="G74" s="58"/>
      <c r="H74" s="68" t="str">
        <f>IFERROR(INDEX(Table_Bldg_Type[AOH], MATCH(Table_Custom_Input[[#This Row],[Building/space type]], Table_Bldg_Type[List_Bldg_Types], 0)), "")</f>
        <v/>
      </c>
      <c r="I74" s="65"/>
      <c r="J74" s="58"/>
      <c r="K74" s="58"/>
      <c r="L74" s="58"/>
      <c r="M74" s="58"/>
      <c r="N74" s="58"/>
      <c r="O74" s="58"/>
      <c r="P74" s="58"/>
      <c r="Q74" s="58"/>
      <c r="R74" s="58"/>
      <c r="S74" s="58"/>
      <c r="T74" s="58"/>
      <c r="U74" s="58"/>
      <c r="V74" s="58"/>
      <c r="W74" s="66"/>
      <c r="X74" s="66"/>
      <c r="Y74" s="67" t="str">
        <f>IFERROR(Table_Custom_Input[[#This Row],[Energy savings (kWh)]]*Value_Custom_IncentRate, "")</f>
        <v/>
      </c>
      <c r="Z74" s="69" t="str">
        <f>IF(Table_Custom_Input[[#This Row],[Replacing lamp or fixture?]]="Fixture", Table_Custom_Input[[#This Row],[Fixture Replacement: Energy Savings]], IF(Table_Custom_Input[[#This Row],[Replacing lamp or fixture?]]="Lamp", Table_Custom_Input[[#This Row],[Lamp Replacement: Energy Savings]], ""))</f>
        <v/>
      </c>
      <c r="AA74" s="73" t="str">
        <f>IF(Table_Custom_Input[[#This Row],[Replacing lamp or fixture?]]="Fixture", Table_Custom_Input[[#This Row],[Fixture Replacement: Demand Savings]], IF(Table_Custom_Input[[#This Row],[Replacing lamp or fixture?]]="Lamp", Table_Custom_Input[[#This Row],[Lamp Replacement: Demand Savings]], ""))</f>
        <v/>
      </c>
      <c r="AB74" s="67" t="str">
        <f>IFERROR(Table_Custom_Input[[#This Row],[Energy savings (kWh)]]*Input_AvgkWhRate, "")</f>
        <v/>
      </c>
      <c r="AC74" s="67" t="str">
        <f>IF(Table_Custom_Input[[#This Row],[Replacing lamp or fixture?]]&lt;&gt;"",Table_Custom_Input[[#This Row],[Material cost per unit]]*Table_Custom_Input[[#This Row],[Number of proposed units]]+Table_Custom_Input[[#This Row],[Total labor cost]],"")</f>
        <v/>
      </c>
      <c r="AD74" s="67" t="str">
        <f>IF(Table_Custom_Input[[#This Row],[Estimated incentive]]="","",Table_Custom_Input[[#This Row],[Gross measure Cost]]-Table_Custom_Input[[#This Row],[Estimated incentive]])</f>
        <v/>
      </c>
      <c r="AE74" s="69" t="str">
        <f>IFERROR(Table_Custom_Input[[#This Row],[Net measure cost]]/Table_Custom_Input[[#This Row],[Cost savings]], "")</f>
        <v/>
      </c>
      <c r="AF74" s="85">
        <f>IF(Table_Custom_Input[[#This Row],[Use custom or default operating hours?]]="Default", Table_Custom_Input[[#This Row],[Default annual operating hours]], IF(Table_Custom_Input[[#This Row],[Use custom or default operating hours?]]="Custom", Table_Custom_Input[[#This Row],[Custom annual operating hours]], 0))</f>
        <v>0</v>
      </c>
      <c r="AG74" s="85" t="e">
        <f>INDEX(Table_TRM_Fixtures[Fixture Wattage for Baseline Calculations], MATCH(Table_Custom_Input[[#This Row],[Existing fixture code]], Table_TRM_Fixtures[Fixture Code], 0))</f>
        <v>#N/A</v>
      </c>
      <c r="AH74" s="85" t="e">
        <f>INDEX(Table_TRM_Fixtures[Fixture Watts  (TRM Data)], MATCH(Table_Custom_Input[[#This Row],[Proposed fixture code]], Table_TRM_Fixtures[Fixture Code], 0))</f>
        <v>#N/A</v>
      </c>
      <c r="AI74"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74"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74" s="85" t="e">
        <f>INDEX(Table_TRM_Fixtures[Fixture Wattage for Baseline Calculations], MATCH(Table_Custom_Input[[#This Row],[Existing fixture code]], Table_TRM_Fixtures[Fixture Code], 0))/Table_Custom_Input[[#This Row],[Existing lamps per fixture]]</f>
        <v>#N/A</v>
      </c>
      <c r="AL74" s="85" t="str">
        <f>IF(Table_Custom_Input[[#This Row],[Proposed lamp wattage]]="","",Table_Custom_Input[[#This Row],[Proposed lamp wattage]])</f>
        <v/>
      </c>
      <c r="AM74"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74"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75" spans="2:40" s="18" customFormat="1" ht="15" x14ac:dyDescent="0.2">
      <c r="B75" s="61">
        <v>71</v>
      </c>
      <c r="C75" s="61" t="str">
        <f>IFERROR(INDEX(Table_Custom_Measure_No[Custom Measure No], MATCH(Table_Custom_Input[[#This Row],[Existing lighting type]], Table_Custom_Measure_No[List_Light_Type], 0)), "")</f>
        <v/>
      </c>
      <c r="D75" s="192"/>
      <c r="E75" s="179"/>
      <c r="F75" s="58"/>
      <c r="G75" s="58"/>
      <c r="H75" s="68" t="str">
        <f>IFERROR(INDEX(Table_Bldg_Type[AOH], MATCH(Table_Custom_Input[[#This Row],[Building/space type]], Table_Bldg_Type[List_Bldg_Types], 0)), "")</f>
        <v/>
      </c>
      <c r="I75" s="65"/>
      <c r="J75" s="58"/>
      <c r="K75" s="58"/>
      <c r="L75" s="58"/>
      <c r="M75" s="58"/>
      <c r="N75" s="58"/>
      <c r="O75" s="58"/>
      <c r="P75" s="58"/>
      <c r="Q75" s="58"/>
      <c r="R75" s="58"/>
      <c r="S75" s="58"/>
      <c r="T75" s="58"/>
      <c r="U75" s="58"/>
      <c r="V75" s="58"/>
      <c r="W75" s="66"/>
      <c r="X75" s="66"/>
      <c r="Y75" s="67" t="str">
        <f>IFERROR(Table_Custom_Input[[#This Row],[Energy savings (kWh)]]*Value_Custom_IncentRate, "")</f>
        <v/>
      </c>
      <c r="Z75" s="69" t="str">
        <f>IF(Table_Custom_Input[[#This Row],[Replacing lamp or fixture?]]="Fixture", Table_Custom_Input[[#This Row],[Fixture Replacement: Energy Savings]], IF(Table_Custom_Input[[#This Row],[Replacing lamp or fixture?]]="Lamp", Table_Custom_Input[[#This Row],[Lamp Replacement: Energy Savings]], ""))</f>
        <v/>
      </c>
      <c r="AA75" s="73" t="str">
        <f>IF(Table_Custom_Input[[#This Row],[Replacing lamp or fixture?]]="Fixture", Table_Custom_Input[[#This Row],[Fixture Replacement: Demand Savings]], IF(Table_Custom_Input[[#This Row],[Replacing lamp or fixture?]]="Lamp", Table_Custom_Input[[#This Row],[Lamp Replacement: Demand Savings]], ""))</f>
        <v/>
      </c>
      <c r="AB75" s="67" t="str">
        <f>IFERROR(Table_Custom_Input[[#This Row],[Energy savings (kWh)]]*Input_AvgkWhRate, "")</f>
        <v/>
      </c>
      <c r="AC75" s="67" t="str">
        <f>IF(Table_Custom_Input[[#This Row],[Replacing lamp or fixture?]]&lt;&gt;"",Table_Custom_Input[[#This Row],[Material cost per unit]]*Table_Custom_Input[[#This Row],[Number of proposed units]]+Table_Custom_Input[[#This Row],[Total labor cost]],"")</f>
        <v/>
      </c>
      <c r="AD75" s="67" t="str">
        <f>IF(Table_Custom_Input[[#This Row],[Estimated incentive]]="","",Table_Custom_Input[[#This Row],[Gross measure Cost]]-Table_Custom_Input[[#This Row],[Estimated incentive]])</f>
        <v/>
      </c>
      <c r="AE75" s="69" t="str">
        <f>IFERROR(Table_Custom_Input[[#This Row],[Net measure cost]]/Table_Custom_Input[[#This Row],[Cost savings]], "")</f>
        <v/>
      </c>
      <c r="AF75" s="85">
        <f>IF(Table_Custom_Input[[#This Row],[Use custom or default operating hours?]]="Default", Table_Custom_Input[[#This Row],[Default annual operating hours]], IF(Table_Custom_Input[[#This Row],[Use custom or default operating hours?]]="Custom", Table_Custom_Input[[#This Row],[Custom annual operating hours]], 0))</f>
        <v>0</v>
      </c>
      <c r="AG75" s="85" t="e">
        <f>INDEX(Table_TRM_Fixtures[Fixture Wattage for Baseline Calculations], MATCH(Table_Custom_Input[[#This Row],[Existing fixture code]], Table_TRM_Fixtures[Fixture Code], 0))</f>
        <v>#N/A</v>
      </c>
      <c r="AH75" s="85" t="e">
        <f>INDEX(Table_TRM_Fixtures[Fixture Watts  (TRM Data)], MATCH(Table_Custom_Input[[#This Row],[Proposed fixture code]], Table_TRM_Fixtures[Fixture Code], 0))</f>
        <v>#N/A</v>
      </c>
      <c r="AI75"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75"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75" s="85" t="e">
        <f>INDEX(Table_TRM_Fixtures[Fixture Wattage for Baseline Calculations], MATCH(Table_Custom_Input[[#This Row],[Existing fixture code]], Table_TRM_Fixtures[Fixture Code], 0))/Table_Custom_Input[[#This Row],[Existing lamps per fixture]]</f>
        <v>#N/A</v>
      </c>
      <c r="AL75" s="85" t="str">
        <f>IF(Table_Custom_Input[[#This Row],[Proposed lamp wattage]]="","",Table_Custom_Input[[#This Row],[Proposed lamp wattage]])</f>
        <v/>
      </c>
      <c r="AM75"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75"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76" spans="2:40" s="18" customFormat="1" ht="15" x14ac:dyDescent="0.2">
      <c r="B76" s="61">
        <v>72</v>
      </c>
      <c r="C76" s="61" t="str">
        <f>IFERROR(INDEX(Table_Custom_Measure_No[Custom Measure No], MATCH(Table_Custom_Input[[#This Row],[Existing lighting type]], Table_Custom_Measure_No[List_Light_Type], 0)), "")</f>
        <v/>
      </c>
      <c r="D76" s="192"/>
      <c r="E76" s="179"/>
      <c r="F76" s="58"/>
      <c r="G76" s="58"/>
      <c r="H76" s="68" t="str">
        <f>IFERROR(INDEX(Table_Bldg_Type[AOH], MATCH(Table_Custom_Input[[#This Row],[Building/space type]], Table_Bldg_Type[List_Bldg_Types], 0)), "")</f>
        <v/>
      </c>
      <c r="I76" s="65"/>
      <c r="J76" s="58"/>
      <c r="K76" s="58"/>
      <c r="L76" s="58"/>
      <c r="M76" s="58"/>
      <c r="N76" s="58"/>
      <c r="O76" s="58"/>
      <c r="P76" s="58"/>
      <c r="Q76" s="58"/>
      <c r="R76" s="58"/>
      <c r="S76" s="58"/>
      <c r="T76" s="58"/>
      <c r="U76" s="58"/>
      <c r="V76" s="58"/>
      <c r="W76" s="66"/>
      <c r="X76" s="66"/>
      <c r="Y76" s="67" t="str">
        <f>IFERROR(Table_Custom_Input[[#This Row],[Energy savings (kWh)]]*Value_Custom_IncentRate, "")</f>
        <v/>
      </c>
      <c r="Z76" s="69" t="str">
        <f>IF(Table_Custom_Input[[#This Row],[Replacing lamp or fixture?]]="Fixture", Table_Custom_Input[[#This Row],[Fixture Replacement: Energy Savings]], IF(Table_Custom_Input[[#This Row],[Replacing lamp or fixture?]]="Lamp", Table_Custom_Input[[#This Row],[Lamp Replacement: Energy Savings]], ""))</f>
        <v/>
      </c>
      <c r="AA76" s="73" t="str">
        <f>IF(Table_Custom_Input[[#This Row],[Replacing lamp or fixture?]]="Fixture", Table_Custom_Input[[#This Row],[Fixture Replacement: Demand Savings]], IF(Table_Custom_Input[[#This Row],[Replacing lamp or fixture?]]="Lamp", Table_Custom_Input[[#This Row],[Lamp Replacement: Demand Savings]], ""))</f>
        <v/>
      </c>
      <c r="AB76" s="67" t="str">
        <f>IFERROR(Table_Custom_Input[[#This Row],[Energy savings (kWh)]]*Input_AvgkWhRate, "")</f>
        <v/>
      </c>
      <c r="AC76" s="67" t="str">
        <f>IF(Table_Custom_Input[[#This Row],[Replacing lamp or fixture?]]&lt;&gt;"",Table_Custom_Input[[#This Row],[Material cost per unit]]*Table_Custom_Input[[#This Row],[Number of proposed units]]+Table_Custom_Input[[#This Row],[Total labor cost]],"")</f>
        <v/>
      </c>
      <c r="AD76" s="67" t="str">
        <f>IF(Table_Custom_Input[[#This Row],[Estimated incentive]]="","",Table_Custom_Input[[#This Row],[Gross measure Cost]]-Table_Custom_Input[[#This Row],[Estimated incentive]])</f>
        <v/>
      </c>
      <c r="AE76" s="69" t="str">
        <f>IFERROR(Table_Custom_Input[[#This Row],[Net measure cost]]/Table_Custom_Input[[#This Row],[Cost savings]], "")</f>
        <v/>
      </c>
      <c r="AF76" s="85">
        <f>IF(Table_Custom_Input[[#This Row],[Use custom or default operating hours?]]="Default", Table_Custom_Input[[#This Row],[Default annual operating hours]], IF(Table_Custom_Input[[#This Row],[Use custom or default operating hours?]]="Custom", Table_Custom_Input[[#This Row],[Custom annual operating hours]], 0))</f>
        <v>0</v>
      </c>
      <c r="AG76" s="85" t="e">
        <f>INDEX(Table_TRM_Fixtures[Fixture Wattage for Baseline Calculations], MATCH(Table_Custom_Input[[#This Row],[Existing fixture code]], Table_TRM_Fixtures[Fixture Code], 0))</f>
        <v>#N/A</v>
      </c>
      <c r="AH76" s="85" t="e">
        <f>INDEX(Table_TRM_Fixtures[Fixture Watts  (TRM Data)], MATCH(Table_Custom_Input[[#This Row],[Proposed fixture code]], Table_TRM_Fixtures[Fixture Code], 0))</f>
        <v>#N/A</v>
      </c>
      <c r="AI76"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76"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76" s="85" t="e">
        <f>INDEX(Table_TRM_Fixtures[Fixture Wattage for Baseline Calculations], MATCH(Table_Custom_Input[[#This Row],[Existing fixture code]], Table_TRM_Fixtures[Fixture Code], 0))/Table_Custom_Input[[#This Row],[Existing lamps per fixture]]</f>
        <v>#N/A</v>
      </c>
      <c r="AL76" s="85" t="str">
        <f>IF(Table_Custom_Input[[#This Row],[Proposed lamp wattage]]="","",Table_Custom_Input[[#This Row],[Proposed lamp wattage]])</f>
        <v/>
      </c>
      <c r="AM76"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76"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77" spans="2:40" s="18" customFormat="1" ht="15" x14ac:dyDescent="0.2">
      <c r="B77" s="61">
        <v>73</v>
      </c>
      <c r="C77" s="61" t="str">
        <f>IFERROR(INDEX(Table_Custom_Measure_No[Custom Measure No], MATCH(Table_Custom_Input[[#This Row],[Existing lighting type]], Table_Custom_Measure_No[List_Light_Type], 0)), "")</f>
        <v/>
      </c>
      <c r="D77" s="192"/>
      <c r="E77" s="179"/>
      <c r="F77" s="58"/>
      <c r="G77" s="58"/>
      <c r="H77" s="68" t="str">
        <f>IFERROR(INDEX(Table_Bldg_Type[AOH], MATCH(Table_Custom_Input[[#This Row],[Building/space type]], Table_Bldg_Type[List_Bldg_Types], 0)), "")</f>
        <v/>
      </c>
      <c r="I77" s="65"/>
      <c r="J77" s="58"/>
      <c r="K77" s="58"/>
      <c r="L77" s="58"/>
      <c r="M77" s="58"/>
      <c r="N77" s="58"/>
      <c r="O77" s="58"/>
      <c r="P77" s="58"/>
      <c r="Q77" s="58"/>
      <c r="R77" s="58"/>
      <c r="S77" s="58"/>
      <c r="T77" s="58"/>
      <c r="U77" s="58"/>
      <c r="V77" s="58"/>
      <c r="W77" s="66"/>
      <c r="X77" s="66"/>
      <c r="Y77" s="67" t="str">
        <f>IFERROR(Table_Custom_Input[[#This Row],[Energy savings (kWh)]]*Value_Custom_IncentRate, "")</f>
        <v/>
      </c>
      <c r="Z77" s="69" t="str">
        <f>IF(Table_Custom_Input[[#This Row],[Replacing lamp or fixture?]]="Fixture", Table_Custom_Input[[#This Row],[Fixture Replacement: Energy Savings]], IF(Table_Custom_Input[[#This Row],[Replacing lamp or fixture?]]="Lamp", Table_Custom_Input[[#This Row],[Lamp Replacement: Energy Savings]], ""))</f>
        <v/>
      </c>
      <c r="AA77" s="73" t="str">
        <f>IF(Table_Custom_Input[[#This Row],[Replacing lamp or fixture?]]="Fixture", Table_Custom_Input[[#This Row],[Fixture Replacement: Demand Savings]], IF(Table_Custom_Input[[#This Row],[Replacing lamp or fixture?]]="Lamp", Table_Custom_Input[[#This Row],[Lamp Replacement: Demand Savings]], ""))</f>
        <v/>
      </c>
      <c r="AB77" s="67" t="str">
        <f>IFERROR(Table_Custom_Input[[#This Row],[Energy savings (kWh)]]*Input_AvgkWhRate, "")</f>
        <v/>
      </c>
      <c r="AC77" s="67" t="str">
        <f>IF(Table_Custom_Input[[#This Row],[Replacing lamp or fixture?]]&lt;&gt;"",Table_Custom_Input[[#This Row],[Material cost per unit]]*Table_Custom_Input[[#This Row],[Number of proposed units]]+Table_Custom_Input[[#This Row],[Total labor cost]],"")</f>
        <v/>
      </c>
      <c r="AD77" s="67" t="str">
        <f>IF(Table_Custom_Input[[#This Row],[Estimated incentive]]="","",Table_Custom_Input[[#This Row],[Gross measure Cost]]-Table_Custom_Input[[#This Row],[Estimated incentive]])</f>
        <v/>
      </c>
      <c r="AE77" s="69" t="str">
        <f>IFERROR(Table_Custom_Input[[#This Row],[Net measure cost]]/Table_Custom_Input[[#This Row],[Cost savings]], "")</f>
        <v/>
      </c>
      <c r="AF77" s="85">
        <f>IF(Table_Custom_Input[[#This Row],[Use custom or default operating hours?]]="Default", Table_Custom_Input[[#This Row],[Default annual operating hours]], IF(Table_Custom_Input[[#This Row],[Use custom or default operating hours?]]="Custom", Table_Custom_Input[[#This Row],[Custom annual operating hours]], 0))</f>
        <v>0</v>
      </c>
      <c r="AG77" s="85" t="e">
        <f>INDEX(Table_TRM_Fixtures[Fixture Wattage for Baseline Calculations], MATCH(Table_Custom_Input[[#This Row],[Existing fixture code]], Table_TRM_Fixtures[Fixture Code], 0))</f>
        <v>#N/A</v>
      </c>
      <c r="AH77" s="85" t="e">
        <f>INDEX(Table_TRM_Fixtures[Fixture Watts  (TRM Data)], MATCH(Table_Custom_Input[[#This Row],[Proposed fixture code]], Table_TRM_Fixtures[Fixture Code], 0))</f>
        <v>#N/A</v>
      </c>
      <c r="AI77"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77"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77" s="85" t="e">
        <f>INDEX(Table_TRM_Fixtures[Fixture Wattage for Baseline Calculations], MATCH(Table_Custom_Input[[#This Row],[Existing fixture code]], Table_TRM_Fixtures[Fixture Code], 0))/Table_Custom_Input[[#This Row],[Existing lamps per fixture]]</f>
        <v>#N/A</v>
      </c>
      <c r="AL77" s="85" t="str">
        <f>IF(Table_Custom_Input[[#This Row],[Proposed lamp wattage]]="","",Table_Custom_Input[[#This Row],[Proposed lamp wattage]])</f>
        <v/>
      </c>
      <c r="AM77"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77"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78" spans="2:40" s="18" customFormat="1" ht="15" x14ac:dyDescent="0.2">
      <c r="B78" s="61">
        <v>74</v>
      </c>
      <c r="C78" s="61" t="str">
        <f>IFERROR(INDEX(Table_Custom_Measure_No[Custom Measure No], MATCH(Table_Custom_Input[[#This Row],[Existing lighting type]], Table_Custom_Measure_No[List_Light_Type], 0)), "")</f>
        <v/>
      </c>
      <c r="D78" s="192"/>
      <c r="E78" s="179"/>
      <c r="F78" s="58"/>
      <c r="G78" s="58"/>
      <c r="H78" s="68" t="str">
        <f>IFERROR(INDEX(Table_Bldg_Type[AOH], MATCH(Table_Custom_Input[[#This Row],[Building/space type]], Table_Bldg_Type[List_Bldg_Types], 0)), "")</f>
        <v/>
      </c>
      <c r="I78" s="65"/>
      <c r="J78" s="58"/>
      <c r="K78" s="58"/>
      <c r="L78" s="58"/>
      <c r="M78" s="58"/>
      <c r="N78" s="58"/>
      <c r="O78" s="58"/>
      <c r="P78" s="58"/>
      <c r="Q78" s="58"/>
      <c r="R78" s="58"/>
      <c r="S78" s="58"/>
      <c r="T78" s="58"/>
      <c r="U78" s="58"/>
      <c r="V78" s="58"/>
      <c r="W78" s="66"/>
      <c r="X78" s="66"/>
      <c r="Y78" s="67" t="str">
        <f>IFERROR(Table_Custom_Input[[#This Row],[Energy savings (kWh)]]*Value_Custom_IncentRate, "")</f>
        <v/>
      </c>
      <c r="Z78" s="69" t="str">
        <f>IF(Table_Custom_Input[[#This Row],[Replacing lamp or fixture?]]="Fixture", Table_Custom_Input[[#This Row],[Fixture Replacement: Energy Savings]], IF(Table_Custom_Input[[#This Row],[Replacing lamp or fixture?]]="Lamp", Table_Custom_Input[[#This Row],[Lamp Replacement: Energy Savings]], ""))</f>
        <v/>
      </c>
      <c r="AA78" s="73" t="str">
        <f>IF(Table_Custom_Input[[#This Row],[Replacing lamp or fixture?]]="Fixture", Table_Custom_Input[[#This Row],[Fixture Replacement: Demand Savings]], IF(Table_Custom_Input[[#This Row],[Replacing lamp or fixture?]]="Lamp", Table_Custom_Input[[#This Row],[Lamp Replacement: Demand Savings]], ""))</f>
        <v/>
      </c>
      <c r="AB78" s="67" t="str">
        <f>IFERROR(Table_Custom_Input[[#This Row],[Energy savings (kWh)]]*Input_AvgkWhRate, "")</f>
        <v/>
      </c>
      <c r="AC78" s="67" t="str">
        <f>IF(Table_Custom_Input[[#This Row],[Replacing lamp or fixture?]]&lt;&gt;"",Table_Custom_Input[[#This Row],[Material cost per unit]]*Table_Custom_Input[[#This Row],[Number of proposed units]]+Table_Custom_Input[[#This Row],[Total labor cost]],"")</f>
        <v/>
      </c>
      <c r="AD78" s="67" t="str">
        <f>IF(Table_Custom_Input[[#This Row],[Estimated incentive]]="","",Table_Custom_Input[[#This Row],[Gross measure Cost]]-Table_Custom_Input[[#This Row],[Estimated incentive]])</f>
        <v/>
      </c>
      <c r="AE78" s="69" t="str">
        <f>IFERROR(Table_Custom_Input[[#This Row],[Net measure cost]]/Table_Custom_Input[[#This Row],[Cost savings]], "")</f>
        <v/>
      </c>
      <c r="AF78" s="85">
        <f>IF(Table_Custom_Input[[#This Row],[Use custom or default operating hours?]]="Default", Table_Custom_Input[[#This Row],[Default annual operating hours]], IF(Table_Custom_Input[[#This Row],[Use custom or default operating hours?]]="Custom", Table_Custom_Input[[#This Row],[Custom annual operating hours]], 0))</f>
        <v>0</v>
      </c>
      <c r="AG78" s="85" t="e">
        <f>INDEX(Table_TRM_Fixtures[Fixture Wattage for Baseline Calculations], MATCH(Table_Custom_Input[[#This Row],[Existing fixture code]], Table_TRM_Fixtures[Fixture Code], 0))</f>
        <v>#N/A</v>
      </c>
      <c r="AH78" s="85" t="e">
        <f>INDEX(Table_TRM_Fixtures[Fixture Watts  (TRM Data)], MATCH(Table_Custom_Input[[#This Row],[Proposed fixture code]], Table_TRM_Fixtures[Fixture Code], 0))</f>
        <v>#N/A</v>
      </c>
      <c r="AI78"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78"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78" s="85" t="e">
        <f>INDEX(Table_TRM_Fixtures[Fixture Wattage for Baseline Calculations], MATCH(Table_Custom_Input[[#This Row],[Existing fixture code]], Table_TRM_Fixtures[Fixture Code], 0))/Table_Custom_Input[[#This Row],[Existing lamps per fixture]]</f>
        <v>#N/A</v>
      </c>
      <c r="AL78" s="85" t="str">
        <f>IF(Table_Custom_Input[[#This Row],[Proposed lamp wattage]]="","",Table_Custom_Input[[#This Row],[Proposed lamp wattage]])</f>
        <v/>
      </c>
      <c r="AM78"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78"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79" spans="2:40" s="18" customFormat="1" ht="15" x14ac:dyDescent="0.2">
      <c r="B79" s="61">
        <v>75</v>
      </c>
      <c r="C79" s="61" t="str">
        <f>IFERROR(INDEX(Table_Custom_Measure_No[Custom Measure No], MATCH(Table_Custom_Input[[#This Row],[Existing lighting type]], Table_Custom_Measure_No[List_Light_Type], 0)), "")</f>
        <v/>
      </c>
      <c r="D79" s="192"/>
      <c r="E79" s="179"/>
      <c r="F79" s="58"/>
      <c r="G79" s="58"/>
      <c r="H79" s="68" t="str">
        <f>IFERROR(INDEX(Table_Bldg_Type[AOH], MATCH(Table_Custom_Input[[#This Row],[Building/space type]], Table_Bldg_Type[List_Bldg_Types], 0)), "")</f>
        <v/>
      </c>
      <c r="I79" s="65"/>
      <c r="J79" s="58"/>
      <c r="K79" s="58"/>
      <c r="L79" s="58"/>
      <c r="M79" s="58"/>
      <c r="N79" s="58"/>
      <c r="O79" s="58"/>
      <c r="P79" s="58"/>
      <c r="Q79" s="58"/>
      <c r="R79" s="58"/>
      <c r="S79" s="58"/>
      <c r="T79" s="58"/>
      <c r="U79" s="58"/>
      <c r="V79" s="58"/>
      <c r="W79" s="66"/>
      <c r="X79" s="66"/>
      <c r="Y79" s="67" t="str">
        <f>IFERROR(Table_Custom_Input[[#This Row],[Energy savings (kWh)]]*Value_Custom_IncentRate, "")</f>
        <v/>
      </c>
      <c r="Z79" s="69" t="str">
        <f>IF(Table_Custom_Input[[#This Row],[Replacing lamp or fixture?]]="Fixture", Table_Custom_Input[[#This Row],[Fixture Replacement: Energy Savings]], IF(Table_Custom_Input[[#This Row],[Replacing lamp or fixture?]]="Lamp", Table_Custom_Input[[#This Row],[Lamp Replacement: Energy Savings]], ""))</f>
        <v/>
      </c>
      <c r="AA79" s="73" t="str">
        <f>IF(Table_Custom_Input[[#This Row],[Replacing lamp or fixture?]]="Fixture", Table_Custom_Input[[#This Row],[Fixture Replacement: Demand Savings]], IF(Table_Custom_Input[[#This Row],[Replacing lamp or fixture?]]="Lamp", Table_Custom_Input[[#This Row],[Lamp Replacement: Demand Savings]], ""))</f>
        <v/>
      </c>
      <c r="AB79" s="67" t="str">
        <f>IFERROR(Table_Custom_Input[[#This Row],[Energy savings (kWh)]]*Input_AvgkWhRate, "")</f>
        <v/>
      </c>
      <c r="AC79" s="67" t="str">
        <f>IF(Table_Custom_Input[[#This Row],[Replacing lamp or fixture?]]&lt;&gt;"",Table_Custom_Input[[#This Row],[Material cost per unit]]*Table_Custom_Input[[#This Row],[Number of proposed units]]+Table_Custom_Input[[#This Row],[Total labor cost]],"")</f>
        <v/>
      </c>
      <c r="AD79" s="67" t="str">
        <f>IF(Table_Custom_Input[[#This Row],[Estimated incentive]]="","",Table_Custom_Input[[#This Row],[Gross measure Cost]]-Table_Custom_Input[[#This Row],[Estimated incentive]])</f>
        <v/>
      </c>
      <c r="AE79" s="69" t="str">
        <f>IFERROR(Table_Custom_Input[[#This Row],[Net measure cost]]/Table_Custom_Input[[#This Row],[Cost savings]], "")</f>
        <v/>
      </c>
      <c r="AF79" s="85">
        <f>IF(Table_Custom_Input[[#This Row],[Use custom or default operating hours?]]="Default", Table_Custom_Input[[#This Row],[Default annual operating hours]], IF(Table_Custom_Input[[#This Row],[Use custom or default operating hours?]]="Custom", Table_Custom_Input[[#This Row],[Custom annual operating hours]], 0))</f>
        <v>0</v>
      </c>
      <c r="AG79" s="85" t="e">
        <f>INDEX(Table_TRM_Fixtures[Fixture Wattage for Baseline Calculations], MATCH(Table_Custom_Input[[#This Row],[Existing fixture code]], Table_TRM_Fixtures[Fixture Code], 0))</f>
        <v>#N/A</v>
      </c>
      <c r="AH79" s="85" t="e">
        <f>INDEX(Table_TRM_Fixtures[Fixture Watts  (TRM Data)], MATCH(Table_Custom_Input[[#This Row],[Proposed fixture code]], Table_TRM_Fixtures[Fixture Code], 0))</f>
        <v>#N/A</v>
      </c>
      <c r="AI79"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79"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79" s="85" t="e">
        <f>INDEX(Table_TRM_Fixtures[Fixture Wattage for Baseline Calculations], MATCH(Table_Custom_Input[[#This Row],[Existing fixture code]], Table_TRM_Fixtures[Fixture Code], 0))/Table_Custom_Input[[#This Row],[Existing lamps per fixture]]</f>
        <v>#N/A</v>
      </c>
      <c r="AL79" s="85" t="str">
        <f>IF(Table_Custom_Input[[#This Row],[Proposed lamp wattage]]="","",Table_Custom_Input[[#This Row],[Proposed lamp wattage]])</f>
        <v/>
      </c>
      <c r="AM79"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79"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80" spans="2:40" s="18" customFormat="1" ht="15" x14ac:dyDescent="0.2">
      <c r="B80" s="61">
        <v>76</v>
      </c>
      <c r="C80" s="61" t="str">
        <f>IFERROR(INDEX(Table_Custom_Measure_No[Custom Measure No], MATCH(Table_Custom_Input[[#This Row],[Existing lighting type]], Table_Custom_Measure_No[List_Light_Type], 0)), "")</f>
        <v/>
      </c>
      <c r="D80" s="192"/>
      <c r="E80" s="179"/>
      <c r="F80" s="58"/>
      <c r="G80" s="58"/>
      <c r="H80" s="68" t="str">
        <f>IFERROR(INDEX(Table_Bldg_Type[AOH], MATCH(Table_Custom_Input[[#This Row],[Building/space type]], Table_Bldg_Type[List_Bldg_Types], 0)), "")</f>
        <v/>
      </c>
      <c r="I80" s="65"/>
      <c r="J80" s="58"/>
      <c r="K80" s="58"/>
      <c r="L80" s="58"/>
      <c r="M80" s="58"/>
      <c r="N80" s="58"/>
      <c r="O80" s="58"/>
      <c r="P80" s="58"/>
      <c r="Q80" s="58"/>
      <c r="R80" s="58"/>
      <c r="S80" s="58"/>
      <c r="T80" s="58"/>
      <c r="U80" s="58"/>
      <c r="V80" s="58"/>
      <c r="W80" s="66"/>
      <c r="X80" s="66"/>
      <c r="Y80" s="67" t="str">
        <f>IFERROR(Table_Custom_Input[[#This Row],[Energy savings (kWh)]]*Value_Custom_IncentRate, "")</f>
        <v/>
      </c>
      <c r="Z80" s="69" t="str">
        <f>IF(Table_Custom_Input[[#This Row],[Replacing lamp or fixture?]]="Fixture", Table_Custom_Input[[#This Row],[Fixture Replacement: Energy Savings]], IF(Table_Custom_Input[[#This Row],[Replacing lamp or fixture?]]="Lamp", Table_Custom_Input[[#This Row],[Lamp Replacement: Energy Savings]], ""))</f>
        <v/>
      </c>
      <c r="AA80" s="73" t="str">
        <f>IF(Table_Custom_Input[[#This Row],[Replacing lamp or fixture?]]="Fixture", Table_Custom_Input[[#This Row],[Fixture Replacement: Demand Savings]], IF(Table_Custom_Input[[#This Row],[Replacing lamp or fixture?]]="Lamp", Table_Custom_Input[[#This Row],[Lamp Replacement: Demand Savings]], ""))</f>
        <v/>
      </c>
      <c r="AB80" s="67" t="str">
        <f>IFERROR(Table_Custom_Input[[#This Row],[Energy savings (kWh)]]*Input_AvgkWhRate, "")</f>
        <v/>
      </c>
      <c r="AC80" s="67" t="str">
        <f>IF(Table_Custom_Input[[#This Row],[Replacing lamp or fixture?]]&lt;&gt;"",Table_Custom_Input[[#This Row],[Material cost per unit]]*Table_Custom_Input[[#This Row],[Number of proposed units]]+Table_Custom_Input[[#This Row],[Total labor cost]],"")</f>
        <v/>
      </c>
      <c r="AD80" s="67" t="str">
        <f>IF(Table_Custom_Input[[#This Row],[Estimated incentive]]="","",Table_Custom_Input[[#This Row],[Gross measure Cost]]-Table_Custom_Input[[#This Row],[Estimated incentive]])</f>
        <v/>
      </c>
      <c r="AE80" s="69" t="str">
        <f>IFERROR(Table_Custom_Input[[#This Row],[Net measure cost]]/Table_Custom_Input[[#This Row],[Cost savings]], "")</f>
        <v/>
      </c>
      <c r="AF80" s="85">
        <f>IF(Table_Custom_Input[[#This Row],[Use custom or default operating hours?]]="Default", Table_Custom_Input[[#This Row],[Default annual operating hours]], IF(Table_Custom_Input[[#This Row],[Use custom or default operating hours?]]="Custom", Table_Custom_Input[[#This Row],[Custom annual operating hours]], 0))</f>
        <v>0</v>
      </c>
      <c r="AG80" s="85" t="e">
        <f>INDEX(Table_TRM_Fixtures[Fixture Wattage for Baseline Calculations], MATCH(Table_Custom_Input[[#This Row],[Existing fixture code]], Table_TRM_Fixtures[Fixture Code], 0))</f>
        <v>#N/A</v>
      </c>
      <c r="AH80" s="85" t="e">
        <f>INDEX(Table_TRM_Fixtures[Fixture Watts  (TRM Data)], MATCH(Table_Custom_Input[[#This Row],[Proposed fixture code]], Table_TRM_Fixtures[Fixture Code], 0))</f>
        <v>#N/A</v>
      </c>
      <c r="AI80"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80"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80" s="85" t="e">
        <f>INDEX(Table_TRM_Fixtures[Fixture Wattage for Baseline Calculations], MATCH(Table_Custom_Input[[#This Row],[Existing fixture code]], Table_TRM_Fixtures[Fixture Code], 0))/Table_Custom_Input[[#This Row],[Existing lamps per fixture]]</f>
        <v>#N/A</v>
      </c>
      <c r="AL80" s="85" t="str">
        <f>IF(Table_Custom_Input[[#This Row],[Proposed lamp wattage]]="","",Table_Custom_Input[[#This Row],[Proposed lamp wattage]])</f>
        <v/>
      </c>
      <c r="AM80"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80"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81" spans="2:40" s="18" customFormat="1" ht="15" x14ac:dyDescent="0.2">
      <c r="B81" s="61">
        <v>77</v>
      </c>
      <c r="C81" s="61" t="str">
        <f>IFERROR(INDEX(Table_Custom_Measure_No[Custom Measure No], MATCH(Table_Custom_Input[[#This Row],[Existing lighting type]], Table_Custom_Measure_No[List_Light_Type], 0)), "")</f>
        <v/>
      </c>
      <c r="D81" s="192"/>
      <c r="E81" s="179"/>
      <c r="F81" s="58"/>
      <c r="G81" s="58"/>
      <c r="H81" s="68" t="str">
        <f>IFERROR(INDEX(Table_Bldg_Type[AOH], MATCH(Table_Custom_Input[[#This Row],[Building/space type]], Table_Bldg_Type[List_Bldg_Types], 0)), "")</f>
        <v/>
      </c>
      <c r="I81" s="65"/>
      <c r="J81" s="58"/>
      <c r="K81" s="58"/>
      <c r="L81" s="58"/>
      <c r="M81" s="58"/>
      <c r="N81" s="58"/>
      <c r="O81" s="58"/>
      <c r="P81" s="58"/>
      <c r="Q81" s="58"/>
      <c r="R81" s="58"/>
      <c r="S81" s="58"/>
      <c r="T81" s="58"/>
      <c r="U81" s="58"/>
      <c r="V81" s="58"/>
      <c r="W81" s="66"/>
      <c r="X81" s="66"/>
      <c r="Y81" s="67" t="str">
        <f>IFERROR(Table_Custom_Input[[#This Row],[Energy savings (kWh)]]*Value_Custom_IncentRate, "")</f>
        <v/>
      </c>
      <c r="Z81" s="69" t="str">
        <f>IF(Table_Custom_Input[[#This Row],[Replacing lamp or fixture?]]="Fixture", Table_Custom_Input[[#This Row],[Fixture Replacement: Energy Savings]], IF(Table_Custom_Input[[#This Row],[Replacing lamp or fixture?]]="Lamp", Table_Custom_Input[[#This Row],[Lamp Replacement: Energy Savings]], ""))</f>
        <v/>
      </c>
      <c r="AA81" s="73" t="str">
        <f>IF(Table_Custom_Input[[#This Row],[Replacing lamp or fixture?]]="Fixture", Table_Custom_Input[[#This Row],[Fixture Replacement: Demand Savings]], IF(Table_Custom_Input[[#This Row],[Replacing lamp or fixture?]]="Lamp", Table_Custom_Input[[#This Row],[Lamp Replacement: Demand Savings]], ""))</f>
        <v/>
      </c>
      <c r="AB81" s="67" t="str">
        <f>IFERROR(Table_Custom_Input[[#This Row],[Energy savings (kWh)]]*Input_AvgkWhRate, "")</f>
        <v/>
      </c>
      <c r="AC81" s="67" t="str">
        <f>IF(Table_Custom_Input[[#This Row],[Replacing lamp or fixture?]]&lt;&gt;"",Table_Custom_Input[[#This Row],[Material cost per unit]]*Table_Custom_Input[[#This Row],[Number of proposed units]]+Table_Custom_Input[[#This Row],[Total labor cost]],"")</f>
        <v/>
      </c>
      <c r="AD81" s="67" t="str">
        <f>IF(Table_Custom_Input[[#This Row],[Estimated incentive]]="","",Table_Custom_Input[[#This Row],[Gross measure Cost]]-Table_Custom_Input[[#This Row],[Estimated incentive]])</f>
        <v/>
      </c>
      <c r="AE81" s="69" t="str">
        <f>IFERROR(Table_Custom_Input[[#This Row],[Net measure cost]]/Table_Custom_Input[[#This Row],[Cost savings]], "")</f>
        <v/>
      </c>
      <c r="AF81" s="85">
        <f>IF(Table_Custom_Input[[#This Row],[Use custom or default operating hours?]]="Default", Table_Custom_Input[[#This Row],[Default annual operating hours]], IF(Table_Custom_Input[[#This Row],[Use custom or default operating hours?]]="Custom", Table_Custom_Input[[#This Row],[Custom annual operating hours]], 0))</f>
        <v>0</v>
      </c>
      <c r="AG81" s="85" t="e">
        <f>INDEX(Table_TRM_Fixtures[Fixture Wattage for Baseline Calculations], MATCH(Table_Custom_Input[[#This Row],[Existing fixture code]], Table_TRM_Fixtures[Fixture Code], 0))</f>
        <v>#N/A</v>
      </c>
      <c r="AH81" s="85" t="e">
        <f>INDEX(Table_TRM_Fixtures[Fixture Watts  (TRM Data)], MATCH(Table_Custom_Input[[#This Row],[Proposed fixture code]], Table_TRM_Fixtures[Fixture Code], 0))</f>
        <v>#N/A</v>
      </c>
      <c r="AI81"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81"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81" s="85" t="e">
        <f>INDEX(Table_TRM_Fixtures[Fixture Wattage for Baseline Calculations], MATCH(Table_Custom_Input[[#This Row],[Existing fixture code]], Table_TRM_Fixtures[Fixture Code], 0))/Table_Custom_Input[[#This Row],[Existing lamps per fixture]]</f>
        <v>#N/A</v>
      </c>
      <c r="AL81" s="85" t="str">
        <f>IF(Table_Custom_Input[[#This Row],[Proposed lamp wattage]]="","",Table_Custom_Input[[#This Row],[Proposed lamp wattage]])</f>
        <v/>
      </c>
      <c r="AM81"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81"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82" spans="2:40" s="18" customFormat="1" ht="15" x14ac:dyDescent="0.2">
      <c r="B82" s="61">
        <v>78</v>
      </c>
      <c r="C82" s="61" t="str">
        <f>IFERROR(INDEX(Table_Custom_Measure_No[Custom Measure No], MATCH(Table_Custom_Input[[#This Row],[Existing lighting type]], Table_Custom_Measure_No[List_Light_Type], 0)), "")</f>
        <v/>
      </c>
      <c r="D82" s="192"/>
      <c r="E82" s="179"/>
      <c r="F82" s="58"/>
      <c r="G82" s="58"/>
      <c r="H82" s="68" t="str">
        <f>IFERROR(INDEX(Table_Bldg_Type[AOH], MATCH(Table_Custom_Input[[#This Row],[Building/space type]], Table_Bldg_Type[List_Bldg_Types], 0)), "")</f>
        <v/>
      </c>
      <c r="I82" s="65"/>
      <c r="J82" s="58"/>
      <c r="K82" s="58"/>
      <c r="L82" s="58"/>
      <c r="M82" s="58"/>
      <c r="N82" s="58"/>
      <c r="O82" s="58"/>
      <c r="P82" s="58"/>
      <c r="Q82" s="58"/>
      <c r="R82" s="58"/>
      <c r="S82" s="58"/>
      <c r="T82" s="58"/>
      <c r="U82" s="58"/>
      <c r="V82" s="58"/>
      <c r="W82" s="66"/>
      <c r="X82" s="66"/>
      <c r="Y82" s="67" t="str">
        <f>IFERROR(Table_Custom_Input[[#This Row],[Energy savings (kWh)]]*Value_Custom_IncentRate, "")</f>
        <v/>
      </c>
      <c r="Z82" s="69" t="str">
        <f>IF(Table_Custom_Input[[#This Row],[Replacing lamp or fixture?]]="Fixture", Table_Custom_Input[[#This Row],[Fixture Replacement: Energy Savings]], IF(Table_Custom_Input[[#This Row],[Replacing lamp or fixture?]]="Lamp", Table_Custom_Input[[#This Row],[Lamp Replacement: Energy Savings]], ""))</f>
        <v/>
      </c>
      <c r="AA82" s="73" t="str">
        <f>IF(Table_Custom_Input[[#This Row],[Replacing lamp or fixture?]]="Fixture", Table_Custom_Input[[#This Row],[Fixture Replacement: Demand Savings]], IF(Table_Custom_Input[[#This Row],[Replacing lamp or fixture?]]="Lamp", Table_Custom_Input[[#This Row],[Lamp Replacement: Demand Savings]], ""))</f>
        <v/>
      </c>
      <c r="AB82" s="67" t="str">
        <f>IFERROR(Table_Custom_Input[[#This Row],[Energy savings (kWh)]]*Input_AvgkWhRate, "")</f>
        <v/>
      </c>
      <c r="AC82" s="67" t="str">
        <f>IF(Table_Custom_Input[[#This Row],[Replacing lamp or fixture?]]&lt;&gt;"",Table_Custom_Input[[#This Row],[Material cost per unit]]*Table_Custom_Input[[#This Row],[Number of proposed units]]+Table_Custom_Input[[#This Row],[Total labor cost]],"")</f>
        <v/>
      </c>
      <c r="AD82" s="67" t="str">
        <f>IF(Table_Custom_Input[[#This Row],[Estimated incentive]]="","",Table_Custom_Input[[#This Row],[Gross measure Cost]]-Table_Custom_Input[[#This Row],[Estimated incentive]])</f>
        <v/>
      </c>
      <c r="AE82" s="69" t="str">
        <f>IFERROR(Table_Custom_Input[[#This Row],[Net measure cost]]/Table_Custom_Input[[#This Row],[Cost savings]], "")</f>
        <v/>
      </c>
      <c r="AF82" s="85">
        <f>IF(Table_Custom_Input[[#This Row],[Use custom or default operating hours?]]="Default", Table_Custom_Input[[#This Row],[Default annual operating hours]], IF(Table_Custom_Input[[#This Row],[Use custom or default operating hours?]]="Custom", Table_Custom_Input[[#This Row],[Custom annual operating hours]], 0))</f>
        <v>0</v>
      </c>
      <c r="AG82" s="85" t="e">
        <f>INDEX(Table_TRM_Fixtures[Fixture Wattage for Baseline Calculations], MATCH(Table_Custom_Input[[#This Row],[Existing fixture code]], Table_TRM_Fixtures[Fixture Code], 0))</f>
        <v>#N/A</v>
      </c>
      <c r="AH82" s="85" t="e">
        <f>INDEX(Table_TRM_Fixtures[Fixture Watts  (TRM Data)], MATCH(Table_Custom_Input[[#This Row],[Proposed fixture code]], Table_TRM_Fixtures[Fixture Code], 0))</f>
        <v>#N/A</v>
      </c>
      <c r="AI82"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82"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82" s="85" t="e">
        <f>INDEX(Table_TRM_Fixtures[Fixture Wattage for Baseline Calculations], MATCH(Table_Custom_Input[[#This Row],[Existing fixture code]], Table_TRM_Fixtures[Fixture Code], 0))/Table_Custom_Input[[#This Row],[Existing lamps per fixture]]</f>
        <v>#N/A</v>
      </c>
      <c r="AL82" s="85" t="str">
        <f>IF(Table_Custom_Input[[#This Row],[Proposed lamp wattage]]="","",Table_Custom_Input[[#This Row],[Proposed lamp wattage]])</f>
        <v/>
      </c>
      <c r="AM82"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82"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83" spans="2:40" s="18" customFormat="1" ht="15" x14ac:dyDescent="0.2">
      <c r="B83" s="61">
        <v>79</v>
      </c>
      <c r="C83" s="61" t="str">
        <f>IFERROR(INDEX(Table_Custom_Measure_No[Custom Measure No], MATCH(Table_Custom_Input[[#This Row],[Existing lighting type]], Table_Custom_Measure_No[List_Light_Type], 0)), "")</f>
        <v/>
      </c>
      <c r="D83" s="192"/>
      <c r="E83" s="179"/>
      <c r="F83" s="58"/>
      <c r="G83" s="58"/>
      <c r="H83" s="68" t="str">
        <f>IFERROR(INDEX(Table_Bldg_Type[AOH], MATCH(Table_Custom_Input[[#This Row],[Building/space type]], Table_Bldg_Type[List_Bldg_Types], 0)), "")</f>
        <v/>
      </c>
      <c r="I83" s="65"/>
      <c r="J83" s="58"/>
      <c r="K83" s="58"/>
      <c r="L83" s="58"/>
      <c r="M83" s="58"/>
      <c r="N83" s="58"/>
      <c r="O83" s="58"/>
      <c r="P83" s="58"/>
      <c r="Q83" s="58"/>
      <c r="R83" s="58"/>
      <c r="S83" s="58"/>
      <c r="T83" s="58"/>
      <c r="U83" s="58"/>
      <c r="V83" s="58"/>
      <c r="W83" s="66"/>
      <c r="X83" s="66"/>
      <c r="Y83" s="67" t="str">
        <f>IFERROR(Table_Custom_Input[[#This Row],[Energy savings (kWh)]]*Value_Custom_IncentRate, "")</f>
        <v/>
      </c>
      <c r="Z83" s="69" t="str">
        <f>IF(Table_Custom_Input[[#This Row],[Replacing lamp or fixture?]]="Fixture", Table_Custom_Input[[#This Row],[Fixture Replacement: Energy Savings]], IF(Table_Custom_Input[[#This Row],[Replacing lamp or fixture?]]="Lamp", Table_Custom_Input[[#This Row],[Lamp Replacement: Energy Savings]], ""))</f>
        <v/>
      </c>
      <c r="AA83" s="73" t="str">
        <f>IF(Table_Custom_Input[[#This Row],[Replacing lamp or fixture?]]="Fixture", Table_Custom_Input[[#This Row],[Fixture Replacement: Demand Savings]], IF(Table_Custom_Input[[#This Row],[Replacing lamp or fixture?]]="Lamp", Table_Custom_Input[[#This Row],[Lamp Replacement: Demand Savings]], ""))</f>
        <v/>
      </c>
      <c r="AB83" s="67" t="str">
        <f>IFERROR(Table_Custom_Input[[#This Row],[Energy savings (kWh)]]*Input_AvgkWhRate, "")</f>
        <v/>
      </c>
      <c r="AC83" s="67" t="str">
        <f>IF(Table_Custom_Input[[#This Row],[Replacing lamp or fixture?]]&lt;&gt;"",Table_Custom_Input[[#This Row],[Material cost per unit]]*Table_Custom_Input[[#This Row],[Number of proposed units]]+Table_Custom_Input[[#This Row],[Total labor cost]],"")</f>
        <v/>
      </c>
      <c r="AD83" s="67" t="str">
        <f>IF(Table_Custom_Input[[#This Row],[Estimated incentive]]="","",Table_Custom_Input[[#This Row],[Gross measure Cost]]-Table_Custom_Input[[#This Row],[Estimated incentive]])</f>
        <v/>
      </c>
      <c r="AE83" s="69" t="str">
        <f>IFERROR(Table_Custom_Input[[#This Row],[Net measure cost]]/Table_Custom_Input[[#This Row],[Cost savings]], "")</f>
        <v/>
      </c>
      <c r="AF83" s="85">
        <f>IF(Table_Custom_Input[[#This Row],[Use custom or default operating hours?]]="Default", Table_Custom_Input[[#This Row],[Default annual operating hours]], IF(Table_Custom_Input[[#This Row],[Use custom or default operating hours?]]="Custom", Table_Custom_Input[[#This Row],[Custom annual operating hours]], 0))</f>
        <v>0</v>
      </c>
      <c r="AG83" s="85" t="e">
        <f>INDEX(Table_TRM_Fixtures[Fixture Wattage for Baseline Calculations], MATCH(Table_Custom_Input[[#This Row],[Existing fixture code]], Table_TRM_Fixtures[Fixture Code], 0))</f>
        <v>#N/A</v>
      </c>
      <c r="AH83" s="85" t="e">
        <f>INDEX(Table_TRM_Fixtures[Fixture Watts  (TRM Data)], MATCH(Table_Custom_Input[[#This Row],[Proposed fixture code]], Table_TRM_Fixtures[Fixture Code], 0))</f>
        <v>#N/A</v>
      </c>
      <c r="AI83"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83"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83" s="85" t="e">
        <f>INDEX(Table_TRM_Fixtures[Fixture Wattage for Baseline Calculations], MATCH(Table_Custom_Input[[#This Row],[Existing fixture code]], Table_TRM_Fixtures[Fixture Code], 0))/Table_Custom_Input[[#This Row],[Existing lamps per fixture]]</f>
        <v>#N/A</v>
      </c>
      <c r="AL83" s="85" t="str">
        <f>IF(Table_Custom_Input[[#This Row],[Proposed lamp wattage]]="","",Table_Custom_Input[[#This Row],[Proposed lamp wattage]])</f>
        <v/>
      </c>
      <c r="AM83"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83"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84" spans="2:40" s="18" customFormat="1" ht="15" x14ac:dyDescent="0.2">
      <c r="B84" s="61">
        <v>80</v>
      </c>
      <c r="C84" s="61" t="str">
        <f>IFERROR(INDEX(Table_Custom_Measure_No[Custom Measure No], MATCH(Table_Custom_Input[[#This Row],[Existing lighting type]], Table_Custom_Measure_No[List_Light_Type], 0)), "")</f>
        <v/>
      </c>
      <c r="D84" s="192"/>
      <c r="E84" s="179"/>
      <c r="F84" s="58"/>
      <c r="G84" s="58"/>
      <c r="H84" s="68" t="str">
        <f>IFERROR(INDEX(Table_Bldg_Type[AOH], MATCH(Table_Custom_Input[[#This Row],[Building/space type]], Table_Bldg_Type[List_Bldg_Types], 0)), "")</f>
        <v/>
      </c>
      <c r="I84" s="65"/>
      <c r="J84" s="58"/>
      <c r="K84" s="58"/>
      <c r="L84" s="58"/>
      <c r="M84" s="58"/>
      <c r="N84" s="58"/>
      <c r="O84" s="58"/>
      <c r="P84" s="58"/>
      <c r="Q84" s="58"/>
      <c r="R84" s="58"/>
      <c r="S84" s="58"/>
      <c r="T84" s="58"/>
      <c r="U84" s="58"/>
      <c r="V84" s="58"/>
      <c r="W84" s="66"/>
      <c r="X84" s="66"/>
      <c r="Y84" s="67" t="str">
        <f>IFERROR(Table_Custom_Input[[#This Row],[Energy savings (kWh)]]*Value_Custom_IncentRate, "")</f>
        <v/>
      </c>
      <c r="Z84" s="69" t="str">
        <f>IF(Table_Custom_Input[[#This Row],[Replacing lamp or fixture?]]="Fixture", Table_Custom_Input[[#This Row],[Fixture Replacement: Energy Savings]], IF(Table_Custom_Input[[#This Row],[Replacing lamp or fixture?]]="Lamp", Table_Custom_Input[[#This Row],[Lamp Replacement: Energy Savings]], ""))</f>
        <v/>
      </c>
      <c r="AA84" s="73" t="str">
        <f>IF(Table_Custom_Input[[#This Row],[Replacing lamp or fixture?]]="Fixture", Table_Custom_Input[[#This Row],[Fixture Replacement: Demand Savings]], IF(Table_Custom_Input[[#This Row],[Replacing lamp or fixture?]]="Lamp", Table_Custom_Input[[#This Row],[Lamp Replacement: Demand Savings]], ""))</f>
        <v/>
      </c>
      <c r="AB84" s="67" t="str">
        <f>IFERROR(Table_Custom_Input[[#This Row],[Energy savings (kWh)]]*Input_AvgkWhRate, "")</f>
        <v/>
      </c>
      <c r="AC84" s="67" t="str">
        <f>IF(Table_Custom_Input[[#This Row],[Replacing lamp or fixture?]]&lt;&gt;"",Table_Custom_Input[[#This Row],[Material cost per unit]]*Table_Custom_Input[[#This Row],[Number of proposed units]]+Table_Custom_Input[[#This Row],[Total labor cost]],"")</f>
        <v/>
      </c>
      <c r="AD84" s="67" t="str">
        <f>IF(Table_Custom_Input[[#This Row],[Estimated incentive]]="","",Table_Custom_Input[[#This Row],[Gross measure Cost]]-Table_Custom_Input[[#This Row],[Estimated incentive]])</f>
        <v/>
      </c>
      <c r="AE84" s="69" t="str">
        <f>IFERROR(Table_Custom_Input[[#This Row],[Net measure cost]]/Table_Custom_Input[[#This Row],[Cost savings]], "")</f>
        <v/>
      </c>
      <c r="AF84" s="85">
        <f>IF(Table_Custom_Input[[#This Row],[Use custom or default operating hours?]]="Default", Table_Custom_Input[[#This Row],[Default annual operating hours]], IF(Table_Custom_Input[[#This Row],[Use custom or default operating hours?]]="Custom", Table_Custom_Input[[#This Row],[Custom annual operating hours]], 0))</f>
        <v>0</v>
      </c>
      <c r="AG84" s="85" t="e">
        <f>INDEX(Table_TRM_Fixtures[Fixture Wattage for Baseline Calculations], MATCH(Table_Custom_Input[[#This Row],[Existing fixture code]], Table_TRM_Fixtures[Fixture Code], 0))</f>
        <v>#N/A</v>
      </c>
      <c r="AH84" s="85" t="e">
        <f>INDEX(Table_TRM_Fixtures[Fixture Watts  (TRM Data)], MATCH(Table_Custom_Input[[#This Row],[Proposed fixture code]], Table_TRM_Fixtures[Fixture Code], 0))</f>
        <v>#N/A</v>
      </c>
      <c r="AI84"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84"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84" s="85" t="e">
        <f>INDEX(Table_TRM_Fixtures[Fixture Wattage for Baseline Calculations], MATCH(Table_Custom_Input[[#This Row],[Existing fixture code]], Table_TRM_Fixtures[Fixture Code], 0))/Table_Custom_Input[[#This Row],[Existing lamps per fixture]]</f>
        <v>#N/A</v>
      </c>
      <c r="AL84" s="85" t="str">
        <f>IF(Table_Custom_Input[[#This Row],[Proposed lamp wattage]]="","",Table_Custom_Input[[#This Row],[Proposed lamp wattage]])</f>
        <v/>
      </c>
      <c r="AM84"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84"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85" spans="2:40" s="18" customFormat="1" ht="15" x14ac:dyDescent="0.2">
      <c r="B85" s="61">
        <v>81</v>
      </c>
      <c r="C85" s="61" t="str">
        <f>IFERROR(INDEX(Table_Custom_Measure_No[Custom Measure No], MATCH(Table_Custom_Input[[#This Row],[Existing lighting type]], Table_Custom_Measure_No[List_Light_Type], 0)), "")</f>
        <v/>
      </c>
      <c r="D85" s="192"/>
      <c r="E85" s="179"/>
      <c r="F85" s="58"/>
      <c r="G85" s="58"/>
      <c r="H85" s="68" t="str">
        <f>IFERROR(INDEX(Table_Bldg_Type[AOH], MATCH(Table_Custom_Input[[#This Row],[Building/space type]], Table_Bldg_Type[List_Bldg_Types], 0)), "")</f>
        <v/>
      </c>
      <c r="I85" s="65"/>
      <c r="J85" s="58"/>
      <c r="K85" s="58"/>
      <c r="L85" s="58"/>
      <c r="M85" s="58"/>
      <c r="N85" s="58"/>
      <c r="O85" s="58"/>
      <c r="P85" s="58"/>
      <c r="Q85" s="58"/>
      <c r="R85" s="58"/>
      <c r="S85" s="58"/>
      <c r="T85" s="58"/>
      <c r="U85" s="58"/>
      <c r="V85" s="58"/>
      <c r="W85" s="66"/>
      <c r="X85" s="66"/>
      <c r="Y85" s="67" t="str">
        <f>IFERROR(Table_Custom_Input[[#This Row],[Energy savings (kWh)]]*Value_Custom_IncentRate, "")</f>
        <v/>
      </c>
      <c r="Z85" s="69" t="str">
        <f>IF(Table_Custom_Input[[#This Row],[Replacing lamp or fixture?]]="Fixture", Table_Custom_Input[[#This Row],[Fixture Replacement: Energy Savings]], IF(Table_Custom_Input[[#This Row],[Replacing lamp or fixture?]]="Lamp", Table_Custom_Input[[#This Row],[Lamp Replacement: Energy Savings]], ""))</f>
        <v/>
      </c>
      <c r="AA85" s="73" t="str">
        <f>IF(Table_Custom_Input[[#This Row],[Replacing lamp or fixture?]]="Fixture", Table_Custom_Input[[#This Row],[Fixture Replacement: Demand Savings]], IF(Table_Custom_Input[[#This Row],[Replacing lamp or fixture?]]="Lamp", Table_Custom_Input[[#This Row],[Lamp Replacement: Demand Savings]], ""))</f>
        <v/>
      </c>
      <c r="AB85" s="67" t="str">
        <f>IFERROR(Table_Custom_Input[[#This Row],[Energy savings (kWh)]]*Input_AvgkWhRate, "")</f>
        <v/>
      </c>
      <c r="AC85" s="67" t="str">
        <f>IF(Table_Custom_Input[[#This Row],[Replacing lamp or fixture?]]&lt;&gt;"",Table_Custom_Input[[#This Row],[Material cost per unit]]*Table_Custom_Input[[#This Row],[Number of proposed units]]+Table_Custom_Input[[#This Row],[Total labor cost]],"")</f>
        <v/>
      </c>
      <c r="AD85" s="67" t="str">
        <f>IF(Table_Custom_Input[[#This Row],[Estimated incentive]]="","",Table_Custom_Input[[#This Row],[Gross measure Cost]]-Table_Custom_Input[[#This Row],[Estimated incentive]])</f>
        <v/>
      </c>
      <c r="AE85" s="69" t="str">
        <f>IFERROR(Table_Custom_Input[[#This Row],[Net measure cost]]/Table_Custom_Input[[#This Row],[Cost savings]], "")</f>
        <v/>
      </c>
      <c r="AF85" s="85">
        <f>IF(Table_Custom_Input[[#This Row],[Use custom or default operating hours?]]="Default", Table_Custom_Input[[#This Row],[Default annual operating hours]], IF(Table_Custom_Input[[#This Row],[Use custom or default operating hours?]]="Custom", Table_Custom_Input[[#This Row],[Custom annual operating hours]], 0))</f>
        <v>0</v>
      </c>
      <c r="AG85" s="85" t="e">
        <f>INDEX(Table_TRM_Fixtures[Fixture Wattage for Baseline Calculations], MATCH(Table_Custom_Input[[#This Row],[Existing fixture code]], Table_TRM_Fixtures[Fixture Code], 0))</f>
        <v>#N/A</v>
      </c>
      <c r="AH85" s="85" t="e">
        <f>INDEX(Table_TRM_Fixtures[Fixture Watts  (TRM Data)], MATCH(Table_Custom_Input[[#This Row],[Proposed fixture code]], Table_TRM_Fixtures[Fixture Code], 0))</f>
        <v>#N/A</v>
      </c>
      <c r="AI85"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85"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85" s="85" t="e">
        <f>INDEX(Table_TRM_Fixtures[Fixture Wattage for Baseline Calculations], MATCH(Table_Custom_Input[[#This Row],[Existing fixture code]], Table_TRM_Fixtures[Fixture Code], 0))/Table_Custom_Input[[#This Row],[Existing lamps per fixture]]</f>
        <v>#N/A</v>
      </c>
      <c r="AL85" s="85" t="str">
        <f>IF(Table_Custom_Input[[#This Row],[Proposed lamp wattage]]="","",Table_Custom_Input[[#This Row],[Proposed lamp wattage]])</f>
        <v/>
      </c>
      <c r="AM85"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85"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86" spans="2:40" s="18" customFormat="1" ht="15" x14ac:dyDescent="0.2">
      <c r="B86" s="61">
        <v>82</v>
      </c>
      <c r="C86" s="61" t="str">
        <f>IFERROR(INDEX(Table_Custom_Measure_No[Custom Measure No], MATCH(Table_Custom_Input[[#This Row],[Existing lighting type]], Table_Custom_Measure_No[List_Light_Type], 0)), "")</f>
        <v/>
      </c>
      <c r="D86" s="192"/>
      <c r="E86" s="179"/>
      <c r="F86" s="58"/>
      <c r="G86" s="58"/>
      <c r="H86" s="68" t="str">
        <f>IFERROR(INDEX(Table_Bldg_Type[AOH], MATCH(Table_Custom_Input[[#This Row],[Building/space type]], Table_Bldg_Type[List_Bldg_Types], 0)), "")</f>
        <v/>
      </c>
      <c r="I86" s="65"/>
      <c r="J86" s="58"/>
      <c r="K86" s="58"/>
      <c r="L86" s="58"/>
      <c r="M86" s="58"/>
      <c r="N86" s="58"/>
      <c r="O86" s="58"/>
      <c r="P86" s="58"/>
      <c r="Q86" s="58"/>
      <c r="R86" s="58"/>
      <c r="S86" s="58"/>
      <c r="T86" s="58"/>
      <c r="U86" s="58"/>
      <c r="V86" s="58"/>
      <c r="W86" s="66"/>
      <c r="X86" s="66"/>
      <c r="Y86" s="67" t="str">
        <f>IFERROR(Table_Custom_Input[[#This Row],[Energy savings (kWh)]]*Value_Custom_IncentRate, "")</f>
        <v/>
      </c>
      <c r="Z86" s="69" t="str">
        <f>IF(Table_Custom_Input[[#This Row],[Replacing lamp or fixture?]]="Fixture", Table_Custom_Input[[#This Row],[Fixture Replacement: Energy Savings]], IF(Table_Custom_Input[[#This Row],[Replacing lamp or fixture?]]="Lamp", Table_Custom_Input[[#This Row],[Lamp Replacement: Energy Savings]], ""))</f>
        <v/>
      </c>
      <c r="AA86" s="73" t="str">
        <f>IF(Table_Custom_Input[[#This Row],[Replacing lamp or fixture?]]="Fixture", Table_Custom_Input[[#This Row],[Fixture Replacement: Demand Savings]], IF(Table_Custom_Input[[#This Row],[Replacing lamp or fixture?]]="Lamp", Table_Custom_Input[[#This Row],[Lamp Replacement: Demand Savings]], ""))</f>
        <v/>
      </c>
      <c r="AB86" s="67" t="str">
        <f>IFERROR(Table_Custom_Input[[#This Row],[Energy savings (kWh)]]*Input_AvgkWhRate, "")</f>
        <v/>
      </c>
      <c r="AC86" s="67" t="str">
        <f>IF(Table_Custom_Input[[#This Row],[Replacing lamp or fixture?]]&lt;&gt;"",Table_Custom_Input[[#This Row],[Material cost per unit]]*Table_Custom_Input[[#This Row],[Number of proposed units]]+Table_Custom_Input[[#This Row],[Total labor cost]],"")</f>
        <v/>
      </c>
      <c r="AD86" s="67" t="str">
        <f>IF(Table_Custom_Input[[#This Row],[Estimated incentive]]="","",Table_Custom_Input[[#This Row],[Gross measure Cost]]-Table_Custom_Input[[#This Row],[Estimated incentive]])</f>
        <v/>
      </c>
      <c r="AE86" s="69" t="str">
        <f>IFERROR(Table_Custom_Input[[#This Row],[Net measure cost]]/Table_Custom_Input[[#This Row],[Cost savings]], "")</f>
        <v/>
      </c>
      <c r="AF86" s="85">
        <f>IF(Table_Custom_Input[[#This Row],[Use custom or default operating hours?]]="Default", Table_Custom_Input[[#This Row],[Default annual operating hours]], IF(Table_Custom_Input[[#This Row],[Use custom or default operating hours?]]="Custom", Table_Custom_Input[[#This Row],[Custom annual operating hours]], 0))</f>
        <v>0</v>
      </c>
      <c r="AG86" s="85" t="e">
        <f>INDEX(Table_TRM_Fixtures[Fixture Wattage for Baseline Calculations], MATCH(Table_Custom_Input[[#This Row],[Existing fixture code]], Table_TRM_Fixtures[Fixture Code], 0))</f>
        <v>#N/A</v>
      </c>
      <c r="AH86" s="85" t="e">
        <f>INDEX(Table_TRM_Fixtures[Fixture Watts  (TRM Data)], MATCH(Table_Custom_Input[[#This Row],[Proposed fixture code]], Table_TRM_Fixtures[Fixture Code], 0))</f>
        <v>#N/A</v>
      </c>
      <c r="AI86"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86"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86" s="85" t="e">
        <f>INDEX(Table_TRM_Fixtures[Fixture Wattage for Baseline Calculations], MATCH(Table_Custom_Input[[#This Row],[Existing fixture code]], Table_TRM_Fixtures[Fixture Code], 0))/Table_Custom_Input[[#This Row],[Existing lamps per fixture]]</f>
        <v>#N/A</v>
      </c>
      <c r="AL86" s="85" t="str">
        <f>IF(Table_Custom_Input[[#This Row],[Proposed lamp wattage]]="","",Table_Custom_Input[[#This Row],[Proposed lamp wattage]])</f>
        <v/>
      </c>
      <c r="AM86"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86"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87" spans="2:40" s="18" customFormat="1" ht="15" x14ac:dyDescent="0.2">
      <c r="B87" s="61">
        <v>83</v>
      </c>
      <c r="C87" s="61" t="str">
        <f>IFERROR(INDEX(Table_Custom_Measure_No[Custom Measure No], MATCH(Table_Custom_Input[[#This Row],[Existing lighting type]], Table_Custom_Measure_No[List_Light_Type], 0)), "")</f>
        <v/>
      </c>
      <c r="D87" s="192"/>
      <c r="E87" s="179"/>
      <c r="F87" s="58"/>
      <c r="G87" s="58"/>
      <c r="H87" s="68" t="str">
        <f>IFERROR(INDEX(Table_Bldg_Type[AOH], MATCH(Table_Custom_Input[[#This Row],[Building/space type]], Table_Bldg_Type[List_Bldg_Types], 0)), "")</f>
        <v/>
      </c>
      <c r="I87" s="65"/>
      <c r="J87" s="58"/>
      <c r="K87" s="58"/>
      <c r="L87" s="58"/>
      <c r="M87" s="58"/>
      <c r="N87" s="58"/>
      <c r="O87" s="58"/>
      <c r="P87" s="58"/>
      <c r="Q87" s="58"/>
      <c r="R87" s="58"/>
      <c r="S87" s="58"/>
      <c r="T87" s="58"/>
      <c r="U87" s="58"/>
      <c r="V87" s="58"/>
      <c r="W87" s="66"/>
      <c r="X87" s="66"/>
      <c r="Y87" s="67" t="str">
        <f>IFERROR(Table_Custom_Input[[#This Row],[Energy savings (kWh)]]*Value_Custom_IncentRate, "")</f>
        <v/>
      </c>
      <c r="Z87" s="69" t="str">
        <f>IF(Table_Custom_Input[[#This Row],[Replacing lamp or fixture?]]="Fixture", Table_Custom_Input[[#This Row],[Fixture Replacement: Energy Savings]], IF(Table_Custom_Input[[#This Row],[Replacing lamp or fixture?]]="Lamp", Table_Custom_Input[[#This Row],[Lamp Replacement: Energy Savings]], ""))</f>
        <v/>
      </c>
      <c r="AA87" s="73" t="str">
        <f>IF(Table_Custom_Input[[#This Row],[Replacing lamp or fixture?]]="Fixture", Table_Custom_Input[[#This Row],[Fixture Replacement: Demand Savings]], IF(Table_Custom_Input[[#This Row],[Replacing lamp or fixture?]]="Lamp", Table_Custom_Input[[#This Row],[Lamp Replacement: Demand Savings]], ""))</f>
        <v/>
      </c>
      <c r="AB87" s="67" t="str">
        <f>IFERROR(Table_Custom_Input[[#This Row],[Energy savings (kWh)]]*Input_AvgkWhRate, "")</f>
        <v/>
      </c>
      <c r="AC87" s="67" t="str">
        <f>IF(Table_Custom_Input[[#This Row],[Replacing lamp or fixture?]]&lt;&gt;"",Table_Custom_Input[[#This Row],[Material cost per unit]]*Table_Custom_Input[[#This Row],[Number of proposed units]]+Table_Custom_Input[[#This Row],[Total labor cost]],"")</f>
        <v/>
      </c>
      <c r="AD87" s="67" t="str">
        <f>IF(Table_Custom_Input[[#This Row],[Estimated incentive]]="","",Table_Custom_Input[[#This Row],[Gross measure Cost]]-Table_Custom_Input[[#This Row],[Estimated incentive]])</f>
        <v/>
      </c>
      <c r="AE87" s="69" t="str">
        <f>IFERROR(Table_Custom_Input[[#This Row],[Net measure cost]]/Table_Custom_Input[[#This Row],[Cost savings]], "")</f>
        <v/>
      </c>
      <c r="AF87" s="85">
        <f>IF(Table_Custom_Input[[#This Row],[Use custom or default operating hours?]]="Default", Table_Custom_Input[[#This Row],[Default annual operating hours]], IF(Table_Custom_Input[[#This Row],[Use custom or default operating hours?]]="Custom", Table_Custom_Input[[#This Row],[Custom annual operating hours]], 0))</f>
        <v>0</v>
      </c>
      <c r="AG87" s="85" t="e">
        <f>INDEX(Table_TRM_Fixtures[Fixture Wattage for Baseline Calculations], MATCH(Table_Custom_Input[[#This Row],[Existing fixture code]], Table_TRM_Fixtures[Fixture Code], 0))</f>
        <v>#N/A</v>
      </c>
      <c r="AH87" s="85" t="e">
        <f>INDEX(Table_TRM_Fixtures[Fixture Watts  (TRM Data)], MATCH(Table_Custom_Input[[#This Row],[Proposed fixture code]], Table_TRM_Fixtures[Fixture Code], 0))</f>
        <v>#N/A</v>
      </c>
      <c r="AI87"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87"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87" s="85" t="e">
        <f>INDEX(Table_TRM_Fixtures[Fixture Wattage for Baseline Calculations], MATCH(Table_Custom_Input[[#This Row],[Existing fixture code]], Table_TRM_Fixtures[Fixture Code], 0))/Table_Custom_Input[[#This Row],[Existing lamps per fixture]]</f>
        <v>#N/A</v>
      </c>
      <c r="AL87" s="85" t="str">
        <f>IF(Table_Custom_Input[[#This Row],[Proposed lamp wattage]]="","",Table_Custom_Input[[#This Row],[Proposed lamp wattage]])</f>
        <v/>
      </c>
      <c r="AM87"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87"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88" spans="2:40" s="18" customFormat="1" ht="15" x14ac:dyDescent="0.2">
      <c r="B88" s="61">
        <v>84</v>
      </c>
      <c r="C88" s="61" t="str">
        <f>IFERROR(INDEX(Table_Custom_Measure_No[Custom Measure No], MATCH(Table_Custom_Input[[#This Row],[Existing lighting type]], Table_Custom_Measure_No[List_Light_Type], 0)), "")</f>
        <v/>
      </c>
      <c r="D88" s="192"/>
      <c r="E88" s="179"/>
      <c r="F88" s="58"/>
      <c r="G88" s="58"/>
      <c r="H88" s="68" t="str">
        <f>IFERROR(INDEX(Table_Bldg_Type[AOH], MATCH(Table_Custom_Input[[#This Row],[Building/space type]], Table_Bldg_Type[List_Bldg_Types], 0)), "")</f>
        <v/>
      </c>
      <c r="I88" s="65"/>
      <c r="J88" s="58"/>
      <c r="K88" s="58"/>
      <c r="L88" s="58"/>
      <c r="M88" s="58"/>
      <c r="N88" s="58"/>
      <c r="O88" s="58"/>
      <c r="P88" s="58"/>
      <c r="Q88" s="58"/>
      <c r="R88" s="58"/>
      <c r="S88" s="58"/>
      <c r="T88" s="58"/>
      <c r="U88" s="58"/>
      <c r="V88" s="58"/>
      <c r="W88" s="66"/>
      <c r="X88" s="66"/>
      <c r="Y88" s="67" t="str">
        <f>IFERROR(Table_Custom_Input[[#This Row],[Energy savings (kWh)]]*Value_Custom_IncentRate, "")</f>
        <v/>
      </c>
      <c r="Z88" s="69" t="str">
        <f>IF(Table_Custom_Input[[#This Row],[Replacing lamp or fixture?]]="Fixture", Table_Custom_Input[[#This Row],[Fixture Replacement: Energy Savings]], IF(Table_Custom_Input[[#This Row],[Replacing lamp or fixture?]]="Lamp", Table_Custom_Input[[#This Row],[Lamp Replacement: Energy Savings]], ""))</f>
        <v/>
      </c>
      <c r="AA88" s="73" t="str">
        <f>IF(Table_Custom_Input[[#This Row],[Replacing lamp or fixture?]]="Fixture", Table_Custom_Input[[#This Row],[Fixture Replacement: Demand Savings]], IF(Table_Custom_Input[[#This Row],[Replacing lamp or fixture?]]="Lamp", Table_Custom_Input[[#This Row],[Lamp Replacement: Demand Savings]], ""))</f>
        <v/>
      </c>
      <c r="AB88" s="67" t="str">
        <f>IFERROR(Table_Custom_Input[[#This Row],[Energy savings (kWh)]]*Input_AvgkWhRate, "")</f>
        <v/>
      </c>
      <c r="AC88" s="67" t="str">
        <f>IF(Table_Custom_Input[[#This Row],[Replacing lamp or fixture?]]&lt;&gt;"",Table_Custom_Input[[#This Row],[Material cost per unit]]*Table_Custom_Input[[#This Row],[Number of proposed units]]+Table_Custom_Input[[#This Row],[Total labor cost]],"")</f>
        <v/>
      </c>
      <c r="AD88" s="67" t="str">
        <f>IF(Table_Custom_Input[[#This Row],[Estimated incentive]]="","",Table_Custom_Input[[#This Row],[Gross measure Cost]]-Table_Custom_Input[[#This Row],[Estimated incentive]])</f>
        <v/>
      </c>
      <c r="AE88" s="69" t="str">
        <f>IFERROR(Table_Custom_Input[[#This Row],[Net measure cost]]/Table_Custom_Input[[#This Row],[Cost savings]], "")</f>
        <v/>
      </c>
      <c r="AF88" s="85">
        <f>IF(Table_Custom_Input[[#This Row],[Use custom or default operating hours?]]="Default", Table_Custom_Input[[#This Row],[Default annual operating hours]], IF(Table_Custom_Input[[#This Row],[Use custom or default operating hours?]]="Custom", Table_Custom_Input[[#This Row],[Custom annual operating hours]], 0))</f>
        <v>0</v>
      </c>
      <c r="AG88" s="85" t="e">
        <f>INDEX(Table_TRM_Fixtures[Fixture Wattage for Baseline Calculations], MATCH(Table_Custom_Input[[#This Row],[Existing fixture code]], Table_TRM_Fixtures[Fixture Code], 0))</f>
        <v>#N/A</v>
      </c>
      <c r="AH88" s="85" t="e">
        <f>INDEX(Table_TRM_Fixtures[Fixture Watts  (TRM Data)], MATCH(Table_Custom_Input[[#This Row],[Proposed fixture code]], Table_TRM_Fixtures[Fixture Code], 0))</f>
        <v>#N/A</v>
      </c>
      <c r="AI88"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88"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88" s="85" t="e">
        <f>INDEX(Table_TRM_Fixtures[Fixture Wattage for Baseline Calculations], MATCH(Table_Custom_Input[[#This Row],[Existing fixture code]], Table_TRM_Fixtures[Fixture Code], 0))/Table_Custom_Input[[#This Row],[Existing lamps per fixture]]</f>
        <v>#N/A</v>
      </c>
      <c r="AL88" s="85" t="str">
        <f>IF(Table_Custom_Input[[#This Row],[Proposed lamp wattage]]="","",Table_Custom_Input[[#This Row],[Proposed lamp wattage]])</f>
        <v/>
      </c>
      <c r="AM88"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88"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89" spans="2:40" s="18" customFormat="1" ht="15" x14ac:dyDescent="0.2">
      <c r="B89" s="61">
        <v>85</v>
      </c>
      <c r="C89" s="61" t="str">
        <f>IFERROR(INDEX(Table_Custom_Measure_No[Custom Measure No], MATCH(Table_Custom_Input[[#This Row],[Existing lighting type]], Table_Custom_Measure_No[List_Light_Type], 0)), "")</f>
        <v/>
      </c>
      <c r="D89" s="192"/>
      <c r="E89" s="179"/>
      <c r="F89" s="58"/>
      <c r="G89" s="58"/>
      <c r="H89" s="68" t="str">
        <f>IFERROR(INDEX(Table_Bldg_Type[AOH], MATCH(Table_Custom_Input[[#This Row],[Building/space type]], Table_Bldg_Type[List_Bldg_Types], 0)), "")</f>
        <v/>
      </c>
      <c r="I89" s="65"/>
      <c r="J89" s="58"/>
      <c r="K89" s="58"/>
      <c r="L89" s="58"/>
      <c r="M89" s="58"/>
      <c r="N89" s="58"/>
      <c r="O89" s="58"/>
      <c r="P89" s="58"/>
      <c r="Q89" s="58"/>
      <c r="R89" s="58"/>
      <c r="S89" s="58"/>
      <c r="T89" s="58"/>
      <c r="U89" s="58"/>
      <c r="V89" s="58"/>
      <c r="W89" s="66"/>
      <c r="X89" s="66"/>
      <c r="Y89" s="67" t="str">
        <f>IFERROR(Table_Custom_Input[[#This Row],[Energy savings (kWh)]]*Value_Custom_IncentRate, "")</f>
        <v/>
      </c>
      <c r="Z89" s="69" t="str">
        <f>IF(Table_Custom_Input[[#This Row],[Replacing lamp or fixture?]]="Fixture", Table_Custom_Input[[#This Row],[Fixture Replacement: Energy Savings]], IF(Table_Custom_Input[[#This Row],[Replacing lamp or fixture?]]="Lamp", Table_Custom_Input[[#This Row],[Lamp Replacement: Energy Savings]], ""))</f>
        <v/>
      </c>
      <c r="AA89" s="73" t="str">
        <f>IF(Table_Custom_Input[[#This Row],[Replacing lamp or fixture?]]="Fixture", Table_Custom_Input[[#This Row],[Fixture Replacement: Demand Savings]], IF(Table_Custom_Input[[#This Row],[Replacing lamp or fixture?]]="Lamp", Table_Custom_Input[[#This Row],[Lamp Replacement: Demand Savings]], ""))</f>
        <v/>
      </c>
      <c r="AB89" s="67" t="str">
        <f>IFERROR(Table_Custom_Input[[#This Row],[Energy savings (kWh)]]*Input_AvgkWhRate, "")</f>
        <v/>
      </c>
      <c r="AC89" s="67" t="str">
        <f>IF(Table_Custom_Input[[#This Row],[Replacing lamp or fixture?]]&lt;&gt;"",Table_Custom_Input[[#This Row],[Material cost per unit]]*Table_Custom_Input[[#This Row],[Number of proposed units]]+Table_Custom_Input[[#This Row],[Total labor cost]],"")</f>
        <v/>
      </c>
      <c r="AD89" s="67" t="str">
        <f>IF(Table_Custom_Input[[#This Row],[Estimated incentive]]="","",Table_Custom_Input[[#This Row],[Gross measure Cost]]-Table_Custom_Input[[#This Row],[Estimated incentive]])</f>
        <v/>
      </c>
      <c r="AE89" s="69" t="str">
        <f>IFERROR(Table_Custom_Input[[#This Row],[Net measure cost]]/Table_Custom_Input[[#This Row],[Cost savings]], "")</f>
        <v/>
      </c>
      <c r="AF89" s="85">
        <f>IF(Table_Custom_Input[[#This Row],[Use custom or default operating hours?]]="Default", Table_Custom_Input[[#This Row],[Default annual operating hours]], IF(Table_Custom_Input[[#This Row],[Use custom or default operating hours?]]="Custom", Table_Custom_Input[[#This Row],[Custom annual operating hours]], 0))</f>
        <v>0</v>
      </c>
      <c r="AG89" s="85" t="e">
        <f>INDEX(Table_TRM_Fixtures[Fixture Wattage for Baseline Calculations], MATCH(Table_Custom_Input[[#This Row],[Existing fixture code]], Table_TRM_Fixtures[Fixture Code], 0))</f>
        <v>#N/A</v>
      </c>
      <c r="AH89" s="85" t="e">
        <f>INDEX(Table_TRM_Fixtures[Fixture Watts  (TRM Data)], MATCH(Table_Custom_Input[[#This Row],[Proposed fixture code]], Table_TRM_Fixtures[Fixture Code], 0))</f>
        <v>#N/A</v>
      </c>
      <c r="AI89"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89"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89" s="85" t="e">
        <f>INDEX(Table_TRM_Fixtures[Fixture Wattage for Baseline Calculations], MATCH(Table_Custom_Input[[#This Row],[Existing fixture code]], Table_TRM_Fixtures[Fixture Code], 0))/Table_Custom_Input[[#This Row],[Existing lamps per fixture]]</f>
        <v>#N/A</v>
      </c>
      <c r="AL89" s="85" t="str">
        <f>IF(Table_Custom_Input[[#This Row],[Proposed lamp wattage]]="","",Table_Custom_Input[[#This Row],[Proposed lamp wattage]])</f>
        <v/>
      </c>
      <c r="AM89"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89"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90" spans="2:40" s="18" customFormat="1" ht="15" x14ac:dyDescent="0.2">
      <c r="B90" s="61">
        <v>86</v>
      </c>
      <c r="C90" s="61" t="str">
        <f>IFERROR(INDEX(Table_Custom_Measure_No[Custom Measure No], MATCH(Table_Custom_Input[[#This Row],[Existing lighting type]], Table_Custom_Measure_No[List_Light_Type], 0)), "")</f>
        <v/>
      </c>
      <c r="D90" s="192"/>
      <c r="E90" s="179"/>
      <c r="F90" s="58"/>
      <c r="G90" s="58"/>
      <c r="H90" s="68" t="str">
        <f>IFERROR(INDEX(Table_Bldg_Type[AOH], MATCH(Table_Custom_Input[[#This Row],[Building/space type]], Table_Bldg_Type[List_Bldg_Types], 0)), "")</f>
        <v/>
      </c>
      <c r="I90" s="65"/>
      <c r="J90" s="58"/>
      <c r="K90" s="58"/>
      <c r="L90" s="58"/>
      <c r="M90" s="58"/>
      <c r="N90" s="58"/>
      <c r="O90" s="58"/>
      <c r="P90" s="58"/>
      <c r="Q90" s="58"/>
      <c r="R90" s="58"/>
      <c r="S90" s="58"/>
      <c r="T90" s="58"/>
      <c r="U90" s="58"/>
      <c r="V90" s="58"/>
      <c r="W90" s="66"/>
      <c r="X90" s="66"/>
      <c r="Y90" s="67" t="str">
        <f>IFERROR(Table_Custom_Input[[#This Row],[Energy savings (kWh)]]*Value_Custom_IncentRate, "")</f>
        <v/>
      </c>
      <c r="Z90" s="69" t="str">
        <f>IF(Table_Custom_Input[[#This Row],[Replacing lamp or fixture?]]="Fixture", Table_Custom_Input[[#This Row],[Fixture Replacement: Energy Savings]], IF(Table_Custom_Input[[#This Row],[Replacing lamp or fixture?]]="Lamp", Table_Custom_Input[[#This Row],[Lamp Replacement: Energy Savings]], ""))</f>
        <v/>
      </c>
      <c r="AA90" s="73" t="str">
        <f>IF(Table_Custom_Input[[#This Row],[Replacing lamp or fixture?]]="Fixture", Table_Custom_Input[[#This Row],[Fixture Replacement: Demand Savings]], IF(Table_Custom_Input[[#This Row],[Replacing lamp or fixture?]]="Lamp", Table_Custom_Input[[#This Row],[Lamp Replacement: Demand Savings]], ""))</f>
        <v/>
      </c>
      <c r="AB90" s="67" t="str">
        <f>IFERROR(Table_Custom_Input[[#This Row],[Energy savings (kWh)]]*Input_AvgkWhRate, "")</f>
        <v/>
      </c>
      <c r="AC90" s="67" t="str">
        <f>IF(Table_Custom_Input[[#This Row],[Replacing lamp or fixture?]]&lt;&gt;"",Table_Custom_Input[[#This Row],[Material cost per unit]]*Table_Custom_Input[[#This Row],[Number of proposed units]]+Table_Custom_Input[[#This Row],[Total labor cost]],"")</f>
        <v/>
      </c>
      <c r="AD90" s="67" t="str">
        <f>IF(Table_Custom_Input[[#This Row],[Estimated incentive]]="","",Table_Custom_Input[[#This Row],[Gross measure Cost]]-Table_Custom_Input[[#This Row],[Estimated incentive]])</f>
        <v/>
      </c>
      <c r="AE90" s="69" t="str">
        <f>IFERROR(Table_Custom_Input[[#This Row],[Net measure cost]]/Table_Custom_Input[[#This Row],[Cost savings]], "")</f>
        <v/>
      </c>
      <c r="AF90" s="85">
        <f>IF(Table_Custom_Input[[#This Row],[Use custom or default operating hours?]]="Default", Table_Custom_Input[[#This Row],[Default annual operating hours]], IF(Table_Custom_Input[[#This Row],[Use custom or default operating hours?]]="Custom", Table_Custom_Input[[#This Row],[Custom annual operating hours]], 0))</f>
        <v>0</v>
      </c>
      <c r="AG90" s="85" t="e">
        <f>INDEX(Table_TRM_Fixtures[Fixture Wattage for Baseline Calculations], MATCH(Table_Custom_Input[[#This Row],[Existing fixture code]], Table_TRM_Fixtures[Fixture Code], 0))</f>
        <v>#N/A</v>
      </c>
      <c r="AH90" s="85" t="e">
        <f>INDEX(Table_TRM_Fixtures[Fixture Watts  (TRM Data)], MATCH(Table_Custom_Input[[#This Row],[Proposed fixture code]], Table_TRM_Fixtures[Fixture Code], 0))</f>
        <v>#N/A</v>
      </c>
      <c r="AI90"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90"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90" s="85" t="e">
        <f>INDEX(Table_TRM_Fixtures[Fixture Wattage for Baseline Calculations], MATCH(Table_Custom_Input[[#This Row],[Existing fixture code]], Table_TRM_Fixtures[Fixture Code], 0))/Table_Custom_Input[[#This Row],[Existing lamps per fixture]]</f>
        <v>#N/A</v>
      </c>
      <c r="AL90" s="85" t="str">
        <f>IF(Table_Custom_Input[[#This Row],[Proposed lamp wattage]]="","",Table_Custom_Input[[#This Row],[Proposed lamp wattage]])</f>
        <v/>
      </c>
      <c r="AM90"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90"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91" spans="2:40" s="18" customFormat="1" ht="15" x14ac:dyDescent="0.2">
      <c r="B91" s="61">
        <v>87</v>
      </c>
      <c r="C91" s="61" t="str">
        <f>IFERROR(INDEX(Table_Custom_Measure_No[Custom Measure No], MATCH(Table_Custom_Input[[#This Row],[Existing lighting type]], Table_Custom_Measure_No[List_Light_Type], 0)), "")</f>
        <v/>
      </c>
      <c r="D91" s="192"/>
      <c r="E91" s="179"/>
      <c r="F91" s="58"/>
      <c r="G91" s="58"/>
      <c r="H91" s="68" t="str">
        <f>IFERROR(INDEX(Table_Bldg_Type[AOH], MATCH(Table_Custom_Input[[#This Row],[Building/space type]], Table_Bldg_Type[List_Bldg_Types], 0)), "")</f>
        <v/>
      </c>
      <c r="I91" s="65"/>
      <c r="J91" s="58"/>
      <c r="K91" s="58"/>
      <c r="L91" s="58"/>
      <c r="M91" s="58"/>
      <c r="N91" s="58"/>
      <c r="O91" s="58"/>
      <c r="P91" s="58"/>
      <c r="Q91" s="58"/>
      <c r="R91" s="58"/>
      <c r="S91" s="58"/>
      <c r="T91" s="58"/>
      <c r="U91" s="58"/>
      <c r="V91" s="58"/>
      <c r="W91" s="66"/>
      <c r="X91" s="66"/>
      <c r="Y91" s="67" t="str">
        <f>IFERROR(Table_Custom_Input[[#This Row],[Energy savings (kWh)]]*Value_Custom_IncentRate, "")</f>
        <v/>
      </c>
      <c r="Z91" s="69" t="str">
        <f>IF(Table_Custom_Input[[#This Row],[Replacing lamp or fixture?]]="Fixture", Table_Custom_Input[[#This Row],[Fixture Replacement: Energy Savings]], IF(Table_Custom_Input[[#This Row],[Replacing lamp or fixture?]]="Lamp", Table_Custom_Input[[#This Row],[Lamp Replacement: Energy Savings]], ""))</f>
        <v/>
      </c>
      <c r="AA91" s="73" t="str">
        <f>IF(Table_Custom_Input[[#This Row],[Replacing lamp or fixture?]]="Fixture", Table_Custom_Input[[#This Row],[Fixture Replacement: Demand Savings]], IF(Table_Custom_Input[[#This Row],[Replacing lamp or fixture?]]="Lamp", Table_Custom_Input[[#This Row],[Lamp Replacement: Demand Savings]], ""))</f>
        <v/>
      </c>
      <c r="AB91" s="67" t="str">
        <f>IFERROR(Table_Custom_Input[[#This Row],[Energy savings (kWh)]]*Input_AvgkWhRate, "")</f>
        <v/>
      </c>
      <c r="AC91" s="67" t="str">
        <f>IF(Table_Custom_Input[[#This Row],[Replacing lamp or fixture?]]&lt;&gt;"",Table_Custom_Input[[#This Row],[Material cost per unit]]*Table_Custom_Input[[#This Row],[Number of proposed units]]+Table_Custom_Input[[#This Row],[Total labor cost]],"")</f>
        <v/>
      </c>
      <c r="AD91" s="67" t="str">
        <f>IF(Table_Custom_Input[[#This Row],[Estimated incentive]]="","",Table_Custom_Input[[#This Row],[Gross measure Cost]]-Table_Custom_Input[[#This Row],[Estimated incentive]])</f>
        <v/>
      </c>
      <c r="AE91" s="69" t="str">
        <f>IFERROR(Table_Custom_Input[[#This Row],[Net measure cost]]/Table_Custom_Input[[#This Row],[Cost savings]], "")</f>
        <v/>
      </c>
      <c r="AF91" s="85">
        <f>IF(Table_Custom_Input[[#This Row],[Use custom or default operating hours?]]="Default", Table_Custom_Input[[#This Row],[Default annual operating hours]], IF(Table_Custom_Input[[#This Row],[Use custom or default operating hours?]]="Custom", Table_Custom_Input[[#This Row],[Custom annual operating hours]], 0))</f>
        <v>0</v>
      </c>
      <c r="AG91" s="85" t="e">
        <f>INDEX(Table_TRM_Fixtures[Fixture Wattage for Baseline Calculations], MATCH(Table_Custom_Input[[#This Row],[Existing fixture code]], Table_TRM_Fixtures[Fixture Code], 0))</f>
        <v>#N/A</v>
      </c>
      <c r="AH91" s="85" t="e">
        <f>INDEX(Table_TRM_Fixtures[Fixture Watts  (TRM Data)], MATCH(Table_Custom_Input[[#This Row],[Proposed fixture code]], Table_TRM_Fixtures[Fixture Code], 0))</f>
        <v>#N/A</v>
      </c>
      <c r="AI91"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91"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91" s="85" t="e">
        <f>INDEX(Table_TRM_Fixtures[Fixture Wattage for Baseline Calculations], MATCH(Table_Custom_Input[[#This Row],[Existing fixture code]], Table_TRM_Fixtures[Fixture Code], 0))/Table_Custom_Input[[#This Row],[Existing lamps per fixture]]</f>
        <v>#N/A</v>
      </c>
      <c r="AL91" s="85" t="str">
        <f>IF(Table_Custom_Input[[#This Row],[Proposed lamp wattage]]="","",Table_Custom_Input[[#This Row],[Proposed lamp wattage]])</f>
        <v/>
      </c>
      <c r="AM91"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91"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92" spans="2:40" s="18" customFormat="1" ht="15" x14ac:dyDescent="0.2">
      <c r="B92" s="61">
        <v>88</v>
      </c>
      <c r="C92" s="61" t="str">
        <f>IFERROR(INDEX(Table_Custom_Measure_No[Custom Measure No], MATCH(Table_Custom_Input[[#This Row],[Existing lighting type]], Table_Custom_Measure_No[List_Light_Type], 0)), "")</f>
        <v/>
      </c>
      <c r="D92" s="192"/>
      <c r="E92" s="179"/>
      <c r="F92" s="58"/>
      <c r="G92" s="58"/>
      <c r="H92" s="68" t="str">
        <f>IFERROR(INDEX(Table_Bldg_Type[AOH], MATCH(Table_Custom_Input[[#This Row],[Building/space type]], Table_Bldg_Type[List_Bldg_Types], 0)), "")</f>
        <v/>
      </c>
      <c r="I92" s="65"/>
      <c r="J92" s="58"/>
      <c r="K92" s="58"/>
      <c r="L92" s="58"/>
      <c r="M92" s="58"/>
      <c r="N92" s="58"/>
      <c r="O92" s="58"/>
      <c r="P92" s="58"/>
      <c r="Q92" s="58"/>
      <c r="R92" s="58"/>
      <c r="S92" s="58"/>
      <c r="T92" s="58"/>
      <c r="U92" s="58"/>
      <c r="V92" s="58"/>
      <c r="W92" s="66"/>
      <c r="X92" s="66"/>
      <c r="Y92" s="67" t="str">
        <f>IFERROR(Table_Custom_Input[[#This Row],[Energy savings (kWh)]]*Value_Custom_IncentRate, "")</f>
        <v/>
      </c>
      <c r="Z92" s="69" t="str">
        <f>IF(Table_Custom_Input[[#This Row],[Replacing lamp or fixture?]]="Fixture", Table_Custom_Input[[#This Row],[Fixture Replacement: Energy Savings]], IF(Table_Custom_Input[[#This Row],[Replacing lamp or fixture?]]="Lamp", Table_Custom_Input[[#This Row],[Lamp Replacement: Energy Savings]], ""))</f>
        <v/>
      </c>
      <c r="AA92" s="73" t="str">
        <f>IF(Table_Custom_Input[[#This Row],[Replacing lamp or fixture?]]="Fixture", Table_Custom_Input[[#This Row],[Fixture Replacement: Demand Savings]], IF(Table_Custom_Input[[#This Row],[Replacing lamp or fixture?]]="Lamp", Table_Custom_Input[[#This Row],[Lamp Replacement: Demand Savings]], ""))</f>
        <v/>
      </c>
      <c r="AB92" s="67" t="str">
        <f>IFERROR(Table_Custom_Input[[#This Row],[Energy savings (kWh)]]*Input_AvgkWhRate, "")</f>
        <v/>
      </c>
      <c r="AC92" s="67" t="str">
        <f>IF(Table_Custom_Input[[#This Row],[Replacing lamp or fixture?]]&lt;&gt;"",Table_Custom_Input[[#This Row],[Material cost per unit]]*Table_Custom_Input[[#This Row],[Number of proposed units]]+Table_Custom_Input[[#This Row],[Total labor cost]],"")</f>
        <v/>
      </c>
      <c r="AD92" s="67" t="str">
        <f>IF(Table_Custom_Input[[#This Row],[Estimated incentive]]="","",Table_Custom_Input[[#This Row],[Gross measure Cost]]-Table_Custom_Input[[#This Row],[Estimated incentive]])</f>
        <v/>
      </c>
      <c r="AE92" s="69" t="str">
        <f>IFERROR(Table_Custom_Input[[#This Row],[Net measure cost]]/Table_Custom_Input[[#This Row],[Cost savings]], "")</f>
        <v/>
      </c>
      <c r="AF92" s="85">
        <f>IF(Table_Custom_Input[[#This Row],[Use custom or default operating hours?]]="Default", Table_Custom_Input[[#This Row],[Default annual operating hours]], IF(Table_Custom_Input[[#This Row],[Use custom or default operating hours?]]="Custom", Table_Custom_Input[[#This Row],[Custom annual operating hours]], 0))</f>
        <v>0</v>
      </c>
      <c r="AG92" s="85" t="e">
        <f>INDEX(Table_TRM_Fixtures[Fixture Wattage for Baseline Calculations], MATCH(Table_Custom_Input[[#This Row],[Existing fixture code]], Table_TRM_Fixtures[Fixture Code], 0))</f>
        <v>#N/A</v>
      </c>
      <c r="AH92" s="85" t="e">
        <f>INDEX(Table_TRM_Fixtures[Fixture Watts  (TRM Data)], MATCH(Table_Custom_Input[[#This Row],[Proposed fixture code]], Table_TRM_Fixtures[Fixture Code], 0))</f>
        <v>#N/A</v>
      </c>
      <c r="AI92"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92"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92" s="85" t="e">
        <f>INDEX(Table_TRM_Fixtures[Fixture Wattage for Baseline Calculations], MATCH(Table_Custom_Input[[#This Row],[Existing fixture code]], Table_TRM_Fixtures[Fixture Code], 0))/Table_Custom_Input[[#This Row],[Existing lamps per fixture]]</f>
        <v>#N/A</v>
      </c>
      <c r="AL92" s="85" t="str">
        <f>IF(Table_Custom_Input[[#This Row],[Proposed lamp wattage]]="","",Table_Custom_Input[[#This Row],[Proposed lamp wattage]])</f>
        <v/>
      </c>
      <c r="AM92"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92"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93" spans="2:40" s="18" customFormat="1" ht="15" x14ac:dyDescent="0.2">
      <c r="B93" s="61">
        <v>89</v>
      </c>
      <c r="C93" s="61" t="str">
        <f>IFERROR(INDEX(Table_Custom_Measure_No[Custom Measure No], MATCH(Table_Custom_Input[[#This Row],[Existing lighting type]], Table_Custom_Measure_No[List_Light_Type], 0)), "")</f>
        <v/>
      </c>
      <c r="D93" s="192"/>
      <c r="E93" s="179"/>
      <c r="F93" s="58"/>
      <c r="G93" s="58"/>
      <c r="H93" s="68" t="str">
        <f>IFERROR(INDEX(Table_Bldg_Type[AOH], MATCH(Table_Custom_Input[[#This Row],[Building/space type]], Table_Bldg_Type[List_Bldg_Types], 0)), "")</f>
        <v/>
      </c>
      <c r="I93" s="65"/>
      <c r="J93" s="58"/>
      <c r="K93" s="58"/>
      <c r="L93" s="58"/>
      <c r="M93" s="58"/>
      <c r="N93" s="58"/>
      <c r="O93" s="58"/>
      <c r="P93" s="58"/>
      <c r="Q93" s="58"/>
      <c r="R93" s="58"/>
      <c r="S93" s="58"/>
      <c r="T93" s="58"/>
      <c r="U93" s="58"/>
      <c r="V93" s="58"/>
      <c r="W93" s="66"/>
      <c r="X93" s="66"/>
      <c r="Y93" s="67" t="str">
        <f>IFERROR(Table_Custom_Input[[#This Row],[Energy savings (kWh)]]*Value_Custom_IncentRate, "")</f>
        <v/>
      </c>
      <c r="Z93" s="69" t="str">
        <f>IF(Table_Custom_Input[[#This Row],[Replacing lamp or fixture?]]="Fixture", Table_Custom_Input[[#This Row],[Fixture Replacement: Energy Savings]], IF(Table_Custom_Input[[#This Row],[Replacing lamp or fixture?]]="Lamp", Table_Custom_Input[[#This Row],[Lamp Replacement: Energy Savings]], ""))</f>
        <v/>
      </c>
      <c r="AA93" s="73" t="str">
        <f>IF(Table_Custom_Input[[#This Row],[Replacing lamp or fixture?]]="Fixture", Table_Custom_Input[[#This Row],[Fixture Replacement: Demand Savings]], IF(Table_Custom_Input[[#This Row],[Replacing lamp or fixture?]]="Lamp", Table_Custom_Input[[#This Row],[Lamp Replacement: Demand Savings]], ""))</f>
        <v/>
      </c>
      <c r="AB93" s="67" t="str">
        <f>IFERROR(Table_Custom_Input[[#This Row],[Energy savings (kWh)]]*Input_AvgkWhRate, "")</f>
        <v/>
      </c>
      <c r="AC93" s="67" t="str">
        <f>IF(Table_Custom_Input[[#This Row],[Replacing lamp or fixture?]]&lt;&gt;"",Table_Custom_Input[[#This Row],[Material cost per unit]]*Table_Custom_Input[[#This Row],[Number of proposed units]]+Table_Custom_Input[[#This Row],[Total labor cost]],"")</f>
        <v/>
      </c>
      <c r="AD93" s="67" t="str">
        <f>IF(Table_Custom_Input[[#This Row],[Estimated incentive]]="","",Table_Custom_Input[[#This Row],[Gross measure Cost]]-Table_Custom_Input[[#This Row],[Estimated incentive]])</f>
        <v/>
      </c>
      <c r="AE93" s="69" t="str">
        <f>IFERROR(Table_Custom_Input[[#This Row],[Net measure cost]]/Table_Custom_Input[[#This Row],[Cost savings]], "")</f>
        <v/>
      </c>
      <c r="AF93" s="85">
        <f>IF(Table_Custom_Input[[#This Row],[Use custom or default operating hours?]]="Default", Table_Custom_Input[[#This Row],[Default annual operating hours]], IF(Table_Custom_Input[[#This Row],[Use custom or default operating hours?]]="Custom", Table_Custom_Input[[#This Row],[Custom annual operating hours]], 0))</f>
        <v>0</v>
      </c>
      <c r="AG93" s="85" t="e">
        <f>INDEX(Table_TRM_Fixtures[Fixture Wattage for Baseline Calculations], MATCH(Table_Custom_Input[[#This Row],[Existing fixture code]], Table_TRM_Fixtures[Fixture Code], 0))</f>
        <v>#N/A</v>
      </c>
      <c r="AH93" s="85" t="e">
        <f>INDEX(Table_TRM_Fixtures[Fixture Watts  (TRM Data)], MATCH(Table_Custom_Input[[#This Row],[Proposed fixture code]], Table_TRM_Fixtures[Fixture Code], 0))</f>
        <v>#N/A</v>
      </c>
      <c r="AI93"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93"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93" s="85" t="e">
        <f>INDEX(Table_TRM_Fixtures[Fixture Wattage for Baseline Calculations], MATCH(Table_Custom_Input[[#This Row],[Existing fixture code]], Table_TRM_Fixtures[Fixture Code], 0))/Table_Custom_Input[[#This Row],[Existing lamps per fixture]]</f>
        <v>#N/A</v>
      </c>
      <c r="AL93" s="85" t="str">
        <f>IF(Table_Custom_Input[[#This Row],[Proposed lamp wattage]]="","",Table_Custom_Input[[#This Row],[Proposed lamp wattage]])</f>
        <v/>
      </c>
      <c r="AM93"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93"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94" spans="2:40" s="18" customFormat="1" ht="15" x14ac:dyDescent="0.2">
      <c r="B94" s="61">
        <v>90</v>
      </c>
      <c r="C94" s="61" t="str">
        <f>IFERROR(INDEX(Table_Custom_Measure_No[Custom Measure No], MATCH(Table_Custom_Input[[#This Row],[Existing lighting type]], Table_Custom_Measure_No[List_Light_Type], 0)), "")</f>
        <v/>
      </c>
      <c r="D94" s="192"/>
      <c r="E94" s="179"/>
      <c r="F94" s="58"/>
      <c r="G94" s="58"/>
      <c r="H94" s="68" t="str">
        <f>IFERROR(INDEX(Table_Bldg_Type[AOH], MATCH(Table_Custom_Input[[#This Row],[Building/space type]], Table_Bldg_Type[List_Bldg_Types], 0)), "")</f>
        <v/>
      </c>
      <c r="I94" s="65"/>
      <c r="J94" s="58"/>
      <c r="K94" s="58"/>
      <c r="L94" s="58"/>
      <c r="M94" s="58"/>
      <c r="N94" s="58"/>
      <c r="O94" s="58"/>
      <c r="P94" s="58"/>
      <c r="Q94" s="58"/>
      <c r="R94" s="58"/>
      <c r="S94" s="58"/>
      <c r="T94" s="58"/>
      <c r="U94" s="58"/>
      <c r="V94" s="58"/>
      <c r="W94" s="66"/>
      <c r="X94" s="66"/>
      <c r="Y94" s="67" t="str">
        <f>IFERROR(Table_Custom_Input[[#This Row],[Energy savings (kWh)]]*Value_Custom_IncentRate, "")</f>
        <v/>
      </c>
      <c r="Z94" s="69" t="str">
        <f>IF(Table_Custom_Input[[#This Row],[Replacing lamp or fixture?]]="Fixture", Table_Custom_Input[[#This Row],[Fixture Replacement: Energy Savings]], IF(Table_Custom_Input[[#This Row],[Replacing lamp or fixture?]]="Lamp", Table_Custom_Input[[#This Row],[Lamp Replacement: Energy Savings]], ""))</f>
        <v/>
      </c>
      <c r="AA94" s="73" t="str">
        <f>IF(Table_Custom_Input[[#This Row],[Replacing lamp or fixture?]]="Fixture", Table_Custom_Input[[#This Row],[Fixture Replacement: Demand Savings]], IF(Table_Custom_Input[[#This Row],[Replacing lamp or fixture?]]="Lamp", Table_Custom_Input[[#This Row],[Lamp Replacement: Demand Savings]], ""))</f>
        <v/>
      </c>
      <c r="AB94" s="67" t="str">
        <f>IFERROR(Table_Custom_Input[[#This Row],[Energy savings (kWh)]]*Input_AvgkWhRate, "")</f>
        <v/>
      </c>
      <c r="AC94" s="67" t="str">
        <f>IF(Table_Custom_Input[[#This Row],[Replacing lamp or fixture?]]&lt;&gt;"",Table_Custom_Input[[#This Row],[Material cost per unit]]*Table_Custom_Input[[#This Row],[Number of proposed units]]+Table_Custom_Input[[#This Row],[Total labor cost]],"")</f>
        <v/>
      </c>
      <c r="AD94" s="67" t="str">
        <f>IF(Table_Custom_Input[[#This Row],[Estimated incentive]]="","",Table_Custom_Input[[#This Row],[Gross measure Cost]]-Table_Custom_Input[[#This Row],[Estimated incentive]])</f>
        <v/>
      </c>
      <c r="AE94" s="69" t="str">
        <f>IFERROR(Table_Custom_Input[[#This Row],[Net measure cost]]/Table_Custom_Input[[#This Row],[Cost savings]], "")</f>
        <v/>
      </c>
      <c r="AF94" s="85">
        <f>IF(Table_Custom_Input[[#This Row],[Use custom or default operating hours?]]="Default", Table_Custom_Input[[#This Row],[Default annual operating hours]], IF(Table_Custom_Input[[#This Row],[Use custom or default operating hours?]]="Custom", Table_Custom_Input[[#This Row],[Custom annual operating hours]], 0))</f>
        <v>0</v>
      </c>
      <c r="AG94" s="85" t="e">
        <f>INDEX(Table_TRM_Fixtures[Fixture Wattage for Baseline Calculations], MATCH(Table_Custom_Input[[#This Row],[Existing fixture code]], Table_TRM_Fixtures[Fixture Code], 0))</f>
        <v>#N/A</v>
      </c>
      <c r="AH94" s="85" t="e">
        <f>INDEX(Table_TRM_Fixtures[Fixture Watts  (TRM Data)], MATCH(Table_Custom_Input[[#This Row],[Proposed fixture code]], Table_TRM_Fixtures[Fixture Code], 0))</f>
        <v>#N/A</v>
      </c>
      <c r="AI94"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94"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94" s="85" t="e">
        <f>INDEX(Table_TRM_Fixtures[Fixture Wattage for Baseline Calculations], MATCH(Table_Custom_Input[[#This Row],[Existing fixture code]], Table_TRM_Fixtures[Fixture Code], 0))/Table_Custom_Input[[#This Row],[Existing lamps per fixture]]</f>
        <v>#N/A</v>
      </c>
      <c r="AL94" s="85" t="str">
        <f>IF(Table_Custom_Input[[#This Row],[Proposed lamp wattage]]="","",Table_Custom_Input[[#This Row],[Proposed lamp wattage]])</f>
        <v/>
      </c>
      <c r="AM94"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94"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95" spans="2:40" s="18" customFormat="1" ht="15" x14ac:dyDescent="0.2">
      <c r="B95" s="61">
        <v>91</v>
      </c>
      <c r="C95" s="61" t="str">
        <f>IFERROR(INDEX(Table_Custom_Measure_No[Custom Measure No], MATCH(Table_Custom_Input[[#This Row],[Existing lighting type]], Table_Custom_Measure_No[List_Light_Type], 0)), "")</f>
        <v/>
      </c>
      <c r="D95" s="192"/>
      <c r="E95" s="179"/>
      <c r="F95" s="58"/>
      <c r="G95" s="58"/>
      <c r="H95" s="68" t="str">
        <f>IFERROR(INDEX(Table_Bldg_Type[AOH], MATCH(Table_Custom_Input[[#This Row],[Building/space type]], Table_Bldg_Type[List_Bldg_Types], 0)), "")</f>
        <v/>
      </c>
      <c r="I95" s="65"/>
      <c r="J95" s="58"/>
      <c r="K95" s="58"/>
      <c r="L95" s="58"/>
      <c r="M95" s="58"/>
      <c r="N95" s="58"/>
      <c r="O95" s="58"/>
      <c r="P95" s="58"/>
      <c r="Q95" s="58"/>
      <c r="R95" s="58"/>
      <c r="S95" s="58"/>
      <c r="T95" s="58"/>
      <c r="U95" s="58"/>
      <c r="V95" s="58"/>
      <c r="W95" s="66"/>
      <c r="X95" s="66"/>
      <c r="Y95" s="67" t="str">
        <f>IFERROR(Table_Custom_Input[[#This Row],[Energy savings (kWh)]]*Value_Custom_IncentRate, "")</f>
        <v/>
      </c>
      <c r="Z95" s="69" t="str">
        <f>IF(Table_Custom_Input[[#This Row],[Replacing lamp or fixture?]]="Fixture", Table_Custom_Input[[#This Row],[Fixture Replacement: Energy Savings]], IF(Table_Custom_Input[[#This Row],[Replacing lamp or fixture?]]="Lamp", Table_Custom_Input[[#This Row],[Lamp Replacement: Energy Savings]], ""))</f>
        <v/>
      </c>
      <c r="AA95" s="73" t="str">
        <f>IF(Table_Custom_Input[[#This Row],[Replacing lamp or fixture?]]="Fixture", Table_Custom_Input[[#This Row],[Fixture Replacement: Demand Savings]], IF(Table_Custom_Input[[#This Row],[Replacing lamp or fixture?]]="Lamp", Table_Custom_Input[[#This Row],[Lamp Replacement: Demand Savings]], ""))</f>
        <v/>
      </c>
      <c r="AB95" s="67" t="str">
        <f>IFERROR(Table_Custom_Input[[#This Row],[Energy savings (kWh)]]*Input_AvgkWhRate, "")</f>
        <v/>
      </c>
      <c r="AC95" s="67" t="str">
        <f>IF(Table_Custom_Input[[#This Row],[Replacing lamp or fixture?]]&lt;&gt;"",Table_Custom_Input[[#This Row],[Material cost per unit]]*Table_Custom_Input[[#This Row],[Number of proposed units]]+Table_Custom_Input[[#This Row],[Total labor cost]],"")</f>
        <v/>
      </c>
      <c r="AD95" s="67" t="str">
        <f>IF(Table_Custom_Input[[#This Row],[Estimated incentive]]="","",Table_Custom_Input[[#This Row],[Gross measure Cost]]-Table_Custom_Input[[#This Row],[Estimated incentive]])</f>
        <v/>
      </c>
      <c r="AE95" s="69" t="str">
        <f>IFERROR(Table_Custom_Input[[#This Row],[Net measure cost]]/Table_Custom_Input[[#This Row],[Cost savings]], "")</f>
        <v/>
      </c>
      <c r="AF95" s="85">
        <f>IF(Table_Custom_Input[[#This Row],[Use custom or default operating hours?]]="Default", Table_Custom_Input[[#This Row],[Default annual operating hours]], IF(Table_Custom_Input[[#This Row],[Use custom or default operating hours?]]="Custom", Table_Custom_Input[[#This Row],[Custom annual operating hours]], 0))</f>
        <v>0</v>
      </c>
      <c r="AG95" s="85" t="e">
        <f>INDEX(Table_TRM_Fixtures[Fixture Wattage for Baseline Calculations], MATCH(Table_Custom_Input[[#This Row],[Existing fixture code]], Table_TRM_Fixtures[Fixture Code], 0))</f>
        <v>#N/A</v>
      </c>
      <c r="AH95" s="85" t="e">
        <f>INDEX(Table_TRM_Fixtures[Fixture Watts  (TRM Data)], MATCH(Table_Custom_Input[[#This Row],[Proposed fixture code]], Table_TRM_Fixtures[Fixture Code], 0))</f>
        <v>#N/A</v>
      </c>
      <c r="AI95"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95"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95" s="85" t="e">
        <f>INDEX(Table_TRM_Fixtures[Fixture Wattage for Baseline Calculations], MATCH(Table_Custom_Input[[#This Row],[Existing fixture code]], Table_TRM_Fixtures[Fixture Code], 0))/Table_Custom_Input[[#This Row],[Existing lamps per fixture]]</f>
        <v>#N/A</v>
      </c>
      <c r="AL95" s="85" t="str">
        <f>IF(Table_Custom_Input[[#This Row],[Proposed lamp wattage]]="","",Table_Custom_Input[[#This Row],[Proposed lamp wattage]])</f>
        <v/>
      </c>
      <c r="AM95"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95"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96" spans="2:40" s="18" customFormat="1" ht="15" x14ac:dyDescent="0.2">
      <c r="B96" s="61">
        <v>92</v>
      </c>
      <c r="C96" s="61" t="str">
        <f>IFERROR(INDEX(Table_Custom_Measure_No[Custom Measure No], MATCH(Table_Custom_Input[[#This Row],[Existing lighting type]], Table_Custom_Measure_No[List_Light_Type], 0)), "")</f>
        <v/>
      </c>
      <c r="D96" s="192"/>
      <c r="E96" s="179"/>
      <c r="F96" s="58"/>
      <c r="G96" s="58"/>
      <c r="H96" s="68" t="str">
        <f>IFERROR(INDEX(Table_Bldg_Type[AOH], MATCH(Table_Custom_Input[[#This Row],[Building/space type]], Table_Bldg_Type[List_Bldg_Types], 0)), "")</f>
        <v/>
      </c>
      <c r="I96" s="65"/>
      <c r="J96" s="58"/>
      <c r="K96" s="58"/>
      <c r="L96" s="58"/>
      <c r="M96" s="58"/>
      <c r="N96" s="58"/>
      <c r="O96" s="58"/>
      <c r="P96" s="58"/>
      <c r="Q96" s="58"/>
      <c r="R96" s="58"/>
      <c r="S96" s="58"/>
      <c r="T96" s="58"/>
      <c r="U96" s="58"/>
      <c r="V96" s="58"/>
      <c r="W96" s="66"/>
      <c r="X96" s="66"/>
      <c r="Y96" s="67" t="str">
        <f>IFERROR(Table_Custom_Input[[#This Row],[Energy savings (kWh)]]*Value_Custom_IncentRate, "")</f>
        <v/>
      </c>
      <c r="Z96" s="69" t="str">
        <f>IF(Table_Custom_Input[[#This Row],[Replacing lamp or fixture?]]="Fixture", Table_Custom_Input[[#This Row],[Fixture Replacement: Energy Savings]], IF(Table_Custom_Input[[#This Row],[Replacing lamp or fixture?]]="Lamp", Table_Custom_Input[[#This Row],[Lamp Replacement: Energy Savings]], ""))</f>
        <v/>
      </c>
      <c r="AA96" s="73" t="str">
        <f>IF(Table_Custom_Input[[#This Row],[Replacing lamp or fixture?]]="Fixture", Table_Custom_Input[[#This Row],[Fixture Replacement: Demand Savings]], IF(Table_Custom_Input[[#This Row],[Replacing lamp or fixture?]]="Lamp", Table_Custom_Input[[#This Row],[Lamp Replacement: Demand Savings]], ""))</f>
        <v/>
      </c>
      <c r="AB96" s="67" t="str">
        <f>IFERROR(Table_Custom_Input[[#This Row],[Energy savings (kWh)]]*Input_AvgkWhRate, "")</f>
        <v/>
      </c>
      <c r="AC96" s="67" t="str">
        <f>IF(Table_Custom_Input[[#This Row],[Replacing lamp or fixture?]]&lt;&gt;"",Table_Custom_Input[[#This Row],[Material cost per unit]]*Table_Custom_Input[[#This Row],[Number of proposed units]]+Table_Custom_Input[[#This Row],[Total labor cost]],"")</f>
        <v/>
      </c>
      <c r="AD96" s="67" t="str">
        <f>IF(Table_Custom_Input[[#This Row],[Estimated incentive]]="","",Table_Custom_Input[[#This Row],[Gross measure Cost]]-Table_Custom_Input[[#This Row],[Estimated incentive]])</f>
        <v/>
      </c>
      <c r="AE96" s="69" t="str">
        <f>IFERROR(Table_Custom_Input[[#This Row],[Net measure cost]]/Table_Custom_Input[[#This Row],[Cost savings]], "")</f>
        <v/>
      </c>
      <c r="AF96" s="85">
        <f>IF(Table_Custom_Input[[#This Row],[Use custom or default operating hours?]]="Default", Table_Custom_Input[[#This Row],[Default annual operating hours]], IF(Table_Custom_Input[[#This Row],[Use custom or default operating hours?]]="Custom", Table_Custom_Input[[#This Row],[Custom annual operating hours]], 0))</f>
        <v>0</v>
      </c>
      <c r="AG96" s="85" t="e">
        <f>INDEX(Table_TRM_Fixtures[Fixture Wattage for Baseline Calculations], MATCH(Table_Custom_Input[[#This Row],[Existing fixture code]], Table_TRM_Fixtures[Fixture Code], 0))</f>
        <v>#N/A</v>
      </c>
      <c r="AH96" s="85" t="e">
        <f>INDEX(Table_TRM_Fixtures[Fixture Watts  (TRM Data)], MATCH(Table_Custom_Input[[#This Row],[Proposed fixture code]], Table_TRM_Fixtures[Fixture Code], 0))</f>
        <v>#N/A</v>
      </c>
      <c r="AI96"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96"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96" s="85" t="e">
        <f>INDEX(Table_TRM_Fixtures[Fixture Wattage for Baseline Calculations], MATCH(Table_Custom_Input[[#This Row],[Existing fixture code]], Table_TRM_Fixtures[Fixture Code], 0))/Table_Custom_Input[[#This Row],[Existing lamps per fixture]]</f>
        <v>#N/A</v>
      </c>
      <c r="AL96" s="85" t="str">
        <f>IF(Table_Custom_Input[[#This Row],[Proposed lamp wattage]]="","",Table_Custom_Input[[#This Row],[Proposed lamp wattage]])</f>
        <v/>
      </c>
      <c r="AM96"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96"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97" spans="2:40" s="18" customFormat="1" ht="15" x14ac:dyDescent="0.2">
      <c r="B97" s="61">
        <v>93</v>
      </c>
      <c r="C97" s="61" t="str">
        <f>IFERROR(INDEX(Table_Custom_Measure_No[Custom Measure No], MATCH(Table_Custom_Input[[#This Row],[Existing lighting type]], Table_Custom_Measure_No[List_Light_Type], 0)), "")</f>
        <v/>
      </c>
      <c r="D97" s="192"/>
      <c r="E97" s="179"/>
      <c r="F97" s="58"/>
      <c r="G97" s="58"/>
      <c r="H97" s="68" t="str">
        <f>IFERROR(INDEX(Table_Bldg_Type[AOH], MATCH(Table_Custom_Input[[#This Row],[Building/space type]], Table_Bldg_Type[List_Bldg_Types], 0)), "")</f>
        <v/>
      </c>
      <c r="I97" s="65"/>
      <c r="J97" s="58"/>
      <c r="K97" s="58"/>
      <c r="L97" s="58"/>
      <c r="M97" s="58"/>
      <c r="N97" s="58"/>
      <c r="O97" s="58"/>
      <c r="P97" s="58"/>
      <c r="Q97" s="58"/>
      <c r="R97" s="58"/>
      <c r="S97" s="58"/>
      <c r="T97" s="58"/>
      <c r="U97" s="58"/>
      <c r="V97" s="58"/>
      <c r="W97" s="66"/>
      <c r="X97" s="66"/>
      <c r="Y97" s="67" t="str">
        <f>IFERROR(Table_Custom_Input[[#This Row],[Energy savings (kWh)]]*Value_Custom_IncentRate, "")</f>
        <v/>
      </c>
      <c r="Z97" s="69" t="str">
        <f>IF(Table_Custom_Input[[#This Row],[Replacing lamp or fixture?]]="Fixture", Table_Custom_Input[[#This Row],[Fixture Replacement: Energy Savings]], IF(Table_Custom_Input[[#This Row],[Replacing lamp or fixture?]]="Lamp", Table_Custom_Input[[#This Row],[Lamp Replacement: Energy Savings]], ""))</f>
        <v/>
      </c>
      <c r="AA97" s="73" t="str">
        <f>IF(Table_Custom_Input[[#This Row],[Replacing lamp or fixture?]]="Fixture", Table_Custom_Input[[#This Row],[Fixture Replacement: Demand Savings]], IF(Table_Custom_Input[[#This Row],[Replacing lamp or fixture?]]="Lamp", Table_Custom_Input[[#This Row],[Lamp Replacement: Demand Savings]], ""))</f>
        <v/>
      </c>
      <c r="AB97" s="67" t="str">
        <f>IFERROR(Table_Custom_Input[[#This Row],[Energy savings (kWh)]]*Input_AvgkWhRate, "")</f>
        <v/>
      </c>
      <c r="AC97" s="67" t="str">
        <f>IF(Table_Custom_Input[[#This Row],[Replacing lamp or fixture?]]&lt;&gt;"",Table_Custom_Input[[#This Row],[Material cost per unit]]*Table_Custom_Input[[#This Row],[Number of proposed units]]+Table_Custom_Input[[#This Row],[Total labor cost]],"")</f>
        <v/>
      </c>
      <c r="AD97" s="67" t="str">
        <f>IF(Table_Custom_Input[[#This Row],[Estimated incentive]]="","",Table_Custom_Input[[#This Row],[Gross measure Cost]]-Table_Custom_Input[[#This Row],[Estimated incentive]])</f>
        <v/>
      </c>
      <c r="AE97" s="69" t="str">
        <f>IFERROR(Table_Custom_Input[[#This Row],[Net measure cost]]/Table_Custom_Input[[#This Row],[Cost savings]], "")</f>
        <v/>
      </c>
      <c r="AF97" s="85">
        <f>IF(Table_Custom_Input[[#This Row],[Use custom or default operating hours?]]="Default", Table_Custom_Input[[#This Row],[Default annual operating hours]], IF(Table_Custom_Input[[#This Row],[Use custom or default operating hours?]]="Custom", Table_Custom_Input[[#This Row],[Custom annual operating hours]], 0))</f>
        <v>0</v>
      </c>
      <c r="AG97" s="85" t="e">
        <f>INDEX(Table_TRM_Fixtures[Fixture Wattage for Baseline Calculations], MATCH(Table_Custom_Input[[#This Row],[Existing fixture code]], Table_TRM_Fixtures[Fixture Code], 0))</f>
        <v>#N/A</v>
      </c>
      <c r="AH97" s="85" t="e">
        <f>INDEX(Table_TRM_Fixtures[Fixture Watts  (TRM Data)], MATCH(Table_Custom_Input[[#This Row],[Proposed fixture code]], Table_TRM_Fixtures[Fixture Code], 0))</f>
        <v>#N/A</v>
      </c>
      <c r="AI97"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97"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97" s="85" t="e">
        <f>INDEX(Table_TRM_Fixtures[Fixture Wattage for Baseline Calculations], MATCH(Table_Custom_Input[[#This Row],[Existing fixture code]], Table_TRM_Fixtures[Fixture Code], 0))/Table_Custom_Input[[#This Row],[Existing lamps per fixture]]</f>
        <v>#N/A</v>
      </c>
      <c r="AL97" s="85" t="str">
        <f>IF(Table_Custom_Input[[#This Row],[Proposed lamp wattage]]="","",Table_Custom_Input[[#This Row],[Proposed lamp wattage]])</f>
        <v/>
      </c>
      <c r="AM97"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97"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98" spans="2:40" s="18" customFormat="1" ht="15" x14ac:dyDescent="0.2">
      <c r="B98" s="61">
        <v>94</v>
      </c>
      <c r="C98" s="61" t="str">
        <f>IFERROR(INDEX(Table_Custom_Measure_No[Custom Measure No], MATCH(Table_Custom_Input[[#This Row],[Existing lighting type]], Table_Custom_Measure_No[List_Light_Type], 0)), "")</f>
        <v/>
      </c>
      <c r="D98" s="192"/>
      <c r="E98" s="179"/>
      <c r="F98" s="58"/>
      <c r="G98" s="58"/>
      <c r="H98" s="68" t="str">
        <f>IFERROR(INDEX(Table_Bldg_Type[AOH], MATCH(Table_Custom_Input[[#This Row],[Building/space type]], Table_Bldg_Type[List_Bldg_Types], 0)), "")</f>
        <v/>
      </c>
      <c r="I98" s="65"/>
      <c r="J98" s="58"/>
      <c r="K98" s="58"/>
      <c r="L98" s="58"/>
      <c r="M98" s="58"/>
      <c r="N98" s="58"/>
      <c r="O98" s="58"/>
      <c r="P98" s="58"/>
      <c r="Q98" s="58"/>
      <c r="R98" s="58"/>
      <c r="S98" s="58"/>
      <c r="T98" s="58"/>
      <c r="U98" s="58"/>
      <c r="V98" s="58"/>
      <c r="W98" s="66"/>
      <c r="X98" s="66"/>
      <c r="Y98" s="67" t="str">
        <f>IFERROR(Table_Custom_Input[[#This Row],[Energy savings (kWh)]]*Value_Custom_IncentRate, "")</f>
        <v/>
      </c>
      <c r="Z98" s="69" t="str">
        <f>IF(Table_Custom_Input[[#This Row],[Replacing lamp or fixture?]]="Fixture", Table_Custom_Input[[#This Row],[Fixture Replacement: Energy Savings]], IF(Table_Custom_Input[[#This Row],[Replacing lamp or fixture?]]="Lamp", Table_Custom_Input[[#This Row],[Lamp Replacement: Energy Savings]], ""))</f>
        <v/>
      </c>
      <c r="AA98" s="73" t="str">
        <f>IF(Table_Custom_Input[[#This Row],[Replacing lamp or fixture?]]="Fixture", Table_Custom_Input[[#This Row],[Fixture Replacement: Demand Savings]], IF(Table_Custom_Input[[#This Row],[Replacing lamp or fixture?]]="Lamp", Table_Custom_Input[[#This Row],[Lamp Replacement: Demand Savings]], ""))</f>
        <v/>
      </c>
      <c r="AB98" s="67" t="str">
        <f>IFERROR(Table_Custom_Input[[#This Row],[Energy savings (kWh)]]*Input_AvgkWhRate, "")</f>
        <v/>
      </c>
      <c r="AC98" s="67" t="str">
        <f>IF(Table_Custom_Input[[#This Row],[Replacing lamp or fixture?]]&lt;&gt;"",Table_Custom_Input[[#This Row],[Material cost per unit]]*Table_Custom_Input[[#This Row],[Number of proposed units]]+Table_Custom_Input[[#This Row],[Total labor cost]],"")</f>
        <v/>
      </c>
      <c r="AD98" s="67" t="str">
        <f>IF(Table_Custom_Input[[#This Row],[Estimated incentive]]="","",Table_Custom_Input[[#This Row],[Gross measure Cost]]-Table_Custom_Input[[#This Row],[Estimated incentive]])</f>
        <v/>
      </c>
      <c r="AE98" s="69" t="str">
        <f>IFERROR(Table_Custom_Input[[#This Row],[Net measure cost]]/Table_Custom_Input[[#This Row],[Cost savings]], "")</f>
        <v/>
      </c>
      <c r="AF98" s="85">
        <f>IF(Table_Custom_Input[[#This Row],[Use custom or default operating hours?]]="Default", Table_Custom_Input[[#This Row],[Default annual operating hours]], IF(Table_Custom_Input[[#This Row],[Use custom or default operating hours?]]="Custom", Table_Custom_Input[[#This Row],[Custom annual operating hours]], 0))</f>
        <v>0</v>
      </c>
      <c r="AG98" s="85" t="e">
        <f>INDEX(Table_TRM_Fixtures[Fixture Wattage for Baseline Calculations], MATCH(Table_Custom_Input[[#This Row],[Existing fixture code]], Table_TRM_Fixtures[Fixture Code], 0))</f>
        <v>#N/A</v>
      </c>
      <c r="AH98" s="85" t="e">
        <f>INDEX(Table_TRM_Fixtures[Fixture Watts  (TRM Data)], MATCH(Table_Custom_Input[[#This Row],[Proposed fixture code]], Table_TRM_Fixtures[Fixture Code], 0))</f>
        <v>#N/A</v>
      </c>
      <c r="AI98"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98"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98" s="85" t="e">
        <f>INDEX(Table_TRM_Fixtures[Fixture Wattage for Baseline Calculations], MATCH(Table_Custom_Input[[#This Row],[Existing fixture code]], Table_TRM_Fixtures[Fixture Code], 0))/Table_Custom_Input[[#This Row],[Existing lamps per fixture]]</f>
        <v>#N/A</v>
      </c>
      <c r="AL98" s="85" t="str">
        <f>IF(Table_Custom_Input[[#This Row],[Proposed lamp wattage]]="","",Table_Custom_Input[[#This Row],[Proposed lamp wattage]])</f>
        <v/>
      </c>
      <c r="AM98"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98"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99" spans="2:40" s="18" customFormat="1" ht="15" x14ac:dyDescent="0.2">
      <c r="B99" s="61">
        <v>95</v>
      </c>
      <c r="C99" s="61" t="str">
        <f>IFERROR(INDEX(Table_Custom_Measure_No[Custom Measure No], MATCH(Table_Custom_Input[[#This Row],[Existing lighting type]], Table_Custom_Measure_No[List_Light_Type], 0)), "")</f>
        <v/>
      </c>
      <c r="D99" s="192"/>
      <c r="E99" s="179"/>
      <c r="F99" s="58"/>
      <c r="G99" s="58"/>
      <c r="H99" s="68" t="str">
        <f>IFERROR(INDEX(Table_Bldg_Type[AOH], MATCH(Table_Custom_Input[[#This Row],[Building/space type]], Table_Bldg_Type[List_Bldg_Types], 0)), "")</f>
        <v/>
      </c>
      <c r="I99" s="65"/>
      <c r="J99" s="58"/>
      <c r="K99" s="58"/>
      <c r="L99" s="58"/>
      <c r="M99" s="58"/>
      <c r="N99" s="58"/>
      <c r="O99" s="58"/>
      <c r="P99" s="58"/>
      <c r="Q99" s="58"/>
      <c r="R99" s="58"/>
      <c r="S99" s="58"/>
      <c r="T99" s="58"/>
      <c r="U99" s="58"/>
      <c r="V99" s="58"/>
      <c r="W99" s="66"/>
      <c r="X99" s="66"/>
      <c r="Y99" s="67" t="str">
        <f>IFERROR(Table_Custom_Input[[#This Row],[Energy savings (kWh)]]*Value_Custom_IncentRate, "")</f>
        <v/>
      </c>
      <c r="Z99" s="69" t="str">
        <f>IF(Table_Custom_Input[[#This Row],[Replacing lamp or fixture?]]="Fixture", Table_Custom_Input[[#This Row],[Fixture Replacement: Energy Savings]], IF(Table_Custom_Input[[#This Row],[Replacing lamp or fixture?]]="Lamp", Table_Custom_Input[[#This Row],[Lamp Replacement: Energy Savings]], ""))</f>
        <v/>
      </c>
      <c r="AA99" s="73" t="str">
        <f>IF(Table_Custom_Input[[#This Row],[Replacing lamp or fixture?]]="Fixture", Table_Custom_Input[[#This Row],[Fixture Replacement: Demand Savings]], IF(Table_Custom_Input[[#This Row],[Replacing lamp or fixture?]]="Lamp", Table_Custom_Input[[#This Row],[Lamp Replacement: Demand Savings]], ""))</f>
        <v/>
      </c>
      <c r="AB99" s="67" t="str">
        <f>IFERROR(Table_Custom_Input[[#This Row],[Energy savings (kWh)]]*Input_AvgkWhRate, "")</f>
        <v/>
      </c>
      <c r="AC99" s="67" t="str">
        <f>IF(Table_Custom_Input[[#This Row],[Replacing lamp or fixture?]]&lt;&gt;"",Table_Custom_Input[[#This Row],[Material cost per unit]]*Table_Custom_Input[[#This Row],[Number of proposed units]]+Table_Custom_Input[[#This Row],[Total labor cost]],"")</f>
        <v/>
      </c>
      <c r="AD99" s="67" t="str">
        <f>IF(Table_Custom_Input[[#This Row],[Estimated incentive]]="","",Table_Custom_Input[[#This Row],[Gross measure Cost]]-Table_Custom_Input[[#This Row],[Estimated incentive]])</f>
        <v/>
      </c>
      <c r="AE99" s="69" t="str">
        <f>IFERROR(Table_Custom_Input[[#This Row],[Net measure cost]]/Table_Custom_Input[[#This Row],[Cost savings]], "")</f>
        <v/>
      </c>
      <c r="AF99" s="85">
        <f>IF(Table_Custom_Input[[#This Row],[Use custom or default operating hours?]]="Default", Table_Custom_Input[[#This Row],[Default annual operating hours]], IF(Table_Custom_Input[[#This Row],[Use custom or default operating hours?]]="Custom", Table_Custom_Input[[#This Row],[Custom annual operating hours]], 0))</f>
        <v>0</v>
      </c>
      <c r="AG99" s="85" t="e">
        <f>INDEX(Table_TRM_Fixtures[Fixture Wattage for Baseline Calculations], MATCH(Table_Custom_Input[[#This Row],[Existing fixture code]], Table_TRM_Fixtures[Fixture Code], 0))</f>
        <v>#N/A</v>
      </c>
      <c r="AH99" s="85" t="e">
        <f>INDEX(Table_TRM_Fixtures[Fixture Watts  (TRM Data)], MATCH(Table_Custom_Input[[#This Row],[Proposed fixture code]], Table_TRM_Fixtures[Fixture Code], 0))</f>
        <v>#N/A</v>
      </c>
      <c r="AI99"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99"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99" s="85" t="e">
        <f>INDEX(Table_TRM_Fixtures[Fixture Wattage for Baseline Calculations], MATCH(Table_Custom_Input[[#This Row],[Existing fixture code]], Table_TRM_Fixtures[Fixture Code], 0))/Table_Custom_Input[[#This Row],[Existing lamps per fixture]]</f>
        <v>#N/A</v>
      </c>
      <c r="AL99" s="85" t="str">
        <f>IF(Table_Custom_Input[[#This Row],[Proposed lamp wattage]]="","",Table_Custom_Input[[#This Row],[Proposed lamp wattage]])</f>
        <v/>
      </c>
      <c r="AM99"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99"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100" spans="2:40" s="18" customFormat="1" ht="15" x14ac:dyDescent="0.2">
      <c r="B100" s="61">
        <v>96</v>
      </c>
      <c r="C100" s="61" t="str">
        <f>IFERROR(INDEX(Table_Custom_Measure_No[Custom Measure No], MATCH(Table_Custom_Input[[#This Row],[Existing lighting type]], Table_Custom_Measure_No[List_Light_Type], 0)), "")</f>
        <v/>
      </c>
      <c r="D100" s="192"/>
      <c r="E100" s="179"/>
      <c r="F100" s="58"/>
      <c r="G100" s="58"/>
      <c r="H100" s="68" t="str">
        <f>IFERROR(INDEX(Table_Bldg_Type[AOH], MATCH(Table_Custom_Input[[#This Row],[Building/space type]], Table_Bldg_Type[List_Bldg_Types], 0)), "")</f>
        <v/>
      </c>
      <c r="I100" s="65"/>
      <c r="J100" s="58"/>
      <c r="K100" s="58"/>
      <c r="L100" s="58"/>
      <c r="M100" s="58"/>
      <c r="N100" s="58"/>
      <c r="O100" s="58"/>
      <c r="P100" s="58"/>
      <c r="Q100" s="58"/>
      <c r="R100" s="58"/>
      <c r="S100" s="58"/>
      <c r="T100" s="58"/>
      <c r="U100" s="58"/>
      <c r="V100" s="58"/>
      <c r="W100" s="66"/>
      <c r="X100" s="66"/>
      <c r="Y100" s="67" t="str">
        <f>IFERROR(Table_Custom_Input[[#This Row],[Energy savings (kWh)]]*Value_Custom_IncentRate, "")</f>
        <v/>
      </c>
      <c r="Z100" s="69" t="str">
        <f>IF(Table_Custom_Input[[#This Row],[Replacing lamp or fixture?]]="Fixture", Table_Custom_Input[[#This Row],[Fixture Replacement: Energy Savings]], IF(Table_Custom_Input[[#This Row],[Replacing lamp or fixture?]]="Lamp", Table_Custom_Input[[#This Row],[Lamp Replacement: Energy Savings]], ""))</f>
        <v/>
      </c>
      <c r="AA100" s="73" t="str">
        <f>IF(Table_Custom_Input[[#This Row],[Replacing lamp or fixture?]]="Fixture", Table_Custom_Input[[#This Row],[Fixture Replacement: Demand Savings]], IF(Table_Custom_Input[[#This Row],[Replacing lamp or fixture?]]="Lamp", Table_Custom_Input[[#This Row],[Lamp Replacement: Demand Savings]], ""))</f>
        <v/>
      </c>
      <c r="AB100" s="67" t="str">
        <f>IFERROR(Table_Custom_Input[[#This Row],[Energy savings (kWh)]]*Input_AvgkWhRate, "")</f>
        <v/>
      </c>
      <c r="AC100" s="67" t="str">
        <f>IF(Table_Custom_Input[[#This Row],[Replacing lamp or fixture?]]&lt;&gt;"",Table_Custom_Input[[#This Row],[Material cost per unit]]*Table_Custom_Input[[#This Row],[Number of proposed units]]+Table_Custom_Input[[#This Row],[Total labor cost]],"")</f>
        <v/>
      </c>
      <c r="AD100" s="67" t="str">
        <f>IF(Table_Custom_Input[[#This Row],[Estimated incentive]]="","",Table_Custom_Input[[#This Row],[Gross measure Cost]]-Table_Custom_Input[[#This Row],[Estimated incentive]])</f>
        <v/>
      </c>
      <c r="AE100" s="69" t="str">
        <f>IFERROR(Table_Custom_Input[[#This Row],[Net measure cost]]/Table_Custom_Input[[#This Row],[Cost savings]], "")</f>
        <v/>
      </c>
      <c r="AF100" s="85">
        <f>IF(Table_Custom_Input[[#This Row],[Use custom or default operating hours?]]="Default", Table_Custom_Input[[#This Row],[Default annual operating hours]], IF(Table_Custom_Input[[#This Row],[Use custom or default operating hours?]]="Custom", Table_Custom_Input[[#This Row],[Custom annual operating hours]], 0))</f>
        <v>0</v>
      </c>
      <c r="AG100" s="85" t="e">
        <f>INDEX(Table_TRM_Fixtures[Fixture Wattage for Baseline Calculations], MATCH(Table_Custom_Input[[#This Row],[Existing fixture code]], Table_TRM_Fixtures[Fixture Code], 0))</f>
        <v>#N/A</v>
      </c>
      <c r="AH100" s="85" t="e">
        <f>INDEX(Table_TRM_Fixtures[Fixture Watts  (TRM Data)], MATCH(Table_Custom_Input[[#This Row],[Proposed fixture code]], Table_TRM_Fixtures[Fixture Code], 0))</f>
        <v>#N/A</v>
      </c>
      <c r="AI100"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100"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100" s="85" t="e">
        <f>INDEX(Table_TRM_Fixtures[Fixture Wattage for Baseline Calculations], MATCH(Table_Custom_Input[[#This Row],[Existing fixture code]], Table_TRM_Fixtures[Fixture Code], 0))/Table_Custom_Input[[#This Row],[Existing lamps per fixture]]</f>
        <v>#N/A</v>
      </c>
      <c r="AL100" s="85" t="str">
        <f>IF(Table_Custom_Input[[#This Row],[Proposed lamp wattage]]="","",Table_Custom_Input[[#This Row],[Proposed lamp wattage]])</f>
        <v/>
      </c>
      <c r="AM100"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100"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101" spans="2:40" s="18" customFormat="1" ht="15" x14ac:dyDescent="0.2">
      <c r="B101" s="61">
        <v>97</v>
      </c>
      <c r="C101" s="61" t="str">
        <f>IFERROR(INDEX(Table_Custom_Measure_No[Custom Measure No], MATCH(Table_Custom_Input[[#This Row],[Existing lighting type]], Table_Custom_Measure_No[List_Light_Type], 0)), "")</f>
        <v/>
      </c>
      <c r="D101" s="192"/>
      <c r="E101" s="179"/>
      <c r="F101" s="58"/>
      <c r="G101" s="58"/>
      <c r="H101" s="68" t="str">
        <f>IFERROR(INDEX(Table_Bldg_Type[AOH], MATCH(Table_Custom_Input[[#This Row],[Building/space type]], Table_Bldg_Type[List_Bldg_Types], 0)), "")</f>
        <v/>
      </c>
      <c r="I101" s="65"/>
      <c r="J101" s="58"/>
      <c r="K101" s="58"/>
      <c r="L101" s="58"/>
      <c r="M101" s="58"/>
      <c r="N101" s="58"/>
      <c r="O101" s="58"/>
      <c r="P101" s="58"/>
      <c r="Q101" s="58"/>
      <c r="R101" s="58"/>
      <c r="S101" s="58"/>
      <c r="T101" s="58"/>
      <c r="U101" s="58"/>
      <c r="V101" s="58"/>
      <c r="W101" s="66"/>
      <c r="X101" s="66"/>
      <c r="Y101" s="67" t="str">
        <f>IFERROR(Table_Custom_Input[[#This Row],[Energy savings (kWh)]]*Value_Custom_IncentRate, "")</f>
        <v/>
      </c>
      <c r="Z101" s="69" t="str">
        <f>IF(Table_Custom_Input[[#This Row],[Replacing lamp or fixture?]]="Fixture", Table_Custom_Input[[#This Row],[Fixture Replacement: Energy Savings]], IF(Table_Custom_Input[[#This Row],[Replacing lamp or fixture?]]="Lamp", Table_Custom_Input[[#This Row],[Lamp Replacement: Energy Savings]], ""))</f>
        <v/>
      </c>
      <c r="AA101" s="73" t="str">
        <f>IF(Table_Custom_Input[[#This Row],[Replacing lamp or fixture?]]="Fixture", Table_Custom_Input[[#This Row],[Fixture Replacement: Demand Savings]], IF(Table_Custom_Input[[#This Row],[Replacing lamp or fixture?]]="Lamp", Table_Custom_Input[[#This Row],[Lamp Replacement: Demand Savings]], ""))</f>
        <v/>
      </c>
      <c r="AB101" s="67" t="str">
        <f>IFERROR(Table_Custom_Input[[#This Row],[Energy savings (kWh)]]*Input_AvgkWhRate, "")</f>
        <v/>
      </c>
      <c r="AC101" s="67" t="str">
        <f>IF(Table_Custom_Input[[#This Row],[Replacing lamp or fixture?]]&lt;&gt;"",Table_Custom_Input[[#This Row],[Material cost per unit]]*Table_Custom_Input[[#This Row],[Number of proposed units]]+Table_Custom_Input[[#This Row],[Total labor cost]],"")</f>
        <v/>
      </c>
      <c r="AD101" s="67" t="str">
        <f>IF(Table_Custom_Input[[#This Row],[Estimated incentive]]="","",Table_Custom_Input[[#This Row],[Gross measure Cost]]-Table_Custom_Input[[#This Row],[Estimated incentive]])</f>
        <v/>
      </c>
      <c r="AE101" s="69" t="str">
        <f>IFERROR(Table_Custom_Input[[#This Row],[Net measure cost]]/Table_Custom_Input[[#This Row],[Cost savings]], "")</f>
        <v/>
      </c>
      <c r="AF101" s="85">
        <f>IF(Table_Custom_Input[[#This Row],[Use custom or default operating hours?]]="Default", Table_Custom_Input[[#This Row],[Default annual operating hours]], IF(Table_Custom_Input[[#This Row],[Use custom or default operating hours?]]="Custom", Table_Custom_Input[[#This Row],[Custom annual operating hours]], 0))</f>
        <v>0</v>
      </c>
      <c r="AG101" s="85" t="e">
        <f>INDEX(Table_TRM_Fixtures[Fixture Wattage for Baseline Calculations], MATCH(Table_Custom_Input[[#This Row],[Existing fixture code]], Table_TRM_Fixtures[Fixture Code], 0))</f>
        <v>#N/A</v>
      </c>
      <c r="AH101" s="85" t="e">
        <f>INDEX(Table_TRM_Fixtures[Fixture Watts  (TRM Data)], MATCH(Table_Custom_Input[[#This Row],[Proposed fixture code]], Table_TRM_Fixtures[Fixture Code], 0))</f>
        <v>#N/A</v>
      </c>
      <c r="AI101"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101"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101" s="85" t="e">
        <f>INDEX(Table_TRM_Fixtures[Fixture Wattage for Baseline Calculations], MATCH(Table_Custom_Input[[#This Row],[Existing fixture code]], Table_TRM_Fixtures[Fixture Code], 0))/Table_Custom_Input[[#This Row],[Existing lamps per fixture]]</f>
        <v>#N/A</v>
      </c>
      <c r="AL101" s="85" t="str">
        <f>IF(Table_Custom_Input[[#This Row],[Proposed lamp wattage]]="","",Table_Custom_Input[[#This Row],[Proposed lamp wattage]])</f>
        <v/>
      </c>
      <c r="AM101"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101"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102" spans="2:40" s="18" customFormat="1" ht="15" x14ac:dyDescent="0.2">
      <c r="B102" s="61">
        <v>98</v>
      </c>
      <c r="C102" s="61" t="str">
        <f>IFERROR(INDEX(Table_Custom_Measure_No[Custom Measure No], MATCH(Table_Custom_Input[[#This Row],[Existing lighting type]], Table_Custom_Measure_No[List_Light_Type], 0)), "")</f>
        <v/>
      </c>
      <c r="D102" s="192"/>
      <c r="E102" s="179"/>
      <c r="F102" s="58"/>
      <c r="G102" s="58"/>
      <c r="H102" s="68" t="str">
        <f>IFERROR(INDEX(Table_Bldg_Type[AOH], MATCH(Table_Custom_Input[[#This Row],[Building/space type]], Table_Bldg_Type[List_Bldg_Types], 0)), "")</f>
        <v/>
      </c>
      <c r="I102" s="65"/>
      <c r="J102" s="58"/>
      <c r="K102" s="58"/>
      <c r="L102" s="58"/>
      <c r="M102" s="58"/>
      <c r="N102" s="58"/>
      <c r="O102" s="58"/>
      <c r="P102" s="58"/>
      <c r="Q102" s="58"/>
      <c r="R102" s="58"/>
      <c r="S102" s="58"/>
      <c r="T102" s="58"/>
      <c r="U102" s="58"/>
      <c r="V102" s="58"/>
      <c r="W102" s="66"/>
      <c r="X102" s="66"/>
      <c r="Y102" s="67" t="str">
        <f>IFERROR(Table_Custom_Input[[#This Row],[Energy savings (kWh)]]*Value_Custom_IncentRate, "")</f>
        <v/>
      </c>
      <c r="Z102" s="69" t="str">
        <f>IF(Table_Custom_Input[[#This Row],[Replacing lamp or fixture?]]="Fixture", Table_Custom_Input[[#This Row],[Fixture Replacement: Energy Savings]], IF(Table_Custom_Input[[#This Row],[Replacing lamp or fixture?]]="Lamp", Table_Custom_Input[[#This Row],[Lamp Replacement: Energy Savings]], ""))</f>
        <v/>
      </c>
      <c r="AA102" s="73" t="str">
        <f>IF(Table_Custom_Input[[#This Row],[Replacing lamp or fixture?]]="Fixture", Table_Custom_Input[[#This Row],[Fixture Replacement: Demand Savings]], IF(Table_Custom_Input[[#This Row],[Replacing lamp or fixture?]]="Lamp", Table_Custom_Input[[#This Row],[Lamp Replacement: Demand Savings]], ""))</f>
        <v/>
      </c>
      <c r="AB102" s="67" t="str">
        <f>IFERROR(Table_Custom_Input[[#This Row],[Energy savings (kWh)]]*Input_AvgkWhRate, "")</f>
        <v/>
      </c>
      <c r="AC102" s="67" t="str">
        <f>IF(Table_Custom_Input[[#This Row],[Replacing lamp or fixture?]]&lt;&gt;"",Table_Custom_Input[[#This Row],[Material cost per unit]]*Table_Custom_Input[[#This Row],[Number of proposed units]]+Table_Custom_Input[[#This Row],[Total labor cost]],"")</f>
        <v/>
      </c>
      <c r="AD102" s="67" t="str">
        <f>IF(Table_Custom_Input[[#This Row],[Estimated incentive]]="","",Table_Custom_Input[[#This Row],[Gross measure Cost]]-Table_Custom_Input[[#This Row],[Estimated incentive]])</f>
        <v/>
      </c>
      <c r="AE102" s="69" t="str">
        <f>IFERROR(Table_Custom_Input[[#This Row],[Net measure cost]]/Table_Custom_Input[[#This Row],[Cost savings]], "")</f>
        <v/>
      </c>
      <c r="AF102" s="85">
        <f>IF(Table_Custom_Input[[#This Row],[Use custom or default operating hours?]]="Default", Table_Custom_Input[[#This Row],[Default annual operating hours]], IF(Table_Custom_Input[[#This Row],[Use custom or default operating hours?]]="Custom", Table_Custom_Input[[#This Row],[Custom annual operating hours]], 0))</f>
        <v>0</v>
      </c>
      <c r="AG102" s="85" t="e">
        <f>INDEX(Table_TRM_Fixtures[Fixture Wattage for Baseline Calculations], MATCH(Table_Custom_Input[[#This Row],[Existing fixture code]], Table_TRM_Fixtures[Fixture Code], 0))</f>
        <v>#N/A</v>
      </c>
      <c r="AH102" s="85" t="e">
        <f>INDEX(Table_TRM_Fixtures[Fixture Watts  (TRM Data)], MATCH(Table_Custom_Input[[#This Row],[Proposed fixture code]], Table_TRM_Fixtures[Fixture Code], 0))</f>
        <v>#N/A</v>
      </c>
      <c r="AI102"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102"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102" s="85" t="e">
        <f>INDEX(Table_TRM_Fixtures[Fixture Wattage for Baseline Calculations], MATCH(Table_Custom_Input[[#This Row],[Existing fixture code]], Table_TRM_Fixtures[Fixture Code], 0))/Table_Custom_Input[[#This Row],[Existing lamps per fixture]]</f>
        <v>#N/A</v>
      </c>
      <c r="AL102" s="85" t="str">
        <f>IF(Table_Custom_Input[[#This Row],[Proposed lamp wattage]]="","",Table_Custom_Input[[#This Row],[Proposed lamp wattage]])</f>
        <v/>
      </c>
      <c r="AM102"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102"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103" spans="2:40" s="18" customFormat="1" ht="15" x14ac:dyDescent="0.2">
      <c r="B103" s="61">
        <v>99</v>
      </c>
      <c r="C103" s="61" t="str">
        <f>IFERROR(INDEX(Table_Custom_Measure_No[Custom Measure No], MATCH(Table_Custom_Input[[#This Row],[Existing lighting type]], Table_Custom_Measure_No[List_Light_Type], 0)), "")</f>
        <v/>
      </c>
      <c r="D103" s="192"/>
      <c r="E103" s="179"/>
      <c r="F103" s="58"/>
      <c r="G103" s="58"/>
      <c r="H103" s="68" t="str">
        <f>IFERROR(INDEX(Table_Bldg_Type[AOH], MATCH(Table_Custom_Input[[#This Row],[Building/space type]], Table_Bldg_Type[List_Bldg_Types], 0)), "")</f>
        <v/>
      </c>
      <c r="I103" s="65"/>
      <c r="J103" s="58"/>
      <c r="K103" s="58"/>
      <c r="L103" s="58"/>
      <c r="M103" s="58"/>
      <c r="N103" s="58"/>
      <c r="O103" s="58"/>
      <c r="P103" s="58"/>
      <c r="Q103" s="58"/>
      <c r="R103" s="58"/>
      <c r="S103" s="58"/>
      <c r="T103" s="58"/>
      <c r="U103" s="58"/>
      <c r="V103" s="58"/>
      <c r="W103" s="66"/>
      <c r="X103" s="66"/>
      <c r="Y103" s="67" t="str">
        <f>IFERROR(Table_Custom_Input[[#This Row],[Energy savings (kWh)]]*Value_Custom_IncentRate, "")</f>
        <v/>
      </c>
      <c r="Z103" s="69" t="str">
        <f>IF(Table_Custom_Input[[#This Row],[Replacing lamp or fixture?]]="Fixture", Table_Custom_Input[[#This Row],[Fixture Replacement: Energy Savings]], IF(Table_Custom_Input[[#This Row],[Replacing lamp or fixture?]]="Lamp", Table_Custom_Input[[#This Row],[Lamp Replacement: Energy Savings]], ""))</f>
        <v/>
      </c>
      <c r="AA103" s="73" t="str">
        <f>IF(Table_Custom_Input[[#This Row],[Replacing lamp or fixture?]]="Fixture", Table_Custom_Input[[#This Row],[Fixture Replacement: Demand Savings]], IF(Table_Custom_Input[[#This Row],[Replacing lamp or fixture?]]="Lamp", Table_Custom_Input[[#This Row],[Lamp Replacement: Demand Savings]], ""))</f>
        <v/>
      </c>
      <c r="AB103" s="67" t="str">
        <f>IFERROR(Table_Custom_Input[[#This Row],[Energy savings (kWh)]]*Input_AvgkWhRate, "")</f>
        <v/>
      </c>
      <c r="AC103" s="67" t="str">
        <f>IF(Table_Custom_Input[[#This Row],[Replacing lamp or fixture?]]&lt;&gt;"",Table_Custom_Input[[#This Row],[Material cost per unit]]*Table_Custom_Input[[#This Row],[Number of proposed units]]+Table_Custom_Input[[#This Row],[Total labor cost]],"")</f>
        <v/>
      </c>
      <c r="AD103" s="67" t="str">
        <f>IF(Table_Custom_Input[[#This Row],[Estimated incentive]]="","",Table_Custom_Input[[#This Row],[Gross measure Cost]]-Table_Custom_Input[[#This Row],[Estimated incentive]])</f>
        <v/>
      </c>
      <c r="AE103" s="69" t="str">
        <f>IFERROR(Table_Custom_Input[[#This Row],[Net measure cost]]/Table_Custom_Input[[#This Row],[Cost savings]], "")</f>
        <v/>
      </c>
      <c r="AF103" s="85">
        <f>IF(Table_Custom_Input[[#This Row],[Use custom or default operating hours?]]="Default", Table_Custom_Input[[#This Row],[Default annual operating hours]], IF(Table_Custom_Input[[#This Row],[Use custom or default operating hours?]]="Custom", Table_Custom_Input[[#This Row],[Custom annual operating hours]], 0))</f>
        <v>0</v>
      </c>
      <c r="AG103" s="85" t="e">
        <f>INDEX(Table_TRM_Fixtures[Fixture Wattage for Baseline Calculations], MATCH(Table_Custom_Input[[#This Row],[Existing fixture code]], Table_TRM_Fixtures[Fixture Code], 0))</f>
        <v>#N/A</v>
      </c>
      <c r="AH103" s="85" t="e">
        <f>INDEX(Table_TRM_Fixtures[Fixture Watts  (TRM Data)], MATCH(Table_Custom_Input[[#This Row],[Proposed fixture code]], Table_TRM_Fixtures[Fixture Code], 0))</f>
        <v>#N/A</v>
      </c>
      <c r="AI103"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103"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103" s="85" t="e">
        <f>INDEX(Table_TRM_Fixtures[Fixture Wattage for Baseline Calculations], MATCH(Table_Custom_Input[[#This Row],[Existing fixture code]], Table_TRM_Fixtures[Fixture Code], 0))/Table_Custom_Input[[#This Row],[Existing lamps per fixture]]</f>
        <v>#N/A</v>
      </c>
      <c r="AL103" s="85" t="str">
        <f>IF(Table_Custom_Input[[#This Row],[Proposed lamp wattage]]="","",Table_Custom_Input[[#This Row],[Proposed lamp wattage]])</f>
        <v/>
      </c>
      <c r="AM103"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103"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104" spans="2:40" s="18" customFormat="1" ht="15" x14ac:dyDescent="0.2">
      <c r="B104" s="61">
        <v>100</v>
      </c>
      <c r="C104" s="61" t="str">
        <f>IFERROR(INDEX(Table_Custom_Measure_No[Custom Measure No], MATCH(Table_Custom_Input[[#This Row],[Existing lighting type]], Table_Custom_Measure_No[List_Light_Type], 0)), "")</f>
        <v/>
      </c>
      <c r="D104" s="192"/>
      <c r="E104" s="179"/>
      <c r="F104" s="58"/>
      <c r="G104" s="58"/>
      <c r="H104" s="68" t="str">
        <f>IFERROR(INDEX(Table_Bldg_Type[AOH], MATCH(Table_Custom_Input[[#This Row],[Building/space type]], Table_Bldg_Type[List_Bldg_Types], 0)), "")</f>
        <v/>
      </c>
      <c r="I104" s="65"/>
      <c r="J104" s="58"/>
      <c r="K104" s="58"/>
      <c r="L104" s="58"/>
      <c r="M104" s="58"/>
      <c r="N104" s="58"/>
      <c r="O104" s="58"/>
      <c r="P104" s="58"/>
      <c r="Q104" s="58"/>
      <c r="R104" s="58"/>
      <c r="S104" s="58"/>
      <c r="T104" s="58"/>
      <c r="U104" s="58"/>
      <c r="V104" s="58"/>
      <c r="W104" s="66"/>
      <c r="X104" s="66"/>
      <c r="Y104" s="67" t="str">
        <f>IFERROR(Table_Custom_Input[[#This Row],[Energy savings (kWh)]]*Value_Custom_IncentRate, "")</f>
        <v/>
      </c>
      <c r="Z104" s="69" t="str">
        <f>IF(Table_Custom_Input[[#This Row],[Replacing lamp or fixture?]]="Fixture", Table_Custom_Input[[#This Row],[Fixture Replacement: Energy Savings]], IF(Table_Custom_Input[[#This Row],[Replacing lamp or fixture?]]="Lamp", Table_Custom_Input[[#This Row],[Lamp Replacement: Energy Savings]], ""))</f>
        <v/>
      </c>
      <c r="AA104" s="73" t="str">
        <f>IF(Table_Custom_Input[[#This Row],[Replacing lamp or fixture?]]="Fixture", Table_Custom_Input[[#This Row],[Fixture Replacement: Demand Savings]], IF(Table_Custom_Input[[#This Row],[Replacing lamp or fixture?]]="Lamp", Table_Custom_Input[[#This Row],[Lamp Replacement: Demand Savings]], ""))</f>
        <v/>
      </c>
      <c r="AB104" s="67" t="str">
        <f>IFERROR(Table_Custom_Input[[#This Row],[Energy savings (kWh)]]*Input_AvgkWhRate, "")</f>
        <v/>
      </c>
      <c r="AC104" s="67" t="str">
        <f>IF(Table_Custom_Input[[#This Row],[Replacing lamp or fixture?]]&lt;&gt;"",Table_Custom_Input[[#This Row],[Material cost per unit]]*Table_Custom_Input[[#This Row],[Number of proposed units]]+Table_Custom_Input[[#This Row],[Total labor cost]],"")</f>
        <v/>
      </c>
      <c r="AD104" s="67" t="str">
        <f>IF(Table_Custom_Input[[#This Row],[Estimated incentive]]="","",Table_Custom_Input[[#This Row],[Gross measure Cost]]-Table_Custom_Input[[#This Row],[Estimated incentive]])</f>
        <v/>
      </c>
      <c r="AE104" s="69" t="str">
        <f>IFERROR(Table_Custom_Input[[#This Row],[Net measure cost]]/Table_Custom_Input[[#This Row],[Cost savings]], "")</f>
        <v/>
      </c>
      <c r="AF104" s="85">
        <f>IF(Table_Custom_Input[[#This Row],[Use custom or default operating hours?]]="Default", Table_Custom_Input[[#This Row],[Default annual operating hours]], IF(Table_Custom_Input[[#This Row],[Use custom or default operating hours?]]="Custom", Table_Custom_Input[[#This Row],[Custom annual operating hours]], 0))</f>
        <v>0</v>
      </c>
      <c r="AG104" s="85" t="e">
        <f>INDEX(Table_TRM_Fixtures[Fixture Wattage for Baseline Calculations], MATCH(Table_Custom_Input[[#This Row],[Existing fixture code]], Table_TRM_Fixtures[Fixture Code], 0))</f>
        <v>#N/A</v>
      </c>
      <c r="AH104" s="85" t="e">
        <f>INDEX(Table_TRM_Fixtures[Fixture Watts  (TRM Data)], MATCH(Table_Custom_Input[[#This Row],[Proposed fixture code]], Table_TRM_Fixtures[Fixture Code], 0))</f>
        <v>#N/A</v>
      </c>
      <c r="AI104" s="85" t="str">
        <f>IFERROR(IF(OR(Table_Custom_Input[[#This Row],[Building/space type]]="Exterior",Table_Custom_Input[[#This Row],[Building/space type]]="Parking Structure"),(Table_Custom_Input[[#This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Row],[Fixture Replacement: Existing Fixture Wattage Used in Calculations]]*INDEX(Table_Control_PAF[PAF], MATCH(Table_Custom_Input[[#This Row],[Existing controls]], Table_Control_PAF[List_Control_Types],0))
-Table_Custom_Input[[#This Row],[Number of proposed units]]*Table_Custom_Input[[#This Row],[Fixture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f>
        <v/>
      </c>
      <c r="AJ104" s="118" t="str">
        <f>IFERROR(IF(Table_Custom_Input[[#This Row],[Building/space type]]="Exterior", 0,
IF(Table_Custom_Input[[#This Row],[Existing controls]]&lt;&gt;"Switch/No Controls",IFERROR((Table_Custom_Input[[#This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Row],[Fixture Replacement: Existing Fixture Wattage Used in Calculations]]
-Table_Custom_Input[[#This Row],[Number of proposed units]]*Table_Custom_Input[[#This Row],[Fixture Replacement: Proposed Fixture Wattage Used in Calculations]])*INDEX(Table_Bldg_Type[CFbldg], MATCH(Table_Custom_Input[[#This Row],[Building/space type]], Table_Bldg_Type[List_Bldg_Types], 0)),0)
/1000
*INDEX(Table_Bldg_IEFD_IEFC[IEFD], MATCH(Table_Custom_Input[[#This Row],[Space conditions]], Table_Bldg_IEFD_IEFC[List_HVAC], 0)))),"")</f>
        <v/>
      </c>
      <c r="AK104" s="85" t="e">
        <f>INDEX(Table_TRM_Fixtures[Fixture Wattage for Baseline Calculations], MATCH(Table_Custom_Input[[#This Row],[Existing fixture code]], Table_TRM_Fixtures[Fixture Code], 0))/Table_Custom_Input[[#This Row],[Existing lamps per fixture]]</f>
        <v>#N/A</v>
      </c>
      <c r="AL104" s="85" t="str">
        <f>IF(Table_Custom_Input[[#This Row],[Proposed lamp wattage]]="","",Table_Custom_Input[[#This Row],[Proposed lamp wattage]])</f>
        <v/>
      </c>
      <c r="AM104" s="119" t="str">
        <f>IFERROR(IF(OR(Table_Custom_Input[[#This Row],[Building/space type]]="Exterior",Table_Custom_Input[[#This Row],[Building/space type]]="Parking Structure"),(Table_Custom_Input[[#This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*Table_Custom_Input[[#This Row],[AOH used in Calculations]]/1000,                                                                                                                                (Table_Custom_Input[[#This Row],[Number of existing units]]*Table_Custom_Input[[#This Row],[Lamp Replacement: Existing Fixture Wattage Used in Calculations]]*INDEX(Table_Control_PAF[PAF], MATCH(Table_Custom_Input[[#This Row],[Existing controls]], Table_Control_PAF[List_Control_Types],0))
-Table_Custom_Input[[#This Row],[Number of proposed units]]*Table_Custom_Input[[#This Row],[Lamp Replacement: Proposed Fixture Wattage Used in Calculations]]*INDEX(Table_Control_PAF[PAF], MATCH(Table_Custom_Input[[#This Row],[Proposed controls]], Table_Control_PAF[List_Control_Types],0)))
*INDEX(Table_Bldg_IEFD_IEFC[IEFE], MATCH(Table_Custom_Input[[#This Row],[Space conditions]], Table_Bldg_IEFD_IEFC[List_HVAC], 0))
*Table_Custom_Input[[#This Row],[AOH used in Calculations]]/1000), "")</f>
        <v/>
      </c>
      <c r="AN104" s="119" t="str">
        <f>IFERROR(IF(Table_Custom_Input[[#This Row],[Building/space type]]="Exterior", 0,
IF(Table_Custom_Input[[#This Row],[Existing controls]]&lt;&gt;"Switch/No Controls",IFERROR((Table_Custom_Input[[#This Row],[Number of existing units]]*Table_Custom_Input[[#This Row],[Lamp Replacement: Existing Fixture Wattage Used in Calculations]]
-Table_Custom_Input[[#This Row],[Number of proposed units]]*Table_Custom_Input[[#This Row],[Lamp Replacement: Proposed Fixture Wattage Used in Calculations]])*INDEX(Table_Control_PAF[CFcontrol], MATCH(Table_Custom_Input[[#This Row],[Existing controls]], Table_Control_PAF[List_Control_Types],0)),0)
/1000
*INDEX(Table_Bldg_IEFD_IEFC[IEFD], MATCH(Table_Custom_Input[[#This Row],[Space conditions]], Table_Bldg_IEFD_IEFC[List_HVAC], 0)), IFERROR((Table_Custom_Input[[#This Row],[Number of existing units]]*Table_Custom_Input[[#This Row],[Lamp Replacement: Existing Fixture Wattage Used in Calculations]]*INDEX(Table_Control_PAF[CFcontrol], MATCH(Table_Custom_Input[[#This Row],[Existing controls]], Table_Control_PAF[List_Control_Types],0))
-Table_Custom_Input[[#This Row],[Number of proposed units]]*Table_Custom_Input[[#This Row],[Lamp Replacement: Proposed Fixture Wattage Used in Calculations]]*INDEX(Table_Control_PAF[CFcontrol], MATCH(Table_Custom_Input[[#This Row],[Proposed controls]], Table_Control_PAF[List_Control_Types],0)))
/1000
*INDEX(Table_Bldg_IEFD_IEFC[IEFD], MATCH(Input_HVACType, Table_Bldg_IEFD_IEFC[List_HVAC], 0)), ""))),"")</f>
        <v/>
      </c>
    </row>
    <row r="106" spans="2:40" customFormat="1" x14ac:dyDescent="0.2"/>
    <row r="107" spans="2:40" customFormat="1" x14ac:dyDescent="0.2">
      <c r="B107" t="s">
        <v>27</v>
      </c>
    </row>
    <row r="108" spans="2:40" customFormat="1" x14ac:dyDescent="0.2">
      <c r="B108" t="str">
        <f>Value_Application_Version</f>
        <v>Version 4.1 - 2026</v>
      </c>
    </row>
    <row r="109" spans="2:40" customFormat="1" ht="12.75" customHeight="1" x14ac:dyDescent="0.2"/>
  </sheetData>
  <sheetProtection algorithmName="SHA-512" hashValue="fwOVfln+rnUco9z2F0XWCst4/WaZ/ENKn6pqXTWmD1p/LxcPT1yhj0s+8qCG0gcDSUFZD2S8lbjvq9/QilTZaw==" saltValue="xRcSQ5q9PKpowYM6P7Oh8A==" spinCount="100000" sheet="1" selectLockedCells="1"/>
  <mergeCells count="3">
    <mergeCell ref="B2:AB2"/>
    <mergeCell ref="P3:X3"/>
    <mergeCell ref="K3:O3"/>
  </mergeCells>
  <conditionalFormatting sqref="F6:F25">
    <cfRule type="expression" dxfId="11" priority="8">
      <formula>$E6=""</formula>
    </cfRule>
  </conditionalFormatting>
  <conditionalFormatting sqref="F5:I5 H6:I25 F26:N104">
    <cfRule type="expression" dxfId="10" priority="12">
      <formula>$E5=""</formula>
    </cfRule>
  </conditionalFormatting>
  <conditionalFormatting sqref="G6:G25">
    <cfRule type="expression" dxfId="9" priority="7">
      <formula>$E6=""</formula>
    </cfRule>
  </conditionalFormatting>
  <conditionalFormatting sqref="I5:I104">
    <cfRule type="expression" dxfId="8" priority="13">
      <formula>OR($G5="Default", $G5="")</formula>
    </cfRule>
  </conditionalFormatting>
  <conditionalFormatting sqref="J5:X5 J6:N25 P6:X104">
    <cfRule type="expression" dxfId="7" priority="4">
      <formula>$E5=""</formula>
    </cfRule>
  </conditionalFormatting>
  <conditionalFormatting sqref="O6:O104">
    <cfRule type="expression" dxfId="6" priority="1">
      <formula>$E6=""</formula>
    </cfRule>
  </conditionalFormatting>
  <conditionalFormatting sqref="R5:S104">
    <cfRule type="expression" dxfId="5" priority="3">
      <formula>$J5="Fixture"</formula>
    </cfRule>
  </conditionalFormatting>
  <conditionalFormatting sqref="T5:T104">
    <cfRule type="expression" dxfId="4" priority="2">
      <formula>$J5="Lamp"</formula>
    </cfRule>
  </conditionalFormatting>
  <dataValidations count="9">
    <dataValidation type="list" allowBlank="1" showInputMessage="1" showErrorMessage="1" sqref="E5:E104" xr:uid="{C256A2EE-4425-4659-8F7F-0A63A8B233AF}">
      <formula1>Custom_Lights_Building_Type</formula1>
    </dataValidation>
    <dataValidation type="list" allowBlank="1" showInputMessage="1" showErrorMessage="1" sqref="F5:F104" xr:uid="{108400D4-FCE6-415C-8BD6-094340302EBC}">
      <formula1>List_HVAC</formula1>
    </dataValidation>
    <dataValidation type="list" allowBlank="1" showInputMessage="1" showErrorMessage="1" sqref="G5:G104" xr:uid="{B89BAA9C-5C65-410D-B258-F2C3A36084D0}">
      <formula1>List_Hours</formula1>
    </dataValidation>
    <dataValidation type="list" allowBlank="1" showInputMessage="1" showErrorMessage="1" error="To enter custom hours, select &quot;Override&quot; in the Annual Hours Type field (column F)." sqref="L5:L104" xr:uid="{864319B1-6FAA-4856-AD21-74F5815D995C}">
      <formula1>List_Control_Types</formula1>
    </dataValidation>
    <dataValidation type="list" allowBlank="1" showInputMessage="1" showErrorMessage="1" sqref="J5:J104" xr:uid="{0C5C485C-9B12-4402-A353-98ACE6BE971A}">
      <formula1>List_Gen_Replace_Option</formula1>
    </dataValidation>
    <dataValidation type="list" allowBlank="1" showInputMessage="1" showErrorMessage="1" error="To enter custom hours, select &quot;Override&quot; in the Annual Hours Type field (column F)." sqref="M5:M104" xr:uid="{8DF279B2-F0AB-4547-BA6C-D491C4E332CD}">
      <formula1>List_Light_Type</formula1>
    </dataValidation>
    <dataValidation type="list" allowBlank="1" showInputMessage="1" showErrorMessage="1" sqref="Q5:Q104" xr:uid="{F63337EE-3E0C-473F-AE2B-AD71A396F2C2}">
      <formula1>List_Control_Types</formula1>
    </dataValidation>
    <dataValidation type="list" allowBlank="1" showInputMessage="1" showErrorMessage="1" sqref="U5:U104" xr:uid="{1E878C77-409F-40C8-A17A-4667F075E922}">
      <formula1>List_Cert_Body</formula1>
    </dataValidation>
    <dataValidation allowBlank="1" showInputMessage="1" showErrorMessage="1" error="To enter custom hours, select &quot;Override&quot; in the Annual Hours Type field (column F)." sqref="N5:N104" xr:uid="{0B782144-6571-41C5-B645-EB3D022DCD19}"/>
  </dataValidations>
  <pageMargins left="0.2" right="0.2" top="0.25" bottom="0.25" header="0.3" footer="0.3"/>
  <pageSetup scale="21" fitToHeight="0" orientation="landscape" verticalDpi="1200" r:id="rId1"/>
  <colBreaks count="2" manualBreakCount="2">
    <brk id="11" max="1048575" man="1"/>
    <brk id="25" max="1048575" man="1"/>
  </colBreaks>
  <drawing r:id="rId2"/>
  <legacyDrawing r:id="rId3"/>
  <tableParts count="1">
    <tablePart r:id="rId4"/>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74DB1-2ABA-485B-B0EA-6BE8E261732D}">
  <sheetPr>
    <tabColor theme="4"/>
  </sheetPr>
  <dimension ref="A1:AS209"/>
  <sheetViews>
    <sheetView showGridLines="0" showRowColHeaders="0" workbookViewId="0">
      <selection activeCell="D5" sqref="D5"/>
    </sheetView>
  </sheetViews>
  <sheetFormatPr defaultColWidth="9.140625" defaultRowHeight="12.75" customHeight="1" x14ac:dyDescent="0.2"/>
  <cols>
    <col min="1" max="1" width="2.140625" customWidth="1"/>
    <col min="2" max="2" width="5.28515625" customWidth="1"/>
    <col min="3" max="3" width="10.28515625" customWidth="1"/>
    <col min="4" max="4" width="19.42578125" customWidth="1"/>
    <col min="5" max="5" width="55.85546875" customWidth="1"/>
    <col min="6" max="6" width="21.5703125" customWidth="1"/>
    <col min="7" max="7" width="21.28515625" customWidth="1"/>
    <col min="8" max="8" width="11.5703125" customWidth="1"/>
    <col min="9" max="9" width="12.42578125" customWidth="1"/>
    <col min="10" max="10" width="9.85546875" customWidth="1"/>
    <col min="11" max="11" width="10" customWidth="1"/>
    <col min="12" max="12" width="11" customWidth="1"/>
    <col min="13" max="13" width="12" customWidth="1"/>
    <col min="14" max="14" width="11.85546875" customWidth="1"/>
    <col min="15" max="16" width="10.28515625" customWidth="1"/>
    <col min="17" max="17" width="13.42578125" customWidth="1"/>
    <col min="18" max="18" width="9.5703125" customWidth="1"/>
    <col min="19" max="23" width="22.42578125" style="74" hidden="1" customWidth="1"/>
  </cols>
  <sheetData>
    <row r="1" spans="1:45" ht="47.25" customHeight="1" x14ac:dyDescent="0.2"/>
    <row r="2" spans="1:45" ht="37.5" customHeight="1" x14ac:dyDescent="0.2">
      <c r="B2" s="266" t="s">
        <v>163</v>
      </c>
      <c r="C2" s="266"/>
      <c r="D2" s="266"/>
      <c r="E2" s="266"/>
      <c r="F2" s="266"/>
      <c r="G2" s="266"/>
      <c r="H2" s="266"/>
      <c r="I2" s="266"/>
      <c r="J2" s="266"/>
      <c r="K2" s="266"/>
      <c r="L2" s="266"/>
      <c r="M2" s="266"/>
      <c r="N2" s="266"/>
      <c r="O2" s="266"/>
      <c r="P2" s="106"/>
      <c r="Q2" s="106"/>
      <c r="R2" s="106"/>
    </row>
    <row r="3" spans="1:45" x14ac:dyDescent="0.2">
      <c r="A3" s="4"/>
      <c r="G3" s="162" t="s">
        <v>87</v>
      </c>
      <c r="H3" s="271" t="s">
        <v>88</v>
      </c>
      <c r="I3" s="272"/>
      <c r="J3" s="273"/>
      <c r="K3" s="163" t="s">
        <v>89</v>
      </c>
      <c r="L3" s="166">
        <f>SUM(Table_Controls_Input[Estimated incentive])</f>
        <v>0</v>
      </c>
      <c r="M3" s="164">
        <f>SUM(Table_Controls_Input[Energy savings (kWh)])</f>
        <v>0</v>
      </c>
      <c r="N3" s="165">
        <f>SUM(Table_Controls_Input[Demand reduction (kW)])</f>
        <v>0</v>
      </c>
      <c r="O3" s="166">
        <f>SUM(Table_Controls_Input[Cost savings])</f>
        <v>0</v>
      </c>
      <c r="P3" s="166">
        <f>SUM(Table_Controls_Input[Gross measure cost])</f>
        <v>0</v>
      </c>
      <c r="Q3" s="166">
        <f>SUM(Table_Controls_Input[Net measure cost])</f>
        <v>0</v>
      </c>
      <c r="R3" s="121" t="str">
        <f>IFERROR(Q3/O3,"")</f>
        <v/>
      </c>
      <c r="X3" s="4"/>
      <c r="Y3" s="4"/>
      <c r="Z3" s="4"/>
      <c r="AA3" s="4"/>
      <c r="AB3" s="4"/>
      <c r="AC3" s="4"/>
      <c r="AD3" s="4"/>
      <c r="AE3" s="4"/>
      <c r="AF3" s="4"/>
      <c r="AG3" s="4"/>
      <c r="AH3" s="4"/>
      <c r="AI3" s="4"/>
      <c r="AJ3" s="4"/>
      <c r="AK3" s="4"/>
      <c r="AL3" s="4"/>
      <c r="AM3" s="4"/>
      <c r="AN3" s="4"/>
      <c r="AO3" s="4"/>
      <c r="AP3" s="4"/>
      <c r="AQ3" s="4"/>
      <c r="AR3" s="4"/>
      <c r="AS3" s="4"/>
    </row>
    <row r="4" spans="1:45" ht="38.25" x14ac:dyDescent="0.2">
      <c r="A4" s="19"/>
      <c r="B4" s="167" t="s">
        <v>164</v>
      </c>
      <c r="C4" s="168" t="s">
        <v>91</v>
      </c>
      <c r="D4" s="169" t="s">
        <v>92</v>
      </c>
      <c r="E4" s="168" t="s">
        <v>165</v>
      </c>
      <c r="F4" s="168" t="s">
        <v>166</v>
      </c>
      <c r="G4" s="198" t="s">
        <v>167</v>
      </c>
      <c r="H4" s="176" t="s">
        <v>168</v>
      </c>
      <c r="I4" s="173" t="s">
        <v>169</v>
      </c>
      <c r="J4" s="173" t="s">
        <v>107</v>
      </c>
      <c r="K4" s="170" t="s">
        <v>108</v>
      </c>
      <c r="L4" s="170" t="s">
        <v>109</v>
      </c>
      <c r="M4" s="170" t="s">
        <v>110</v>
      </c>
      <c r="N4" s="170" t="s">
        <v>111</v>
      </c>
      <c r="O4" s="170" t="s">
        <v>112</v>
      </c>
      <c r="P4" s="170" t="s">
        <v>113</v>
      </c>
      <c r="Q4" s="170" t="s">
        <v>114</v>
      </c>
      <c r="R4" s="170" t="s">
        <v>115</v>
      </c>
      <c r="S4" s="74" t="s">
        <v>170</v>
      </c>
      <c r="T4" s="74" t="s">
        <v>171</v>
      </c>
      <c r="U4" s="74" t="s">
        <v>172</v>
      </c>
      <c r="V4" s="74" t="s">
        <v>120</v>
      </c>
      <c r="W4" s="74" t="s">
        <v>121</v>
      </c>
      <c r="X4" s="19"/>
      <c r="Y4" s="19"/>
      <c r="Z4" s="19"/>
      <c r="AA4" s="19"/>
      <c r="AB4" s="19"/>
      <c r="AC4" s="19"/>
      <c r="AD4" s="19"/>
      <c r="AE4" s="19"/>
      <c r="AF4" s="19"/>
      <c r="AG4" s="19"/>
      <c r="AH4" s="19"/>
      <c r="AI4" s="19"/>
      <c r="AJ4" s="19"/>
      <c r="AK4" s="19"/>
      <c r="AL4" s="19"/>
      <c r="AM4" s="19"/>
      <c r="AN4" s="19"/>
      <c r="AO4" s="19"/>
      <c r="AP4" s="19"/>
      <c r="AQ4" s="19"/>
      <c r="AR4" s="19"/>
      <c r="AS4" s="19"/>
    </row>
    <row r="5" spans="1:45" x14ac:dyDescent="0.2">
      <c r="A5" s="3"/>
      <c r="B5" s="63">
        <v>1</v>
      </c>
      <c r="C5" s="61" t="str">
        <f>IFERROR(INDEX(Table_Prescript_Meas[Measure Number], MATCH(E5, Table_Prescript_Meas[Measure Description], 0)), "")</f>
        <v/>
      </c>
      <c r="D5" s="192"/>
      <c r="E5" s="179"/>
      <c r="F5" s="197"/>
      <c r="G5" s="179"/>
      <c r="H5" s="179"/>
      <c r="I5" s="181"/>
      <c r="J5" s="181"/>
      <c r="K5"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5" s="67" t="str">
        <f>IFERROR(Table_Controls_Input[[#This Row],[Per-unit incentive]]*Table_Controls_Input[[#This Row],[Quantity (Sensors/controller units)]],"")</f>
        <v/>
      </c>
      <c r="M5"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5"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5" s="67" t="str">
        <f t="shared" ref="O5:O68" si="0">IFERROR(M5*Input_AvgkWhRate, "")</f>
        <v/>
      </c>
      <c r="P5" s="67" t="str">
        <f>IF(Table_Controls_Input[[#This Row],[Per-unit incentive]]="","",Table_Controls_Input[[#This Row],[Total equipment cost]]+Table_Controls_Input[[#This Row],[Total labor cost]])</f>
        <v/>
      </c>
      <c r="Q5" s="67" t="str">
        <f>IFERROR(Table_Controls_Input[[#This Row],[Gross measure cost]]-Table_Controls_Input[[#This Row],[Estimated incentive]], "")</f>
        <v/>
      </c>
      <c r="R5" s="69" t="str">
        <f>IFERROR(Table_Controls_Input[[#This Row],[Net measure cost]]/Table_Controls_Input[[#This Row],[Cost savings]],"")</f>
        <v/>
      </c>
      <c r="S5" s="74" t="e">
        <f>INDEX(Table_Control_PAF[PAF], MATCH(Table_Controls_Input[[#This Row],[Existing lighting controls]], Table_Control_PAF[List_Control_Types], 0))</f>
        <v>#N/A</v>
      </c>
      <c r="T5" s="74" t="e">
        <f>INDEX(Table_Measure_PAF[Proposed PAF], MATCH(Table_Controls_Input[[#This Row],[Prescriptive control measure]], Table_Measure_PAF[List_Control_Measure], 0))</f>
        <v>#N/A</v>
      </c>
      <c r="U5" s="74" t="e">
        <f>INDEX(Table_Prescript_Meas[AOH Type], MATCH(Table_Controls_Input[[#This Row],[Measure number]],Table_Prescript_Meas[Measure Number], 0))</f>
        <v>#N/A</v>
      </c>
      <c r="V5" s="74" t="e">
        <f>INDEX(Table_Prescript_Meas[AOH Type], MATCH(Table_Controls_Input[[#This Row],[Measure number]], Table_Prescript_Meas[Measure Number],0))</f>
        <v>#N/A</v>
      </c>
      <c r="W5"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5" s="3"/>
      <c r="Y5" s="3"/>
      <c r="Z5" s="3"/>
      <c r="AA5" s="3"/>
      <c r="AB5" s="3"/>
      <c r="AC5" s="3"/>
      <c r="AD5" s="3"/>
      <c r="AE5" s="3"/>
      <c r="AF5" s="3"/>
      <c r="AG5" s="3"/>
      <c r="AH5" s="3"/>
      <c r="AI5" s="3"/>
      <c r="AJ5" s="3"/>
      <c r="AK5" s="3"/>
      <c r="AL5" s="3"/>
      <c r="AM5" s="3"/>
      <c r="AN5" s="3"/>
      <c r="AO5" s="3"/>
      <c r="AP5" s="3"/>
      <c r="AQ5" s="3"/>
      <c r="AR5" s="3"/>
      <c r="AS5" s="3"/>
    </row>
    <row r="6" spans="1:45" x14ac:dyDescent="0.2">
      <c r="A6" s="3"/>
      <c r="B6" s="63">
        <v>2</v>
      </c>
      <c r="C6" s="61" t="str">
        <f>IFERROR(INDEX(Table_Prescript_Meas[Measure Number], MATCH(E6, Table_Prescript_Meas[Measure Description], 0)), "")</f>
        <v/>
      </c>
      <c r="D6" s="192"/>
      <c r="E6" s="179"/>
      <c r="F6" s="197"/>
      <c r="G6" s="179"/>
      <c r="H6" s="179"/>
      <c r="I6" s="181"/>
      <c r="J6" s="181"/>
      <c r="K6"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6" s="67" t="str">
        <f>IFERROR(Table_Controls_Input[[#This Row],[Per-unit incentive]]*Table_Controls_Input[[#This Row],[Quantity (Sensors/controller units)]],"")</f>
        <v/>
      </c>
      <c r="M6"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6"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6" s="67" t="str">
        <f t="shared" si="0"/>
        <v/>
      </c>
      <c r="P6" s="67" t="str">
        <f>IF(Table_Controls_Input[[#This Row],[Per-unit incentive]]="","",Table_Controls_Input[[#This Row],[Total equipment cost]]+Table_Controls_Input[[#This Row],[Total labor cost]])</f>
        <v/>
      </c>
      <c r="Q6" s="67" t="str">
        <f>IFERROR(Table_Controls_Input[[#This Row],[Gross measure cost]]-Table_Controls_Input[[#This Row],[Estimated incentive]], "")</f>
        <v/>
      </c>
      <c r="R6" s="69" t="str">
        <f>IFERROR(Table_Controls_Input[[#This Row],[Net measure cost]]/Table_Controls_Input[[#This Row],[Cost savings]],"")</f>
        <v/>
      </c>
      <c r="S6" s="74" t="e">
        <f>INDEX(Table_Control_PAF[PAF], MATCH(Table_Controls_Input[[#This Row],[Existing lighting controls]], Table_Control_PAF[List_Control_Types], 0))</f>
        <v>#N/A</v>
      </c>
      <c r="T6" s="74" t="e">
        <f>INDEX(Table_Measure_PAF[Proposed PAF], MATCH(Table_Controls_Input[[#This Row],[Prescriptive control measure]], Table_Measure_PAF[List_Control_Measure], 0))</f>
        <v>#N/A</v>
      </c>
      <c r="U6" s="74" t="e">
        <f>INDEX(Table_Prescript_Meas[AOH Type], MATCH(Table_Controls_Input[[#This Row],[Measure number]],Table_Prescript_Meas[Measure Number], 0))</f>
        <v>#N/A</v>
      </c>
      <c r="V6" s="74" t="e">
        <f>INDEX(Table_Prescript_Meas[AOH Type], MATCH(Table_Controls_Input[[#This Row],[Measure number]], Table_Prescript_Meas[Measure Number],0))</f>
        <v>#N/A</v>
      </c>
      <c r="W6"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6" s="3"/>
      <c r="Y6" s="3"/>
      <c r="Z6" s="3"/>
      <c r="AA6" s="3"/>
      <c r="AB6" s="3"/>
      <c r="AC6" s="3"/>
      <c r="AD6" s="3"/>
      <c r="AE6" s="3"/>
      <c r="AF6" s="3"/>
      <c r="AG6" s="3"/>
      <c r="AH6" s="3"/>
      <c r="AI6" s="3"/>
      <c r="AJ6" s="3"/>
      <c r="AK6" s="3"/>
      <c r="AL6" s="3"/>
      <c r="AM6" s="3"/>
      <c r="AN6" s="3"/>
      <c r="AO6" s="3"/>
      <c r="AP6" s="3"/>
      <c r="AQ6" s="3"/>
      <c r="AR6" s="3"/>
      <c r="AS6" s="3"/>
    </row>
    <row r="7" spans="1:45" x14ac:dyDescent="0.2">
      <c r="A7" s="3"/>
      <c r="B7" s="63">
        <v>3</v>
      </c>
      <c r="C7" s="61" t="str">
        <f>IFERROR(INDEX(Table_Prescript_Meas[Measure Number], MATCH(E7, Table_Prescript_Meas[Measure Description], 0)), "")</f>
        <v/>
      </c>
      <c r="D7" s="192"/>
      <c r="E7" s="179"/>
      <c r="F7" s="197"/>
      <c r="G7" s="179"/>
      <c r="H7" s="179"/>
      <c r="I7" s="181"/>
      <c r="J7" s="181"/>
      <c r="K7"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7" s="67" t="str">
        <f>IFERROR(Table_Controls_Input[[#This Row],[Per-unit incentive]]*Table_Controls_Input[[#This Row],[Quantity (Sensors/controller units)]],"")</f>
        <v/>
      </c>
      <c r="M7"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7"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7" s="67" t="str">
        <f t="shared" si="0"/>
        <v/>
      </c>
      <c r="P7" s="67" t="str">
        <f>IF(Table_Controls_Input[[#This Row],[Per-unit incentive]]="","",Table_Controls_Input[[#This Row],[Total equipment cost]]+Table_Controls_Input[[#This Row],[Total labor cost]])</f>
        <v/>
      </c>
      <c r="Q7" s="67" t="str">
        <f>IFERROR(Table_Controls_Input[[#This Row],[Gross measure cost]]-Table_Controls_Input[[#This Row],[Estimated incentive]], "")</f>
        <v/>
      </c>
      <c r="R7" s="69" t="str">
        <f>IFERROR(Table_Controls_Input[[#This Row],[Net measure cost]]/Table_Controls_Input[[#This Row],[Cost savings]],"")</f>
        <v/>
      </c>
      <c r="S7" s="74" t="e">
        <f>INDEX(Table_Control_PAF[PAF], MATCH(Table_Controls_Input[[#This Row],[Existing lighting controls]], Table_Control_PAF[List_Control_Types], 0))</f>
        <v>#N/A</v>
      </c>
      <c r="T7" s="74" t="e">
        <f>INDEX(Table_Measure_PAF[Proposed PAF], MATCH(Table_Controls_Input[[#This Row],[Prescriptive control measure]], Table_Measure_PAF[List_Control_Measure], 0))</f>
        <v>#N/A</v>
      </c>
      <c r="U7" s="74" t="e">
        <f>INDEX(Table_Prescript_Meas[AOH Type], MATCH(Table_Controls_Input[[#This Row],[Measure number]],Table_Prescript_Meas[Measure Number], 0))</f>
        <v>#N/A</v>
      </c>
      <c r="V7" s="74" t="e">
        <f>INDEX(Table_Prescript_Meas[AOH Type], MATCH(Table_Controls_Input[[#This Row],[Measure number]], Table_Prescript_Meas[Measure Number],0))</f>
        <v>#N/A</v>
      </c>
      <c r="W7"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7" s="3"/>
      <c r="Y7" s="3"/>
      <c r="Z7" s="3"/>
      <c r="AA7" s="3"/>
      <c r="AB7" s="3"/>
      <c r="AC7" s="3"/>
      <c r="AD7" s="3"/>
      <c r="AE7" s="3"/>
      <c r="AF7" s="3"/>
      <c r="AG7" s="3"/>
      <c r="AH7" s="3"/>
      <c r="AI7" s="3"/>
      <c r="AJ7" s="3"/>
      <c r="AK7" s="3"/>
      <c r="AL7" s="3"/>
      <c r="AM7" s="3"/>
      <c r="AN7" s="3"/>
      <c r="AO7" s="3"/>
      <c r="AP7" s="3"/>
      <c r="AQ7" s="3"/>
      <c r="AR7" s="3"/>
      <c r="AS7" s="3"/>
    </row>
    <row r="8" spans="1:45" x14ac:dyDescent="0.2">
      <c r="A8" s="3"/>
      <c r="B8" s="63">
        <v>4</v>
      </c>
      <c r="C8" s="61" t="str">
        <f>IFERROR(INDEX(Table_Prescript_Meas[Measure Number], MATCH(E8, Table_Prescript_Meas[Measure Description], 0)), "")</f>
        <v/>
      </c>
      <c r="D8" s="192"/>
      <c r="E8" s="179"/>
      <c r="F8" s="197"/>
      <c r="G8" s="179"/>
      <c r="H8" s="179"/>
      <c r="I8" s="181"/>
      <c r="J8" s="181"/>
      <c r="K8"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8" s="67" t="str">
        <f>IFERROR(Table_Controls_Input[[#This Row],[Per-unit incentive]]*Table_Controls_Input[[#This Row],[Quantity (Sensors/controller units)]],"")</f>
        <v/>
      </c>
      <c r="M8"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8"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8" s="67" t="str">
        <f t="shared" si="0"/>
        <v/>
      </c>
      <c r="P8" s="67" t="str">
        <f>IF(Table_Controls_Input[[#This Row],[Per-unit incentive]]="","",Table_Controls_Input[[#This Row],[Total equipment cost]]+Table_Controls_Input[[#This Row],[Total labor cost]])</f>
        <v/>
      </c>
      <c r="Q8" s="67" t="str">
        <f>IFERROR(Table_Controls_Input[[#This Row],[Gross measure cost]]-Table_Controls_Input[[#This Row],[Estimated incentive]], "")</f>
        <v/>
      </c>
      <c r="R8" s="69" t="str">
        <f>IFERROR(Table_Controls_Input[[#This Row],[Net measure cost]]/Table_Controls_Input[[#This Row],[Cost savings]],"")</f>
        <v/>
      </c>
      <c r="S8" s="74" t="e">
        <f>INDEX(Table_Control_PAF[PAF], MATCH(Table_Controls_Input[[#This Row],[Existing lighting controls]], Table_Control_PAF[List_Control_Types], 0))</f>
        <v>#N/A</v>
      </c>
      <c r="T8" s="74" t="e">
        <f>INDEX(Table_Measure_PAF[Proposed PAF], MATCH(Table_Controls_Input[[#This Row],[Prescriptive control measure]], Table_Measure_PAF[List_Control_Measure], 0))</f>
        <v>#N/A</v>
      </c>
      <c r="U8" s="74" t="e">
        <f>INDEX(Table_Prescript_Meas[AOH Type], MATCH(Table_Controls_Input[[#This Row],[Measure number]],Table_Prescript_Meas[Measure Number], 0))</f>
        <v>#N/A</v>
      </c>
      <c r="V8" s="74" t="e">
        <f>INDEX(Table_Prescript_Meas[AOH Type], MATCH(Table_Controls_Input[[#This Row],[Measure number]], Table_Prescript_Meas[Measure Number],0))</f>
        <v>#N/A</v>
      </c>
      <c r="W8"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8" s="3"/>
      <c r="Y8" s="3"/>
      <c r="Z8" s="3"/>
      <c r="AA8" s="3"/>
      <c r="AB8" s="3"/>
      <c r="AC8" s="3"/>
      <c r="AD8" s="3"/>
      <c r="AE8" s="3"/>
      <c r="AF8" s="3"/>
      <c r="AG8" s="3"/>
      <c r="AH8" s="3"/>
      <c r="AI8" s="3"/>
      <c r="AJ8" s="3"/>
      <c r="AK8" s="3"/>
      <c r="AL8" s="3"/>
      <c r="AM8" s="3"/>
      <c r="AN8" s="3"/>
      <c r="AO8" s="3"/>
      <c r="AP8" s="3"/>
      <c r="AQ8" s="3"/>
      <c r="AR8" s="3"/>
      <c r="AS8" s="3"/>
    </row>
    <row r="9" spans="1:45" x14ac:dyDescent="0.2">
      <c r="A9" s="3"/>
      <c r="B9" s="63">
        <v>5</v>
      </c>
      <c r="C9" s="61" t="str">
        <f>IFERROR(INDEX(Table_Prescript_Meas[Measure Number], MATCH(E9, Table_Prescript_Meas[Measure Description], 0)), "")</f>
        <v/>
      </c>
      <c r="D9" s="192"/>
      <c r="E9" s="179"/>
      <c r="F9" s="197"/>
      <c r="G9" s="179"/>
      <c r="H9" s="179"/>
      <c r="I9" s="181"/>
      <c r="J9" s="181"/>
      <c r="K9"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9" s="67" t="str">
        <f>IFERROR(Table_Controls_Input[[#This Row],[Per-unit incentive]]*Table_Controls_Input[[#This Row],[Quantity (Sensors/controller units)]],"")</f>
        <v/>
      </c>
      <c r="M9"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9"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9" s="67" t="str">
        <f t="shared" si="0"/>
        <v/>
      </c>
      <c r="P9" s="67" t="str">
        <f>IF(Table_Controls_Input[[#This Row],[Per-unit incentive]]="","",Table_Controls_Input[[#This Row],[Total equipment cost]]+Table_Controls_Input[[#This Row],[Total labor cost]])</f>
        <v/>
      </c>
      <c r="Q9" s="67" t="str">
        <f>IFERROR(Table_Controls_Input[[#This Row],[Gross measure cost]]-Table_Controls_Input[[#This Row],[Estimated incentive]], "")</f>
        <v/>
      </c>
      <c r="R9" s="69" t="str">
        <f>IFERROR(Table_Controls_Input[[#This Row],[Net measure cost]]/Table_Controls_Input[[#This Row],[Cost savings]],"")</f>
        <v/>
      </c>
      <c r="S9" s="74" t="e">
        <f>INDEX(Table_Control_PAF[PAF], MATCH(Table_Controls_Input[[#This Row],[Existing lighting controls]], Table_Control_PAF[List_Control_Types], 0))</f>
        <v>#N/A</v>
      </c>
      <c r="T9" s="74" t="e">
        <f>INDEX(Table_Measure_PAF[Proposed PAF], MATCH(Table_Controls_Input[[#This Row],[Prescriptive control measure]], Table_Measure_PAF[List_Control_Measure], 0))</f>
        <v>#N/A</v>
      </c>
      <c r="U9" s="74" t="e">
        <f>INDEX(Table_Prescript_Meas[AOH Type], MATCH(Table_Controls_Input[[#This Row],[Measure number]],Table_Prescript_Meas[Measure Number], 0))</f>
        <v>#N/A</v>
      </c>
      <c r="V9" s="74" t="e">
        <f>INDEX(Table_Prescript_Meas[AOH Type], MATCH(Table_Controls_Input[[#This Row],[Measure number]], Table_Prescript_Meas[Measure Number],0))</f>
        <v>#N/A</v>
      </c>
      <c r="W9"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9" s="3"/>
      <c r="Y9" s="3"/>
      <c r="Z9" s="3"/>
      <c r="AA9" s="3"/>
      <c r="AB9" s="3"/>
      <c r="AC9" s="3"/>
      <c r="AD9" s="3"/>
      <c r="AE9" s="3"/>
      <c r="AF9" s="3"/>
      <c r="AG9" s="3"/>
      <c r="AH9" s="3"/>
      <c r="AI9" s="3"/>
      <c r="AJ9" s="3"/>
      <c r="AK9" s="3"/>
      <c r="AL9" s="3"/>
      <c r="AM9" s="3"/>
      <c r="AN9" s="3"/>
      <c r="AO9" s="3"/>
      <c r="AP9" s="3"/>
      <c r="AQ9" s="3"/>
      <c r="AR9" s="3"/>
      <c r="AS9" s="3"/>
    </row>
    <row r="10" spans="1:45" x14ac:dyDescent="0.2">
      <c r="A10" s="3"/>
      <c r="B10" s="63">
        <v>6</v>
      </c>
      <c r="C10" s="61" t="str">
        <f>IFERROR(INDEX(Table_Prescript_Meas[Measure Number], MATCH(E10, Table_Prescript_Meas[Measure Description], 0)), "")</f>
        <v/>
      </c>
      <c r="D10" s="192"/>
      <c r="E10" s="179"/>
      <c r="F10" s="197"/>
      <c r="G10" s="179"/>
      <c r="H10" s="179"/>
      <c r="I10" s="181"/>
      <c r="J10" s="181"/>
      <c r="K10"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0" s="67" t="str">
        <f>IFERROR(Table_Controls_Input[[#This Row],[Per-unit incentive]]*Table_Controls_Input[[#This Row],[Quantity (Sensors/controller units)]],"")</f>
        <v/>
      </c>
      <c r="M10"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0"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0" s="67" t="str">
        <f t="shared" si="0"/>
        <v/>
      </c>
      <c r="P10" s="67" t="str">
        <f>IF(Table_Controls_Input[[#This Row],[Per-unit incentive]]="","",Table_Controls_Input[[#This Row],[Total equipment cost]]+Table_Controls_Input[[#This Row],[Total labor cost]])</f>
        <v/>
      </c>
      <c r="Q10" s="67" t="str">
        <f>IFERROR(Table_Controls_Input[[#This Row],[Gross measure cost]]-Table_Controls_Input[[#This Row],[Estimated incentive]], "")</f>
        <v/>
      </c>
      <c r="R10" s="69" t="str">
        <f>IFERROR(Table_Controls_Input[[#This Row],[Net measure cost]]/Table_Controls_Input[[#This Row],[Cost savings]],"")</f>
        <v/>
      </c>
      <c r="S10" s="74" t="e">
        <f>INDEX(Table_Control_PAF[PAF], MATCH(Table_Controls_Input[[#This Row],[Existing lighting controls]], Table_Control_PAF[List_Control_Types], 0))</f>
        <v>#N/A</v>
      </c>
      <c r="T10" s="74" t="e">
        <f>INDEX(Table_Measure_PAF[Proposed PAF], MATCH(Table_Controls_Input[[#This Row],[Prescriptive control measure]], Table_Measure_PAF[List_Control_Measure], 0))</f>
        <v>#N/A</v>
      </c>
      <c r="U10" s="74" t="e">
        <f>INDEX(Table_Prescript_Meas[AOH Type], MATCH(Table_Controls_Input[[#This Row],[Measure number]],Table_Prescript_Meas[Measure Number], 0))</f>
        <v>#N/A</v>
      </c>
      <c r="V10" s="74" t="e">
        <f>INDEX(Table_Prescript_Meas[AOH Type], MATCH(Table_Controls_Input[[#This Row],[Measure number]], Table_Prescript_Meas[Measure Number],0))</f>
        <v>#N/A</v>
      </c>
      <c r="W10"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0" s="3"/>
      <c r="Y10" s="3"/>
      <c r="Z10" s="3"/>
      <c r="AA10" s="3"/>
      <c r="AB10" s="3"/>
      <c r="AC10" s="3"/>
      <c r="AD10" s="3"/>
      <c r="AE10" s="3"/>
      <c r="AF10" s="3"/>
      <c r="AG10" s="3"/>
      <c r="AH10" s="3"/>
      <c r="AI10" s="3"/>
      <c r="AJ10" s="3"/>
      <c r="AK10" s="3"/>
      <c r="AL10" s="3"/>
      <c r="AM10" s="3"/>
      <c r="AN10" s="3"/>
      <c r="AO10" s="3"/>
      <c r="AP10" s="3"/>
      <c r="AQ10" s="3"/>
      <c r="AR10" s="3"/>
      <c r="AS10" s="3"/>
    </row>
    <row r="11" spans="1:45" x14ac:dyDescent="0.2">
      <c r="A11" s="3"/>
      <c r="B11" s="63">
        <v>7</v>
      </c>
      <c r="C11" s="61" t="str">
        <f>IFERROR(INDEX(Table_Prescript_Meas[Measure Number], MATCH(E11, Table_Prescript_Meas[Measure Description], 0)), "")</f>
        <v/>
      </c>
      <c r="D11" s="192"/>
      <c r="E11" s="179"/>
      <c r="F11" s="197"/>
      <c r="G11" s="179"/>
      <c r="H11" s="179"/>
      <c r="I11" s="181"/>
      <c r="J11" s="181"/>
      <c r="K11"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1" s="67" t="str">
        <f>IFERROR(Table_Controls_Input[[#This Row],[Per-unit incentive]]*Table_Controls_Input[[#This Row],[Quantity (Sensors/controller units)]],"")</f>
        <v/>
      </c>
      <c r="M11"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1"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1" s="67" t="str">
        <f t="shared" si="0"/>
        <v/>
      </c>
      <c r="P11" s="67" t="str">
        <f>IF(Table_Controls_Input[[#This Row],[Per-unit incentive]]="","",Table_Controls_Input[[#This Row],[Total equipment cost]]+Table_Controls_Input[[#This Row],[Total labor cost]])</f>
        <v/>
      </c>
      <c r="Q11" s="67" t="str">
        <f>IFERROR(Table_Controls_Input[[#This Row],[Gross measure cost]]-Table_Controls_Input[[#This Row],[Estimated incentive]], "")</f>
        <v/>
      </c>
      <c r="R11" s="69" t="str">
        <f>IFERROR(Table_Controls_Input[[#This Row],[Net measure cost]]/Table_Controls_Input[[#This Row],[Cost savings]],"")</f>
        <v/>
      </c>
      <c r="S11" s="74" t="e">
        <f>INDEX(Table_Control_PAF[PAF], MATCH(Table_Controls_Input[[#This Row],[Existing lighting controls]], Table_Control_PAF[List_Control_Types], 0))</f>
        <v>#N/A</v>
      </c>
      <c r="T11" s="74" t="e">
        <f>INDEX(Table_Measure_PAF[Proposed PAF], MATCH(Table_Controls_Input[[#This Row],[Prescriptive control measure]], Table_Measure_PAF[List_Control_Measure], 0))</f>
        <v>#N/A</v>
      </c>
      <c r="U11" s="74" t="e">
        <f>INDEX(Table_Prescript_Meas[AOH Type], MATCH(Table_Controls_Input[[#This Row],[Measure number]],Table_Prescript_Meas[Measure Number], 0))</f>
        <v>#N/A</v>
      </c>
      <c r="V11" s="74" t="e">
        <f>INDEX(Table_Prescript_Meas[AOH Type], MATCH(Table_Controls_Input[[#This Row],[Measure number]], Table_Prescript_Meas[Measure Number],0))</f>
        <v>#N/A</v>
      </c>
      <c r="W11"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1" s="3"/>
      <c r="Y11" s="3"/>
      <c r="Z11" s="3"/>
      <c r="AA11" s="3"/>
      <c r="AB11" s="3"/>
      <c r="AC11" s="3"/>
      <c r="AD11" s="3"/>
      <c r="AE11" s="3"/>
      <c r="AF11" s="3"/>
      <c r="AG11" s="3"/>
      <c r="AH11" s="3"/>
      <c r="AI11" s="3"/>
      <c r="AJ11" s="3"/>
      <c r="AK11" s="3"/>
      <c r="AL11" s="3"/>
      <c r="AM11" s="3"/>
      <c r="AN11" s="3"/>
      <c r="AO11" s="3"/>
      <c r="AP11" s="3"/>
      <c r="AQ11" s="3"/>
      <c r="AR11" s="3"/>
      <c r="AS11" s="3"/>
    </row>
    <row r="12" spans="1:45" x14ac:dyDescent="0.2">
      <c r="A12" s="3"/>
      <c r="B12" s="63">
        <v>8</v>
      </c>
      <c r="C12" s="61" t="str">
        <f>IFERROR(INDEX(Table_Prescript_Meas[Measure Number], MATCH(E12, Table_Prescript_Meas[Measure Description], 0)), "")</f>
        <v/>
      </c>
      <c r="D12" s="192"/>
      <c r="E12" s="179"/>
      <c r="F12" s="197"/>
      <c r="G12" s="179"/>
      <c r="H12" s="179"/>
      <c r="I12" s="181"/>
      <c r="J12" s="181"/>
      <c r="K12"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2" s="67" t="str">
        <f>IFERROR(Table_Controls_Input[[#This Row],[Per-unit incentive]]*Table_Controls_Input[[#This Row],[Quantity (Sensors/controller units)]],"")</f>
        <v/>
      </c>
      <c r="M12"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2"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2" s="67" t="str">
        <f t="shared" si="0"/>
        <v/>
      </c>
      <c r="P12" s="67" t="str">
        <f>IF(Table_Controls_Input[[#This Row],[Per-unit incentive]]="","",Table_Controls_Input[[#This Row],[Total equipment cost]]+Table_Controls_Input[[#This Row],[Total labor cost]])</f>
        <v/>
      </c>
      <c r="Q12" s="67" t="str">
        <f>IFERROR(Table_Controls_Input[[#This Row],[Gross measure cost]]-Table_Controls_Input[[#This Row],[Estimated incentive]], "")</f>
        <v/>
      </c>
      <c r="R12" s="69" t="str">
        <f>IFERROR(Table_Controls_Input[[#This Row],[Net measure cost]]/Table_Controls_Input[[#This Row],[Cost savings]],"")</f>
        <v/>
      </c>
      <c r="S12" s="74" t="e">
        <f>INDEX(Table_Control_PAF[PAF], MATCH(Table_Controls_Input[[#This Row],[Existing lighting controls]], Table_Control_PAF[List_Control_Types], 0))</f>
        <v>#N/A</v>
      </c>
      <c r="T12" s="74" t="e">
        <f>INDEX(Table_Measure_PAF[Proposed PAF], MATCH(Table_Controls_Input[[#This Row],[Prescriptive control measure]], Table_Measure_PAF[List_Control_Measure], 0))</f>
        <v>#N/A</v>
      </c>
      <c r="U12" s="74" t="e">
        <f>INDEX(Table_Prescript_Meas[AOH Type], MATCH(Table_Controls_Input[[#This Row],[Measure number]],Table_Prescript_Meas[Measure Number], 0))</f>
        <v>#N/A</v>
      </c>
      <c r="V12" s="74" t="e">
        <f>INDEX(Table_Prescript_Meas[AOH Type], MATCH(Table_Controls_Input[[#This Row],[Measure number]], Table_Prescript_Meas[Measure Number],0))</f>
        <v>#N/A</v>
      </c>
      <c r="W12"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2" s="3"/>
      <c r="Y12" s="3"/>
      <c r="Z12" s="3"/>
      <c r="AA12" s="3"/>
      <c r="AB12" s="3"/>
      <c r="AC12" s="3"/>
      <c r="AD12" s="3"/>
      <c r="AE12" s="3"/>
      <c r="AF12" s="3"/>
      <c r="AG12" s="3"/>
      <c r="AH12" s="3"/>
      <c r="AI12" s="3"/>
      <c r="AJ12" s="3"/>
      <c r="AK12" s="3"/>
      <c r="AL12" s="3"/>
      <c r="AM12" s="3"/>
      <c r="AN12" s="3"/>
      <c r="AO12" s="3"/>
      <c r="AP12" s="3"/>
      <c r="AQ12" s="3"/>
      <c r="AR12" s="3"/>
      <c r="AS12" s="3"/>
    </row>
    <row r="13" spans="1:45" x14ac:dyDescent="0.2">
      <c r="A13" s="3"/>
      <c r="B13" s="63">
        <v>9</v>
      </c>
      <c r="C13" s="61" t="str">
        <f>IFERROR(INDEX(Table_Prescript_Meas[Measure Number], MATCH(E13, Table_Prescript_Meas[Measure Description], 0)), "")</f>
        <v/>
      </c>
      <c r="D13" s="192"/>
      <c r="E13" s="179"/>
      <c r="F13" s="197"/>
      <c r="G13" s="179"/>
      <c r="H13" s="179"/>
      <c r="I13" s="181"/>
      <c r="J13" s="181"/>
      <c r="K13"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3" s="67" t="str">
        <f>IFERROR(Table_Controls_Input[[#This Row],[Per-unit incentive]]*Table_Controls_Input[[#This Row],[Quantity (Sensors/controller units)]],"")</f>
        <v/>
      </c>
      <c r="M13"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3"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3" s="67" t="str">
        <f t="shared" si="0"/>
        <v/>
      </c>
      <c r="P13" s="67" t="str">
        <f>IF(Table_Controls_Input[[#This Row],[Per-unit incentive]]="","",Table_Controls_Input[[#This Row],[Total equipment cost]]+Table_Controls_Input[[#This Row],[Total labor cost]])</f>
        <v/>
      </c>
      <c r="Q13" s="67" t="str">
        <f>IFERROR(Table_Controls_Input[[#This Row],[Gross measure cost]]-Table_Controls_Input[[#This Row],[Estimated incentive]], "")</f>
        <v/>
      </c>
      <c r="R13" s="69" t="str">
        <f>IFERROR(Table_Controls_Input[[#This Row],[Net measure cost]]/Table_Controls_Input[[#This Row],[Cost savings]],"")</f>
        <v/>
      </c>
      <c r="S13" s="74" t="e">
        <f>INDEX(Table_Control_PAF[PAF], MATCH(Table_Controls_Input[[#This Row],[Existing lighting controls]], Table_Control_PAF[List_Control_Types], 0))</f>
        <v>#N/A</v>
      </c>
      <c r="T13" s="74" t="e">
        <f>INDEX(Table_Measure_PAF[Proposed PAF], MATCH(Table_Controls_Input[[#This Row],[Prescriptive control measure]], Table_Measure_PAF[List_Control_Measure], 0))</f>
        <v>#N/A</v>
      </c>
      <c r="U13" s="74" t="e">
        <f>INDEX(Table_Prescript_Meas[AOH Type], MATCH(Table_Controls_Input[[#This Row],[Measure number]],Table_Prescript_Meas[Measure Number], 0))</f>
        <v>#N/A</v>
      </c>
      <c r="V13" s="74" t="e">
        <f>INDEX(Table_Prescript_Meas[AOH Type], MATCH(Table_Controls_Input[[#This Row],[Measure number]], Table_Prescript_Meas[Measure Number],0))</f>
        <v>#N/A</v>
      </c>
      <c r="W13"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3" s="3"/>
      <c r="Y13" s="3"/>
      <c r="Z13" s="3"/>
      <c r="AA13" s="3"/>
      <c r="AB13" s="3"/>
      <c r="AC13" s="3"/>
      <c r="AD13" s="3"/>
      <c r="AE13" s="3"/>
      <c r="AF13" s="3"/>
      <c r="AG13" s="3"/>
      <c r="AH13" s="3"/>
      <c r="AI13" s="3"/>
      <c r="AJ13" s="3"/>
      <c r="AK13" s="3"/>
      <c r="AL13" s="3"/>
      <c r="AM13" s="3"/>
      <c r="AN13" s="3"/>
      <c r="AO13" s="3"/>
      <c r="AP13" s="3"/>
      <c r="AQ13" s="3"/>
      <c r="AR13" s="3"/>
      <c r="AS13" s="3"/>
    </row>
    <row r="14" spans="1:45" x14ac:dyDescent="0.2">
      <c r="A14" s="3"/>
      <c r="B14" s="63">
        <v>10</v>
      </c>
      <c r="C14" s="61" t="str">
        <f>IFERROR(INDEX(Table_Prescript_Meas[Measure Number], MATCH(E14, Table_Prescript_Meas[Measure Description], 0)), "")</f>
        <v/>
      </c>
      <c r="D14" s="192"/>
      <c r="E14" s="179"/>
      <c r="F14" s="197"/>
      <c r="G14" s="179"/>
      <c r="H14" s="179"/>
      <c r="I14" s="181"/>
      <c r="J14" s="181"/>
      <c r="K14"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4" s="67" t="str">
        <f>IFERROR(Table_Controls_Input[[#This Row],[Per-unit incentive]]*Table_Controls_Input[[#This Row],[Quantity (Sensors/controller units)]],"")</f>
        <v/>
      </c>
      <c r="M14"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4"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4" s="67" t="str">
        <f t="shared" si="0"/>
        <v/>
      </c>
      <c r="P14" s="67" t="str">
        <f>IF(Table_Controls_Input[[#This Row],[Per-unit incentive]]="","",Table_Controls_Input[[#This Row],[Total equipment cost]]+Table_Controls_Input[[#This Row],[Total labor cost]])</f>
        <v/>
      </c>
      <c r="Q14" s="67" t="str">
        <f>IFERROR(Table_Controls_Input[[#This Row],[Gross measure cost]]-Table_Controls_Input[[#This Row],[Estimated incentive]], "")</f>
        <v/>
      </c>
      <c r="R14" s="69" t="str">
        <f>IFERROR(Table_Controls_Input[[#This Row],[Net measure cost]]/Table_Controls_Input[[#This Row],[Cost savings]],"")</f>
        <v/>
      </c>
      <c r="S14" s="74" t="e">
        <f>INDEX(Table_Control_PAF[PAF], MATCH(Table_Controls_Input[[#This Row],[Existing lighting controls]], Table_Control_PAF[List_Control_Types], 0))</f>
        <v>#N/A</v>
      </c>
      <c r="T14" s="74" t="e">
        <f>INDEX(Table_Measure_PAF[Proposed PAF], MATCH(Table_Controls_Input[[#This Row],[Prescriptive control measure]], Table_Measure_PAF[List_Control_Measure], 0))</f>
        <v>#N/A</v>
      </c>
      <c r="U14" s="74" t="e">
        <f>INDEX(Table_Prescript_Meas[AOH Type], MATCH(Table_Controls_Input[[#This Row],[Measure number]],Table_Prescript_Meas[Measure Number], 0))</f>
        <v>#N/A</v>
      </c>
      <c r="V14" s="74" t="e">
        <f>INDEX(Table_Prescript_Meas[AOH Type], MATCH(Table_Controls_Input[[#This Row],[Measure number]], Table_Prescript_Meas[Measure Number],0))</f>
        <v>#N/A</v>
      </c>
      <c r="W14"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4" s="3"/>
      <c r="Y14" s="3"/>
      <c r="Z14" s="3"/>
      <c r="AA14" s="3"/>
      <c r="AB14" s="3"/>
      <c r="AC14" s="3"/>
      <c r="AD14" s="3"/>
      <c r="AE14" s="3"/>
      <c r="AF14" s="3"/>
      <c r="AG14" s="3"/>
      <c r="AH14" s="3"/>
      <c r="AI14" s="3"/>
      <c r="AJ14" s="3"/>
      <c r="AK14" s="3"/>
      <c r="AL14" s="3"/>
      <c r="AM14" s="3"/>
      <c r="AN14" s="3"/>
      <c r="AO14" s="3"/>
      <c r="AP14" s="3"/>
      <c r="AQ14" s="3"/>
      <c r="AR14" s="3"/>
      <c r="AS14" s="3"/>
    </row>
    <row r="15" spans="1:45" x14ac:dyDescent="0.2">
      <c r="A15" s="3"/>
      <c r="B15" s="63">
        <v>11</v>
      </c>
      <c r="C15" s="61" t="str">
        <f>IFERROR(INDEX(Table_Prescript_Meas[Measure Number], MATCH(E15, Table_Prescript_Meas[Measure Description], 0)), "")</f>
        <v/>
      </c>
      <c r="D15" s="192"/>
      <c r="E15" s="179"/>
      <c r="F15" s="197"/>
      <c r="G15" s="179"/>
      <c r="H15" s="179"/>
      <c r="I15" s="181"/>
      <c r="J15" s="181"/>
      <c r="K15"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5" s="67" t="str">
        <f>IFERROR(Table_Controls_Input[[#This Row],[Per-unit incentive]]*Table_Controls_Input[[#This Row],[Quantity (Sensors/controller units)]],"")</f>
        <v/>
      </c>
      <c r="M15"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5"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5" s="67" t="str">
        <f t="shared" si="0"/>
        <v/>
      </c>
      <c r="P15" s="67" t="str">
        <f>IF(Table_Controls_Input[[#This Row],[Per-unit incentive]]="","",Table_Controls_Input[[#This Row],[Total equipment cost]]+Table_Controls_Input[[#This Row],[Total labor cost]])</f>
        <v/>
      </c>
      <c r="Q15" s="67" t="str">
        <f>IFERROR(Table_Controls_Input[[#This Row],[Gross measure cost]]-Table_Controls_Input[[#This Row],[Estimated incentive]], "")</f>
        <v/>
      </c>
      <c r="R15" s="69" t="str">
        <f>IFERROR(Table_Controls_Input[[#This Row],[Net measure cost]]/Table_Controls_Input[[#This Row],[Cost savings]],"")</f>
        <v/>
      </c>
      <c r="S15" s="74" t="e">
        <f>INDEX(Table_Control_PAF[PAF], MATCH(Table_Controls_Input[[#This Row],[Existing lighting controls]], Table_Control_PAF[List_Control_Types], 0))</f>
        <v>#N/A</v>
      </c>
      <c r="T15" s="74" t="e">
        <f>INDEX(Table_Measure_PAF[Proposed PAF], MATCH(Table_Controls_Input[[#This Row],[Prescriptive control measure]], Table_Measure_PAF[List_Control_Measure], 0))</f>
        <v>#N/A</v>
      </c>
      <c r="U15" s="74" t="e">
        <f>INDEX(Table_Prescript_Meas[AOH Type], MATCH(Table_Controls_Input[[#This Row],[Measure number]],Table_Prescript_Meas[Measure Number], 0))</f>
        <v>#N/A</v>
      </c>
      <c r="V15" s="74" t="e">
        <f>INDEX(Table_Prescript_Meas[AOH Type], MATCH(Table_Controls_Input[[#This Row],[Measure number]], Table_Prescript_Meas[Measure Number],0))</f>
        <v>#N/A</v>
      </c>
      <c r="W15"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5" s="3"/>
      <c r="Y15" s="3"/>
      <c r="Z15" s="3"/>
      <c r="AA15" s="3"/>
      <c r="AB15" s="3"/>
      <c r="AC15" s="3"/>
      <c r="AD15" s="3"/>
      <c r="AE15" s="3"/>
      <c r="AF15" s="3"/>
      <c r="AG15" s="3"/>
      <c r="AH15" s="3"/>
      <c r="AI15" s="3"/>
      <c r="AJ15" s="3"/>
      <c r="AK15" s="3"/>
      <c r="AL15" s="3"/>
      <c r="AM15" s="3"/>
      <c r="AN15" s="3"/>
      <c r="AO15" s="3"/>
      <c r="AP15" s="3"/>
      <c r="AQ15" s="3"/>
      <c r="AR15" s="3"/>
      <c r="AS15" s="3"/>
    </row>
    <row r="16" spans="1:45" x14ac:dyDescent="0.2">
      <c r="A16" s="3"/>
      <c r="B16" s="63">
        <v>12</v>
      </c>
      <c r="C16" s="61" t="str">
        <f>IFERROR(INDEX(Table_Prescript_Meas[Measure Number], MATCH(E16, Table_Prescript_Meas[Measure Description], 0)), "")</f>
        <v/>
      </c>
      <c r="D16" s="192"/>
      <c r="E16" s="179"/>
      <c r="F16" s="197"/>
      <c r="G16" s="179"/>
      <c r="H16" s="179"/>
      <c r="I16" s="181"/>
      <c r="J16" s="181"/>
      <c r="K16"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6" s="67" t="str">
        <f>IFERROR(Table_Controls_Input[[#This Row],[Per-unit incentive]]*Table_Controls_Input[[#This Row],[Quantity (Sensors/controller units)]],"")</f>
        <v/>
      </c>
      <c r="M16"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6"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6" s="67" t="str">
        <f t="shared" si="0"/>
        <v/>
      </c>
      <c r="P16" s="67" t="str">
        <f>IF(Table_Controls_Input[[#This Row],[Per-unit incentive]]="","",Table_Controls_Input[[#This Row],[Total equipment cost]]+Table_Controls_Input[[#This Row],[Total labor cost]])</f>
        <v/>
      </c>
      <c r="Q16" s="67" t="str">
        <f>IFERROR(Table_Controls_Input[[#This Row],[Gross measure cost]]-Table_Controls_Input[[#This Row],[Estimated incentive]], "")</f>
        <v/>
      </c>
      <c r="R16" s="69" t="str">
        <f>IFERROR(Table_Controls_Input[[#This Row],[Net measure cost]]/Table_Controls_Input[[#This Row],[Cost savings]],"")</f>
        <v/>
      </c>
      <c r="S16" s="74" t="e">
        <f>INDEX(Table_Control_PAF[PAF], MATCH(Table_Controls_Input[[#This Row],[Existing lighting controls]], Table_Control_PAF[List_Control_Types], 0))</f>
        <v>#N/A</v>
      </c>
      <c r="T16" s="74" t="e">
        <f>INDEX(Table_Measure_PAF[Proposed PAF], MATCH(Table_Controls_Input[[#This Row],[Prescriptive control measure]], Table_Measure_PAF[List_Control_Measure], 0))</f>
        <v>#N/A</v>
      </c>
      <c r="U16" s="74" t="e">
        <f>INDEX(Table_Prescript_Meas[AOH Type], MATCH(Table_Controls_Input[[#This Row],[Measure number]],Table_Prescript_Meas[Measure Number], 0))</f>
        <v>#N/A</v>
      </c>
      <c r="V16" s="74" t="e">
        <f>INDEX(Table_Prescript_Meas[AOH Type], MATCH(Table_Controls_Input[[#This Row],[Measure number]], Table_Prescript_Meas[Measure Number],0))</f>
        <v>#N/A</v>
      </c>
      <c r="W16"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6" s="3"/>
      <c r="Y16" s="3"/>
      <c r="Z16" s="3"/>
      <c r="AA16" s="3"/>
      <c r="AB16" s="3"/>
      <c r="AC16" s="3"/>
      <c r="AD16" s="3"/>
      <c r="AE16" s="3"/>
      <c r="AF16" s="3"/>
      <c r="AG16" s="3"/>
      <c r="AH16" s="3"/>
      <c r="AI16" s="3"/>
      <c r="AJ16" s="3"/>
      <c r="AK16" s="3"/>
      <c r="AL16" s="3"/>
      <c r="AM16" s="3"/>
      <c r="AN16" s="3"/>
      <c r="AO16" s="3"/>
      <c r="AP16" s="3"/>
      <c r="AQ16" s="3"/>
      <c r="AR16" s="3"/>
      <c r="AS16" s="3"/>
    </row>
    <row r="17" spans="1:45" x14ac:dyDescent="0.2">
      <c r="A17" s="3"/>
      <c r="B17" s="63">
        <v>13</v>
      </c>
      <c r="C17" s="61" t="str">
        <f>IFERROR(INDEX(Table_Prescript_Meas[Measure Number], MATCH(E17, Table_Prescript_Meas[Measure Description], 0)), "")</f>
        <v/>
      </c>
      <c r="D17" s="192"/>
      <c r="E17" s="179"/>
      <c r="F17" s="197"/>
      <c r="G17" s="179"/>
      <c r="H17" s="179"/>
      <c r="I17" s="181"/>
      <c r="J17" s="181"/>
      <c r="K17"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7" s="67" t="str">
        <f>IFERROR(Table_Controls_Input[[#This Row],[Per-unit incentive]]*Table_Controls_Input[[#This Row],[Quantity (Sensors/controller units)]],"")</f>
        <v/>
      </c>
      <c r="M17"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7"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7" s="67" t="str">
        <f t="shared" si="0"/>
        <v/>
      </c>
      <c r="P17" s="67" t="str">
        <f>IF(Table_Controls_Input[[#This Row],[Per-unit incentive]]="","",Table_Controls_Input[[#This Row],[Total equipment cost]]+Table_Controls_Input[[#This Row],[Total labor cost]])</f>
        <v/>
      </c>
      <c r="Q17" s="67" t="str">
        <f>IFERROR(Table_Controls_Input[[#This Row],[Gross measure cost]]-Table_Controls_Input[[#This Row],[Estimated incentive]], "")</f>
        <v/>
      </c>
      <c r="R17" s="69" t="str">
        <f>IFERROR(Table_Controls_Input[[#This Row],[Net measure cost]]/Table_Controls_Input[[#This Row],[Cost savings]],"")</f>
        <v/>
      </c>
      <c r="S17" s="74" t="e">
        <f>INDEX(Table_Control_PAF[PAF], MATCH(Table_Controls_Input[[#This Row],[Existing lighting controls]], Table_Control_PAF[List_Control_Types], 0))</f>
        <v>#N/A</v>
      </c>
      <c r="T17" s="74" t="e">
        <f>INDEX(Table_Measure_PAF[Proposed PAF], MATCH(Table_Controls_Input[[#This Row],[Prescriptive control measure]], Table_Measure_PAF[List_Control_Measure], 0))</f>
        <v>#N/A</v>
      </c>
      <c r="U17" s="74" t="e">
        <f>INDEX(Table_Prescript_Meas[AOH Type], MATCH(Table_Controls_Input[[#This Row],[Measure number]],Table_Prescript_Meas[Measure Number], 0))</f>
        <v>#N/A</v>
      </c>
      <c r="V17" s="74" t="e">
        <f>INDEX(Table_Prescript_Meas[AOH Type], MATCH(Table_Controls_Input[[#This Row],[Measure number]], Table_Prescript_Meas[Measure Number],0))</f>
        <v>#N/A</v>
      </c>
      <c r="W17"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7" s="3"/>
      <c r="Y17" s="3"/>
      <c r="Z17" s="3"/>
      <c r="AA17" s="3"/>
      <c r="AB17" s="3"/>
      <c r="AC17" s="3"/>
      <c r="AD17" s="3"/>
      <c r="AE17" s="3"/>
      <c r="AF17" s="3"/>
      <c r="AG17" s="3"/>
      <c r="AH17" s="3"/>
      <c r="AI17" s="3"/>
      <c r="AJ17" s="3"/>
      <c r="AK17" s="3"/>
      <c r="AL17" s="3"/>
      <c r="AM17" s="3"/>
      <c r="AN17" s="3"/>
      <c r="AO17" s="3"/>
      <c r="AP17" s="3"/>
      <c r="AQ17" s="3"/>
      <c r="AR17" s="3"/>
      <c r="AS17" s="3"/>
    </row>
    <row r="18" spans="1:45" x14ac:dyDescent="0.2">
      <c r="A18" s="3"/>
      <c r="B18" s="63">
        <v>14</v>
      </c>
      <c r="C18" s="61" t="str">
        <f>IFERROR(INDEX(Table_Prescript_Meas[Measure Number], MATCH(E18, Table_Prescript_Meas[Measure Description], 0)), "")</f>
        <v/>
      </c>
      <c r="D18" s="192"/>
      <c r="E18" s="179"/>
      <c r="F18" s="197"/>
      <c r="G18" s="179"/>
      <c r="H18" s="179"/>
      <c r="I18" s="181"/>
      <c r="J18" s="181"/>
      <c r="K18"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8" s="67" t="str">
        <f>IFERROR(Table_Controls_Input[[#This Row],[Per-unit incentive]]*Table_Controls_Input[[#This Row],[Quantity (Sensors/controller units)]],"")</f>
        <v/>
      </c>
      <c r="M18"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8"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8" s="67" t="str">
        <f t="shared" si="0"/>
        <v/>
      </c>
      <c r="P18" s="67" t="str">
        <f>IF(Table_Controls_Input[[#This Row],[Per-unit incentive]]="","",Table_Controls_Input[[#This Row],[Total equipment cost]]+Table_Controls_Input[[#This Row],[Total labor cost]])</f>
        <v/>
      </c>
      <c r="Q18" s="67" t="str">
        <f>IFERROR(Table_Controls_Input[[#This Row],[Gross measure cost]]-Table_Controls_Input[[#This Row],[Estimated incentive]], "")</f>
        <v/>
      </c>
      <c r="R18" s="69" t="str">
        <f>IFERROR(Table_Controls_Input[[#This Row],[Net measure cost]]/Table_Controls_Input[[#This Row],[Cost savings]],"")</f>
        <v/>
      </c>
      <c r="S18" s="74" t="e">
        <f>INDEX(Table_Control_PAF[PAF], MATCH(Table_Controls_Input[[#This Row],[Existing lighting controls]], Table_Control_PAF[List_Control_Types], 0))</f>
        <v>#N/A</v>
      </c>
      <c r="T18" s="74" t="e">
        <f>INDEX(Table_Measure_PAF[Proposed PAF], MATCH(Table_Controls_Input[[#This Row],[Prescriptive control measure]], Table_Measure_PAF[List_Control_Measure], 0))</f>
        <v>#N/A</v>
      </c>
      <c r="U18" s="74" t="e">
        <f>INDEX(Table_Prescript_Meas[AOH Type], MATCH(Table_Controls_Input[[#This Row],[Measure number]],Table_Prescript_Meas[Measure Number], 0))</f>
        <v>#N/A</v>
      </c>
      <c r="V18" s="74" t="e">
        <f>INDEX(Table_Prescript_Meas[AOH Type], MATCH(Table_Controls_Input[[#This Row],[Measure number]], Table_Prescript_Meas[Measure Number],0))</f>
        <v>#N/A</v>
      </c>
      <c r="W18"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8" s="3"/>
      <c r="Y18" s="3"/>
      <c r="Z18" s="3"/>
      <c r="AA18" s="3"/>
      <c r="AB18" s="3"/>
      <c r="AC18" s="3"/>
      <c r="AD18" s="3"/>
      <c r="AE18" s="3"/>
      <c r="AF18" s="3"/>
      <c r="AG18" s="3"/>
      <c r="AH18" s="3"/>
      <c r="AI18" s="3"/>
      <c r="AJ18" s="3"/>
      <c r="AK18" s="3"/>
      <c r="AL18" s="3"/>
      <c r="AM18" s="3"/>
      <c r="AN18" s="3"/>
      <c r="AO18" s="3"/>
      <c r="AP18" s="3"/>
      <c r="AQ18" s="3"/>
      <c r="AR18" s="3"/>
      <c r="AS18" s="3"/>
    </row>
    <row r="19" spans="1:45" x14ac:dyDescent="0.2">
      <c r="A19" s="3"/>
      <c r="B19" s="63">
        <v>15</v>
      </c>
      <c r="C19" s="61" t="str">
        <f>IFERROR(INDEX(Table_Prescript_Meas[Measure Number], MATCH(E19, Table_Prescript_Meas[Measure Description], 0)), "")</f>
        <v/>
      </c>
      <c r="D19" s="192"/>
      <c r="E19" s="179"/>
      <c r="F19" s="197"/>
      <c r="G19" s="179"/>
      <c r="H19" s="179"/>
      <c r="I19" s="181"/>
      <c r="J19" s="181"/>
      <c r="K19"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9" s="67" t="str">
        <f>IFERROR(Table_Controls_Input[[#This Row],[Per-unit incentive]]*Table_Controls_Input[[#This Row],[Quantity (Sensors/controller units)]],"")</f>
        <v/>
      </c>
      <c r="M19"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9"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9" s="67" t="str">
        <f t="shared" si="0"/>
        <v/>
      </c>
      <c r="P19" s="67" t="str">
        <f>IF(Table_Controls_Input[[#This Row],[Per-unit incentive]]="","",Table_Controls_Input[[#This Row],[Total equipment cost]]+Table_Controls_Input[[#This Row],[Total labor cost]])</f>
        <v/>
      </c>
      <c r="Q19" s="67" t="str">
        <f>IFERROR(Table_Controls_Input[[#This Row],[Gross measure cost]]-Table_Controls_Input[[#This Row],[Estimated incentive]], "")</f>
        <v/>
      </c>
      <c r="R19" s="69" t="str">
        <f>IFERROR(Table_Controls_Input[[#This Row],[Net measure cost]]/Table_Controls_Input[[#This Row],[Cost savings]],"")</f>
        <v/>
      </c>
      <c r="S19" s="74" t="e">
        <f>INDEX(Table_Control_PAF[PAF], MATCH(Table_Controls_Input[[#This Row],[Existing lighting controls]], Table_Control_PAF[List_Control_Types], 0))</f>
        <v>#N/A</v>
      </c>
      <c r="T19" s="74" t="e">
        <f>INDEX(Table_Measure_PAF[Proposed PAF], MATCH(Table_Controls_Input[[#This Row],[Prescriptive control measure]], Table_Measure_PAF[List_Control_Measure], 0))</f>
        <v>#N/A</v>
      </c>
      <c r="U19" s="74" t="e">
        <f>INDEX(Table_Prescript_Meas[AOH Type], MATCH(Table_Controls_Input[[#This Row],[Measure number]],Table_Prescript_Meas[Measure Number], 0))</f>
        <v>#N/A</v>
      </c>
      <c r="V19" s="74" t="e">
        <f>INDEX(Table_Prescript_Meas[AOH Type], MATCH(Table_Controls_Input[[#This Row],[Measure number]], Table_Prescript_Meas[Measure Number],0))</f>
        <v>#N/A</v>
      </c>
      <c r="W19"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9" s="3"/>
      <c r="Y19" s="3"/>
      <c r="Z19" s="3"/>
      <c r="AA19" s="3"/>
      <c r="AB19" s="3"/>
      <c r="AC19" s="3"/>
      <c r="AD19" s="3"/>
      <c r="AE19" s="3"/>
      <c r="AF19" s="3"/>
      <c r="AG19" s="3"/>
      <c r="AH19" s="3"/>
      <c r="AI19" s="3"/>
      <c r="AJ19" s="3"/>
      <c r="AK19" s="3"/>
      <c r="AL19" s="3"/>
      <c r="AM19" s="3"/>
      <c r="AN19" s="3"/>
      <c r="AO19" s="3"/>
      <c r="AP19" s="3"/>
      <c r="AQ19" s="3"/>
      <c r="AR19" s="3"/>
      <c r="AS19" s="3"/>
    </row>
    <row r="20" spans="1:45" x14ac:dyDescent="0.2">
      <c r="A20" s="3"/>
      <c r="B20" s="63">
        <v>16</v>
      </c>
      <c r="C20" s="61" t="str">
        <f>IFERROR(INDEX(Table_Prescript_Meas[Measure Number], MATCH(E20, Table_Prescript_Meas[Measure Description], 0)), "")</f>
        <v/>
      </c>
      <c r="D20" s="192"/>
      <c r="E20" s="179"/>
      <c r="F20" s="197"/>
      <c r="G20" s="179"/>
      <c r="H20" s="179"/>
      <c r="I20" s="181"/>
      <c r="J20" s="181"/>
      <c r="K20"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20" s="67" t="str">
        <f>IFERROR(Table_Controls_Input[[#This Row],[Per-unit incentive]]*Table_Controls_Input[[#This Row],[Quantity (Sensors/controller units)]],"")</f>
        <v/>
      </c>
      <c r="M20"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20"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20" s="67" t="str">
        <f t="shared" si="0"/>
        <v/>
      </c>
      <c r="P20" s="67" t="str">
        <f>IF(Table_Controls_Input[[#This Row],[Per-unit incentive]]="","",Table_Controls_Input[[#This Row],[Total equipment cost]]+Table_Controls_Input[[#This Row],[Total labor cost]])</f>
        <v/>
      </c>
      <c r="Q20" s="67" t="str">
        <f>IFERROR(Table_Controls_Input[[#This Row],[Gross measure cost]]-Table_Controls_Input[[#This Row],[Estimated incentive]], "")</f>
        <v/>
      </c>
      <c r="R20" s="69" t="str">
        <f>IFERROR(Table_Controls_Input[[#This Row],[Net measure cost]]/Table_Controls_Input[[#This Row],[Cost savings]],"")</f>
        <v/>
      </c>
      <c r="S20" s="74" t="e">
        <f>INDEX(Table_Control_PAF[PAF], MATCH(Table_Controls_Input[[#This Row],[Existing lighting controls]], Table_Control_PAF[List_Control_Types], 0))</f>
        <v>#N/A</v>
      </c>
      <c r="T20" s="74" t="e">
        <f>INDEX(Table_Measure_PAF[Proposed PAF], MATCH(Table_Controls_Input[[#This Row],[Prescriptive control measure]], Table_Measure_PAF[List_Control_Measure], 0))</f>
        <v>#N/A</v>
      </c>
      <c r="U20" s="74" t="e">
        <f>INDEX(Table_Prescript_Meas[AOH Type], MATCH(Table_Controls_Input[[#This Row],[Measure number]],Table_Prescript_Meas[Measure Number], 0))</f>
        <v>#N/A</v>
      </c>
      <c r="V20" s="74" t="e">
        <f>INDEX(Table_Prescript_Meas[AOH Type], MATCH(Table_Controls_Input[[#This Row],[Measure number]], Table_Prescript_Meas[Measure Number],0))</f>
        <v>#N/A</v>
      </c>
      <c r="W20"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20" s="3"/>
      <c r="Y20" s="3"/>
      <c r="Z20" s="3"/>
      <c r="AA20" s="3"/>
      <c r="AB20" s="3"/>
      <c r="AC20" s="3"/>
      <c r="AD20" s="3"/>
      <c r="AE20" s="3"/>
      <c r="AF20" s="3"/>
      <c r="AG20" s="3"/>
      <c r="AH20" s="3"/>
      <c r="AI20" s="3"/>
      <c r="AJ20" s="3"/>
      <c r="AK20" s="3"/>
      <c r="AL20" s="3"/>
      <c r="AM20" s="3"/>
      <c r="AN20" s="3"/>
      <c r="AO20" s="3"/>
      <c r="AP20" s="3"/>
      <c r="AQ20" s="3"/>
      <c r="AR20" s="3"/>
      <c r="AS20" s="3"/>
    </row>
    <row r="21" spans="1:45" x14ac:dyDescent="0.2">
      <c r="A21" s="3"/>
      <c r="B21" s="63">
        <v>17</v>
      </c>
      <c r="C21" s="61" t="str">
        <f>IFERROR(INDEX(Table_Prescript_Meas[Measure Number], MATCH(E21, Table_Prescript_Meas[Measure Description], 0)), "")</f>
        <v/>
      </c>
      <c r="D21" s="192"/>
      <c r="E21" s="179"/>
      <c r="F21" s="197"/>
      <c r="G21" s="179"/>
      <c r="H21" s="179"/>
      <c r="I21" s="181"/>
      <c r="J21" s="181"/>
      <c r="K21"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21" s="67" t="str">
        <f>IFERROR(Table_Controls_Input[[#This Row],[Per-unit incentive]]*Table_Controls_Input[[#This Row],[Quantity (Sensors/controller units)]],"")</f>
        <v/>
      </c>
      <c r="M21"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21"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21" s="67" t="str">
        <f t="shared" si="0"/>
        <v/>
      </c>
      <c r="P21" s="67" t="str">
        <f>IF(Table_Controls_Input[[#This Row],[Per-unit incentive]]="","",Table_Controls_Input[[#This Row],[Total equipment cost]]+Table_Controls_Input[[#This Row],[Total labor cost]])</f>
        <v/>
      </c>
      <c r="Q21" s="67" t="str">
        <f>IFERROR(Table_Controls_Input[[#This Row],[Gross measure cost]]-Table_Controls_Input[[#This Row],[Estimated incentive]], "")</f>
        <v/>
      </c>
      <c r="R21" s="69" t="str">
        <f>IFERROR(Table_Controls_Input[[#This Row],[Net measure cost]]/Table_Controls_Input[[#This Row],[Cost savings]],"")</f>
        <v/>
      </c>
      <c r="S21" s="74" t="e">
        <f>INDEX(Table_Control_PAF[PAF], MATCH(Table_Controls_Input[[#This Row],[Existing lighting controls]], Table_Control_PAF[List_Control_Types], 0))</f>
        <v>#N/A</v>
      </c>
      <c r="T21" s="74" t="e">
        <f>INDEX(Table_Measure_PAF[Proposed PAF], MATCH(Table_Controls_Input[[#This Row],[Prescriptive control measure]], Table_Measure_PAF[List_Control_Measure], 0))</f>
        <v>#N/A</v>
      </c>
      <c r="U21" s="74" t="e">
        <f>INDEX(Table_Prescript_Meas[AOH Type], MATCH(Table_Controls_Input[[#This Row],[Measure number]],Table_Prescript_Meas[Measure Number], 0))</f>
        <v>#N/A</v>
      </c>
      <c r="V21" s="74" t="e">
        <f>INDEX(Table_Prescript_Meas[AOH Type], MATCH(Table_Controls_Input[[#This Row],[Measure number]], Table_Prescript_Meas[Measure Number],0))</f>
        <v>#N/A</v>
      </c>
      <c r="W21"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21" s="3"/>
      <c r="Y21" s="3"/>
      <c r="Z21" s="3"/>
      <c r="AA21" s="3"/>
      <c r="AB21" s="3"/>
      <c r="AC21" s="3"/>
      <c r="AD21" s="3"/>
      <c r="AE21" s="3"/>
      <c r="AF21" s="3"/>
      <c r="AG21" s="3"/>
      <c r="AH21" s="3"/>
      <c r="AI21" s="3"/>
      <c r="AJ21" s="3"/>
      <c r="AK21" s="3"/>
      <c r="AL21" s="3"/>
      <c r="AM21" s="3"/>
      <c r="AN21" s="3"/>
      <c r="AO21" s="3"/>
      <c r="AP21" s="3"/>
      <c r="AQ21" s="3"/>
      <c r="AR21" s="3"/>
      <c r="AS21" s="3"/>
    </row>
    <row r="22" spans="1:45" x14ac:dyDescent="0.2">
      <c r="A22" s="3"/>
      <c r="B22" s="63">
        <v>18</v>
      </c>
      <c r="C22" s="61" t="str">
        <f>IFERROR(INDEX(Table_Prescript_Meas[Measure Number], MATCH(E22, Table_Prescript_Meas[Measure Description], 0)), "")</f>
        <v/>
      </c>
      <c r="D22" s="192"/>
      <c r="E22" s="179"/>
      <c r="F22" s="197"/>
      <c r="G22" s="179"/>
      <c r="H22" s="179"/>
      <c r="I22" s="181"/>
      <c r="J22" s="181"/>
      <c r="K22"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22" s="67" t="str">
        <f>IFERROR(Table_Controls_Input[[#This Row],[Per-unit incentive]]*Table_Controls_Input[[#This Row],[Quantity (Sensors/controller units)]],"")</f>
        <v/>
      </c>
      <c r="M22"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22"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22" s="67" t="str">
        <f t="shared" si="0"/>
        <v/>
      </c>
      <c r="P22" s="67" t="str">
        <f>IF(Table_Controls_Input[[#This Row],[Per-unit incentive]]="","",Table_Controls_Input[[#This Row],[Total equipment cost]]+Table_Controls_Input[[#This Row],[Total labor cost]])</f>
        <v/>
      </c>
      <c r="Q22" s="67" t="str">
        <f>IFERROR(Table_Controls_Input[[#This Row],[Gross measure cost]]-Table_Controls_Input[[#This Row],[Estimated incentive]], "")</f>
        <v/>
      </c>
      <c r="R22" s="69" t="str">
        <f>IFERROR(Table_Controls_Input[[#This Row],[Net measure cost]]/Table_Controls_Input[[#This Row],[Cost savings]],"")</f>
        <v/>
      </c>
      <c r="S22" s="74" t="e">
        <f>INDEX(Table_Control_PAF[PAF], MATCH(Table_Controls_Input[[#This Row],[Existing lighting controls]], Table_Control_PAF[List_Control_Types], 0))</f>
        <v>#N/A</v>
      </c>
      <c r="T22" s="74" t="e">
        <f>INDEX(Table_Measure_PAF[Proposed PAF], MATCH(Table_Controls_Input[[#This Row],[Prescriptive control measure]], Table_Measure_PAF[List_Control_Measure], 0))</f>
        <v>#N/A</v>
      </c>
      <c r="U22" s="74" t="e">
        <f>INDEX(Table_Prescript_Meas[AOH Type], MATCH(Table_Controls_Input[[#This Row],[Measure number]],Table_Prescript_Meas[Measure Number], 0))</f>
        <v>#N/A</v>
      </c>
      <c r="V22" s="74" t="e">
        <f>INDEX(Table_Prescript_Meas[AOH Type], MATCH(Table_Controls_Input[[#This Row],[Measure number]], Table_Prescript_Meas[Measure Number],0))</f>
        <v>#N/A</v>
      </c>
      <c r="W22"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22" s="3"/>
      <c r="Y22" s="3"/>
      <c r="Z22" s="3"/>
      <c r="AA22" s="3"/>
      <c r="AB22" s="3"/>
      <c r="AC22" s="3"/>
      <c r="AD22" s="3"/>
      <c r="AE22" s="3"/>
      <c r="AF22" s="3"/>
      <c r="AG22" s="3"/>
      <c r="AH22" s="3"/>
      <c r="AI22" s="3"/>
      <c r="AJ22" s="3"/>
      <c r="AK22" s="3"/>
      <c r="AL22" s="3"/>
      <c r="AM22" s="3"/>
      <c r="AN22" s="3"/>
      <c r="AO22" s="3"/>
      <c r="AP22" s="3"/>
      <c r="AQ22" s="3"/>
      <c r="AR22" s="3"/>
      <c r="AS22" s="3"/>
    </row>
    <row r="23" spans="1:45" x14ac:dyDescent="0.2">
      <c r="A23" s="3"/>
      <c r="B23" s="63">
        <v>19</v>
      </c>
      <c r="C23" s="61" t="str">
        <f>IFERROR(INDEX(Table_Prescript_Meas[Measure Number], MATCH(E23, Table_Prescript_Meas[Measure Description], 0)), "")</f>
        <v/>
      </c>
      <c r="D23" s="192"/>
      <c r="E23" s="179"/>
      <c r="F23" s="197"/>
      <c r="G23" s="179"/>
      <c r="H23" s="179"/>
      <c r="I23" s="181"/>
      <c r="J23" s="181"/>
      <c r="K23"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23" s="67" t="str">
        <f>IFERROR(Table_Controls_Input[[#This Row],[Per-unit incentive]]*Table_Controls_Input[[#This Row],[Quantity (Sensors/controller units)]],"")</f>
        <v/>
      </c>
      <c r="M23"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23"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23" s="67" t="str">
        <f t="shared" si="0"/>
        <v/>
      </c>
      <c r="P23" s="67" t="str">
        <f>IF(Table_Controls_Input[[#This Row],[Per-unit incentive]]="","",Table_Controls_Input[[#This Row],[Total equipment cost]]+Table_Controls_Input[[#This Row],[Total labor cost]])</f>
        <v/>
      </c>
      <c r="Q23" s="67" t="str">
        <f>IFERROR(Table_Controls_Input[[#This Row],[Gross measure cost]]-Table_Controls_Input[[#This Row],[Estimated incentive]], "")</f>
        <v/>
      </c>
      <c r="R23" s="69" t="str">
        <f>IFERROR(Table_Controls_Input[[#This Row],[Net measure cost]]/Table_Controls_Input[[#This Row],[Cost savings]],"")</f>
        <v/>
      </c>
      <c r="S23" s="74" t="e">
        <f>INDEX(Table_Control_PAF[PAF], MATCH(Table_Controls_Input[[#This Row],[Existing lighting controls]], Table_Control_PAF[List_Control_Types], 0))</f>
        <v>#N/A</v>
      </c>
      <c r="T23" s="74" t="e">
        <f>INDEX(Table_Measure_PAF[Proposed PAF], MATCH(Table_Controls_Input[[#This Row],[Prescriptive control measure]], Table_Measure_PAF[List_Control_Measure], 0))</f>
        <v>#N/A</v>
      </c>
      <c r="U23" s="74" t="e">
        <f>INDEX(Table_Prescript_Meas[AOH Type], MATCH(Table_Controls_Input[[#This Row],[Measure number]],Table_Prescript_Meas[Measure Number], 0))</f>
        <v>#N/A</v>
      </c>
      <c r="V23" s="74" t="e">
        <f>INDEX(Table_Prescript_Meas[AOH Type], MATCH(Table_Controls_Input[[#This Row],[Measure number]], Table_Prescript_Meas[Measure Number],0))</f>
        <v>#N/A</v>
      </c>
      <c r="W23"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23" s="3"/>
      <c r="Y23" s="3"/>
      <c r="Z23" s="3"/>
      <c r="AA23" s="3"/>
      <c r="AB23" s="3"/>
      <c r="AC23" s="3"/>
      <c r="AD23" s="3"/>
      <c r="AE23" s="3"/>
      <c r="AF23" s="3"/>
      <c r="AG23" s="3"/>
      <c r="AH23" s="3"/>
      <c r="AI23" s="3"/>
      <c r="AJ23" s="3"/>
      <c r="AK23" s="3"/>
      <c r="AL23" s="3"/>
      <c r="AM23" s="3"/>
      <c r="AN23" s="3"/>
      <c r="AO23" s="3"/>
      <c r="AP23" s="3"/>
      <c r="AQ23" s="3"/>
      <c r="AR23" s="3"/>
      <c r="AS23" s="3"/>
    </row>
    <row r="24" spans="1:45" x14ac:dyDescent="0.2">
      <c r="A24" s="3"/>
      <c r="B24" s="63">
        <v>20</v>
      </c>
      <c r="C24" s="61" t="str">
        <f>IFERROR(INDEX(Table_Prescript_Meas[Measure Number], MATCH(E24, Table_Prescript_Meas[Measure Description], 0)), "")</f>
        <v/>
      </c>
      <c r="D24" s="192"/>
      <c r="E24" s="179"/>
      <c r="F24" s="197"/>
      <c r="G24" s="179"/>
      <c r="H24" s="179"/>
      <c r="I24" s="181"/>
      <c r="J24" s="181"/>
      <c r="K24"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24" s="67" t="str">
        <f>IFERROR(Table_Controls_Input[[#This Row],[Per-unit incentive]]*Table_Controls_Input[[#This Row],[Quantity (Sensors/controller units)]],"")</f>
        <v/>
      </c>
      <c r="M24"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24"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24" s="67" t="str">
        <f t="shared" si="0"/>
        <v/>
      </c>
      <c r="P24" s="67" t="str">
        <f>IF(Table_Controls_Input[[#This Row],[Per-unit incentive]]="","",Table_Controls_Input[[#This Row],[Total equipment cost]]+Table_Controls_Input[[#This Row],[Total labor cost]])</f>
        <v/>
      </c>
      <c r="Q24" s="67" t="str">
        <f>IFERROR(Table_Controls_Input[[#This Row],[Gross measure cost]]-Table_Controls_Input[[#This Row],[Estimated incentive]], "")</f>
        <v/>
      </c>
      <c r="R24" s="69" t="str">
        <f>IFERROR(Table_Controls_Input[[#This Row],[Net measure cost]]/Table_Controls_Input[[#This Row],[Cost savings]],"")</f>
        <v/>
      </c>
      <c r="S24" s="74" t="e">
        <f>INDEX(Table_Control_PAF[PAF], MATCH(Table_Controls_Input[[#This Row],[Existing lighting controls]], Table_Control_PAF[List_Control_Types], 0))</f>
        <v>#N/A</v>
      </c>
      <c r="T24" s="74" t="e">
        <f>INDEX(Table_Measure_PAF[Proposed PAF], MATCH(Table_Controls_Input[[#This Row],[Prescriptive control measure]], Table_Measure_PAF[List_Control_Measure], 0))</f>
        <v>#N/A</v>
      </c>
      <c r="U24" s="74" t="e">
        <f>INDEX(Table_Prescript_Meas[AOH Type], MATCH(Table_Controls_Input[[#This Row],[Measure number]],Table_Prescript_Meas[Measure Number], 0))</f>
        <v>#N/A</v>
      </c>
      <c r="V24" s="74" t="e">
        <f>INDEX(Table_Prescript_Meas[AOH Type], MATCH(Table_Controls_Input[[#This Row],[Measure number]], Table_Prescript_Meas[Measure Number],0))</f>
        <v>#N/A</v>
      </c>
      <c r="W24"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24" s="3"/>
      <c r="Y24" s="3"/>
      <c r="Z24" s="3"/>
      <c r="AA24" s="3"/>
      <c r="AB24" s="3"/>
      <c r="AC24" s="3"/>
      <c r="AD24" s="3"/>
      <c r="AE24" s="3"/>
      <c r="AF24" s="3"/>
      <c r="AG24" s="3"/>
      <c r="AH24" s="3"/>
      <c r="AI24" s="3"/>
      <c r="AJ24" s="3"/>
      <c r="AK24" s="3"/>
      <c r="AL24" s="3"/>
      <c r="AM24" s="3"/>
      <c r="AN24" s="3"/>
      <c r="AO24" s="3"/>
      <c r="AP24" s="3"/>
      <c r="AQ24" s="3"/>
      <c r="AR24" s="3"/>
      <c r="AS24" s="3"/>
    </row>
    <row r="25" spans="1:45" x14ac:dyDescent="0.2">
      <c r="A25" s="3"/>
      <c r="B25" s="63">
        <v>21</v>
      </c>
      <c r="C25" s="61" t="str">
        <f>IFERROR(INDEX(Table_Prescript_Meas[Measure Number], MATCH(E25, Table_Prescript_Meas[Measure Description], 0)), "")</f>
        <v/>
      </c>
      <c r="D25" s="192"/>
      <c r="E25" s="179"/>
      <c r="F25" s="197"/>
      <c r="G25" s="179"/>
      <c r="H25" s="179"/>
      <c r="I25" s="181"/>
      <c r="J25" s="181"/>
      <c r="K25"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25" s="67" t="str">
        <f>IFERROR(Table_Controls_Input[[#This Row],[Per-unit incentive]]*Table_Controls_Input[[#This Row],[Quantity (Sensors/controller units)]],"")</f>
        <v/>
      </c>
      <c r="M25"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25"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25" s="67" t="str">
        <f t="shared" si="0"/>
        <v/>
      </c>
      <c r="P25" s="67" t="str">
        <f>IF(Table_Controls_Input[[#This Row],[Per-unit incentive]]="","",Table_Controls_Input[[#This Row],[Total equipment cost]]+Table_Controls_Input[[#This Row],[Total labor cost]])</f>
        <v/>
      </c>
      <c r="Q25" s="67" t="str">
        <f>IFERROR(Table_Controls_Input[[#This Row],[Gross measure cost]]-Table_Controls_Input[[#This Row],[Estimated incentive]], "")</f>
        <v/>
      </c>
      <c r="R25" s="69" t="str">
        <f>IFERROR(Table_Controls_Input[[#This Row],[Net measure cost]]/Table_Controls_Input[[#This Row],[Cost savings]],"")</f>
        <v/>
      </c>
      <c r="S25" s="74" t="e">
        <f>INDEX(Table_Control_PAF[PAF], MATCH(Table_Controls_Input[[#This Row],[Existing lighting controls]], Table_Control_PAF[List_Control_Types], 0))</f>
        <v>#N/A</v>
      </c>
      <c r="T25" s="74" t="e">
        <f>INDEX(Table_Measure_PAF[Proposed PAF], MATCH(Table_Controls_Input[[#This Row],[Prescriptive control measure]], Table_Measure_PAF[List_Control_Measure], 0))</f>
        <v>#N/A</v>
      </c>
      <c r="U25" s="74" t="e">
        <f>INDEX(Table_Prescript_Meas[AOH Type], MATCH(Table_Controls_Input[[#This Row],[Measure number]],Table_Prescript_Meas[Measure Number], 0))</f>
        <v>#N/A</v>
      </c>
      <c r="V25" s="74" t="e">
        <f>INDEX(Table_Prescript_Meas[AOH Type], MATCH(Table_Controls_Input[[#This Row],[Measure number]], Table_Prescript_Meas[Measure Number],0))</f>
        <v>#N/A</v>
      </c>
      <c r="W25"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25" s="3"/>
      <c r="Y25" s="3"/>
      <c r="Z25" s="3"/>
      <c r="AA25" s="3"/>
      <c r="AB25" s="3"/>
      <c r="AC25" s="3"/>
      <c r="AD25" s="3"/>
      <c r="AE25" s="3"/>
      <c r="AF25" s="3"/>
      <c r="AG25" s="3"/>
      <c r="AH25" s="3"/>
      <c r="AI25" s="3"/>
      <c r="AJ25" s="3"/>
      <c r="AK25" s="3"/>
      <c r="AL25" s="3"/>
      <c r="AM25" s="3"/>
      <c r="AN25" s="3"/>
      <c r="AO25" s="3"/>
      <c r="AP25" s="3"/>
      <c r="AQ25" s="3"/>
      <c r="AR25" s="3"/>
      <c r="AS25" s="3"/>
    </row>
    <row r="26" spans="1:45" x14ac:dyDescent="0.2">
      <c r="A26" s="3"/>
      <c r="B26" s="63">
        <v>22</v>
      </c>
      <c r="C26" s="61" t="str">
        <f>IFERROR(INDEX(Table_Prescript_Meas[Measure Number], MATCH(E26, Table_Prescript_Meas[Measure Description], 0)), "")</f>
        <v/>
      </c>
      <c r="D26" s="192"/>
      <c r="E26" s="179"/>
      <c r="F26" s="197"/>
      <c r="G26" s="179"/>
      <c r="H26" s="179"/>
      <c r="I26" s="181"/>
      <c r="J26" s="181"/>
      <c r="K26"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26" s="67" t="str">
        <f>IFERROR(Table_Controls_Input[[#This Row],[Per-unit incentive]]*Table_Controls_Input[[#This Row],[Quantity (Sensors/controller units)]],"")</f>
        <v/>
      </c>
      <c r="M26"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26"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26" s="67" t="str">
        <f t="shared" si="0"/>
        <v/>
      </c>
      <c r="P26" s="67" t="str">
        <f>IF(Table_Controls_Input[[#This Row],[Per-unit incentive]]="","",Table_Controls_Input[[#This Row],[Total equipment cost]]+Table_Controls_Input[[#This Row],[Total labor cost]])</f>
        <v/>
      </c>
      <c r="Q26" s="67" t="str">
        <f>IFERROR(Table_Controls_Input[[#This Row],[Gross measure cost]]-Table_Controls_Input[[#This Row],[Estimated incentive]], "")</f>
        <v/>
      </c>
      <c r="R26" s="69" t="str">
        <f>IFERROR(Table_Controls_Input[[#This Row],[Net measure cost]]/Table_Controls_Input[[#This Row],[Cost savings]],"")</f>
        <v/>
      </c>
      <c r="S26" s="74" t="e">
        <f>INDEX(Table_Control_PAF[PAF], MATCH(Table_Controls_Input[[#This Row],[Existing lighting controls]], Table_Control_PAF[List_Control_Types], 0))</f>
        <v>#N/A</v>
      </c>
      <c r="T26" s="74" t="e">
        <f>INDEX(Table_Measure_PAF[Proposed PAF], MATCH(Table_Controls_Input[[#This Row],[Prescriptive control measure]], Table_Measure_PAF[List_Control_Measure], 0))</f>
        <v>#N/A</v>
      </c>
      <c r="U26" s="74" t="e">
        <f>INDEX(Table_Prescript_Meas[AOH Type], MATCH(Table_Controls_Input[[#This Row],[Measure number]],Table_Prescript_Meas[Measure Number], 0))</f>
        <v>#N/A</v>
      </c>
      <c r="V26" s="74" t="e">
        <f>INDEX(Table_Prescript_Meas[AOH Type], MATCH(Table_Controls_Input[[#This Row],[Measure number]], Table_Prescript_Meas[Measure Number],0))</f>
        <v>#N/A</v>
      </c>
      <c r="W26"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26" s="3"/>
      <c r="Y26" s="3"/>
      <c r="Z26" s="3"/>
      <c r="AA26" s="3"/>
      <c r="AB26" s="3"/>
      <c r="AC26" s="3"/>
      <c r="AD26" s="3"/>
      <c r="AE26" s="3"/>
      <c r="AF26" s="3"/>
      <c r="AG26" s="3"/>
      <c r="AH26" s="3"/>
      <c r="AI26" s="3"/>
      <c r="AJ26" s="3"/>
      <c r="AK26" s="3"/>
      <c r="AL26" s="3"/>
      <c r="AM26" s="3"/>
      <c r="AN26" s="3"/>
      <c r="AO26" s="3"/>
      <c r="AP26" s="3"/>
      <c r="AQ26" s="3"/>
      <c r="AR26" s="3"/>
      <c r="AS26" s="3"/>
    </row>
    <row r="27" spans="1:45" x14ac:dyDescent="0.2">
      <c r="A27" s="3"/>
      <c r="B27" s="63">
        <v>23</v>
      </c>
      <c r="C27" s="61" t="str">
        <f>IFERROR(INDEX(Table_Prescript_Meas[Measure Number], MATCH(E27, Table_Prescript_Meas[Measure Description], 0)), "")</f>
        <v/>
      </c>
      <c r="D27" s="192"/>
      <c r="E27" s="179"/>
      <c r="F27" s="197"/>
      <c r="G27" s="179"/>
      <c r="H27" s="179"/>
      <c r="I27" s="181"/>
      <c r="J27" s="181"/>
      <c r="K27"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27" s="67" t="str">
        <f>IFERROR(Table_Controls_Input[[#This Row],[Per-unit incentive]]*Table_Controls_Input[[#This Row],[Quantity (Sensors/controller units)]],"")</f>
        <v/>
      </c>
      <c r="M27"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27"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27" s="67" t="str">
        <f t="shared" si="0"/>
        <v/>
      </c>
      <c r="P27" s="67" t="str">
        <f>IF(Table_Controls_Input[[#This Row],[Per-unit incentive]]="","",Table_Controls_Input[[#This Row],[Total equipment cost]]+Table_Controls_Input[[#This Row],[Total labor cost]])</f>
        <v/>
      </c>
      <c r="Q27" s="67" t="str">
        <f>IFERROR(Table_Controls_Input[[#This Row],[Gross measure cost]]-Table_Controls_Input[[#This Row],[Estimated incentive]], "")</f>
        <v/>
      </c>
      <c r="R27" s="69" t="str">
        <f>IFERROR(Table_Controls_Input[[#This Row],[Net measure cost]]/Table_Controls_Input[[#This Row],[Cost savings]],"")</f>
        <v/>
      </c>
      <c r="S27" s="74" t="e">
        <f>INDEX(Table_Control_PAF[PAF], MATCH(Table_Controls_Input[[#This Row],[Existing lighting controls]], Table_Control_PAF[List_Control_Types], 0))</f>
        <v>#N/A</v>
      </c>
      <c r="T27" s="74" t="e">
        <f>INDEX(Table_Measure_PAF[Proposed PAF], MATCH(Table_Controls_Input[[#This Row],[Prescriptive control measure]], Table_Measure_PAF[List_Control_Measure], 0))</f>
        <v>#N/A</v>
      </c>
      <c r="U27" s="74" t="e">
        <f>INDEX(Table_Prescript_Meas[AOH Type], MATCH(Table_Controls_Input[[#This Row],[Measure number]],Table_Prescript_Meas[Measure Number], 0))</f>
        <v>#N/A</v>
      </c>
      <c r="V27" s="74" t="e">
        <f>INDEX(Table_Prescript_Meas[AOH Type], MATCH(Table_Controls_Input[[#This Row],[Measure number]], Table_Prescript_Meas[Measure Number],0))</f>
        <v>#N/A</v>
      </c>
      <c r="W27"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27" s="3"/>
      <c r="Y27" s="3"/>
      <c r="Z27" s="3"/>
      <c r="AA27" s="3"/>
      <c r="AB27" s="3"/>
      <c r="AC27" s="3"/>
      <c r="AD27" s="3"/>
      <c r="AE27" s="3"/>
      <c r="AF27" s="3"/>
      <c r="AG27" s="3"/>
      <c r="AH27" s="3"/>
      <c r="AI27" s="3"/>
      <c r="AJ27" s="3"/>
      <c r="AK27" s="3"/>
      <c r="AL27" s="3"/>
      <c r="AM27" s="3"/>
      <c r="AN27" s="3"/>
      <c r="AO27" s="3"/>
      <c r="AP27" s="3"/>
      <c r="AQ27" s="3"/>
      <c r="AR27" s="3"/>
      <c r="AS27" s="3"/>
    </row>
    <row r="28" spans="1:45" x14ac:dyDescent="0.2">
      <c r="A28" s="3"/>
      <c r="B28" s="63">
        <v>24</v>
      </c>
      <c r="C28" s="61" t="str">
        <f>IFERROR(INDEX(Table_Prescript_Meas[Measure Number], MATCH(E28, Table_Prescript_Meas[Measure Description], 0)), "")</f>
        <v/>
      </c>
      <c r="D28" s="192"/>
      <c r="E28" s="179"/>
      <c r="F28" s="197"/>
      <c r="G28" s="179"/>
      <c r="H28" s="179"/>
      <c r="I28" s="181"/>
      <c r="J28" s="181"/>
      <c r="K28"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28" s="67" t="str">
        <f>IFERROR(Table_Controls_Input[[#This Row],[Per-unit incentive]]*Table_Controls_Input[[#This Row],[Quantity (Sensors/controller units)]],"")</f>
        <v/>
      </c>
      <c r="M28"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28"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28" s="67" t="str">
        <f t="shared" si="0"/>
        <v/>
      </c>
      <c r="P28" s="67" t="str">
        <f>IF(Table_Controls_Input[[#This Row],[Per-unit incentive]]="","",Table_Controls_Input[[#This Row],[Total equipment cost]]+Table_Controls_Input[[#This Row],[Total labor cost]])</f>
        <v/>
      </c>
      <c r="Q28" s="67" t="str">
        <f>IFERROR(Table_Controls_Input[[#This Row],[Gross measure cost]]-Table_Controls_Input[[#This Row],[Estimated incentive]], "")</f>
        <v/>
      </c>
      <c r="R28" s="69" t="str">
        <f>IFERROR(Table_Controls_Input[[#This Row],[Net measure cost]]/Table_Controls_Input[[#This Row],[Cost savings]],"")</f>
        <v/>
      </c>
      <c r="S28" s="74" t="e">
        <f>INDEX(Table_Control_PAF[PAF], MATCH(Table_Controls_Input[[#This Row],[Existing lighting controls]], Table_Control_PAF[List_Control_Types], 0))</f>
        <v>#N/A</v>
      </c>
      <c r="T28" s="74" t="e">
        <f>INDEX(Table_Measure_PAF[Proposed PAF], MATCH(Table_Controls_Input[[#This Row],[Prescriptive control measure]], Table_Measure_PAF[List_Control_Measure], 0))</f>
        <v>#N/A</v>
      </c>
      <c r="U28" s="74" t="e">
        <f>INDEX(Table_Prescript_Meas[AOH Type], MATCH(Table_Controls_Input[[#This Row],[Measure number]],Table_Prescript_Meas[Measure Number], 0))</f>
        <v>#N/A</v>
      </c>
      <c r="V28" s="74" t="e">
        <f>INDEX(Table_Prescript_Meas[AOH Type], MATCH(Table_Controls_Input[[#This Row],[Measure number]], Table_Prescript_Meas[Measure Number],0))</f>
        <v>#N/A</v>
      </c>
      <c r="W28"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28" s="3"/>
      <c r="Y28" s="3"/>
      <c r="Z28" s="3"/>
      <c r="AA28" s="3"/>
      <c r="AB28" s="3"/>
      <c r="AC28" s="3"/>
      <c r="AD28" s="3"/>
      <c r="AE28" s="3"/>
      <c r="AF28" s="3"/>
      <c r="AG28" s="3"/>
      <c r="AH28" s="3"/>
      <c r="AI28" s="3"/>
      <c r="AJ28" s="3"/>
      <c r="AK28" s="3"/>
      <c r="AL28" s="3"/>
      <c r="AM28" s="3"/>
      <c r="AN28" s="3"/>
      <c r="AO28" s="3"/>
      <c r="AP28" s="3"/>
      <c r="AQ28" s="3"/>
      <c r="AR28" s="3"/>
      <c r="AS28" s="3"/>
    </row>
    <row r="29" spans="1:45" x14ac:dyDescent="0.2">
      <c r="A29" s="3"/>
      <c r="B29" s="63">
        <v>25</v>
      </c>
      <c r="C29" s="61" t="str">
        <f>IFERROR(INDEX(Table_Prescript_Meas[Measure Number], MATCH(E29, Table_Prescript_Meas[Measure Description], 0)), "")</f>
        <v/>
      </c>
      <c r="D29" s="192"/>
      <c r="E29" s="179"/>
      <c r="F29" s="197"/>
      <c r="G29" s="179"/>
      <c r="H29" s="179"/>
      <c r="I29" s="181"/>
      <c r="J29" s="181"/>
      <c r="K29"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29" s="67" t="str">
        <f>IFERROR(Table_Controls_Input[[#This Row],[Per-unit incentive]]*Table_Controls_Input[[#This Row],[Quantity (Sensors/controller units)]],"")</f>
        <v/>
      </c>
      <c r="M29"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29"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29" s="67" t="str">
        <f t="shared" si="0"/>
        <v/>
      </c>
      <c r="P29" s="67" t="str">
        <f>IF(Table_Controls_Input[[#This Row],[Per-unit incentive]]="","",Table_Controls_Input[[#This Row],[Total equipment cost]]+Table_Controls_Input[[#This Row],[Total labor cost]])</f>
        <v/>
      </c>
      <c r="Q29" s="67" t="str">
        <f>IFERROR(Table_Controls_Input[[#This Row],[Gross measure cost]]-Table_Controls_Input[[#This Row],[Estimated incentive]], "")</f>
        <v/>
      </c>
      <c r="R29" s="69" t="str">
        <f>IFERROR(Table_Controls_Input[[#This Row],[Net measure cost]]/Table_Controls_Input[[#This Row],[Cost savings]],"")</f>
        <v/>
      </c>
      <c r="S29" s="74" t="e">
        <f>INDEX(Table_Control_PAF[PAF], MATCH(Table_Controls_Input[[#This Row],[Existing lighting controls]], Table_Control_PAF[List_Control_Types], 0))</f>
        <v>#N/A</v>
      </c>
      <c r="T29" s="74" t="e">
        <f>INDEX(Table_Measure_PAF[Proposed PAF], MATCH(Table_Controls_Input[[#This Row],[Prescriptive control measure]], Table_Measure_PAF[List_Control_Measure], 0))</f>
        <v>#N/A</v>
      </c>
      <c r="U29" s="74" t="e">
        <f>INDEX(Table_Prescript_Meas[AOH Type], MATCH(Table_Controls_Input[[#This Row],[Measure number]],Table_Prescript_Meas[Measure Number], 0))</f>
        <v>#N/A</v>
      </c>
      <c r="V29" s="74" t="e">
        <f>INDEX(Table_Prescript_Meas[AOH Type], MATCH(Table_Controls_Input[[#This Row],[Measure number]], Table_Prescript_Meas[Measure Number],0))</f>
        <v>#N/A</v>
      </c>
      <c r="W29"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29" s="3"/>
      <c r="Y29" s="3"/>
      <c r="Z29" s="3"/>
      <c r="AA29" s="3"/>
      <c r="AB29" s="3"/>
      <c r="AC29" s="3"/>
      <c r="AD29" s="3"/>
      <c r="AE29" s="3"/>
      <c r="AF29" s="3"/>
      <c r="AG29" s="3"/>
      <c r="AH29" s="3"/>
      <c r="AI29" s="3"/>
      <c r="AJ29" s="3"/>
      <c r="AK29" s="3"/>
      <c r="AL29" s="3"/>
      <c r="AM29" s="3"/>
      <c r="AN29" s="3"/>
      <c r="AO29" s="3"/>
      <c r="AP29" s="3"/>
      <c r="AQ29" s="3"/>
      <c r="AR29" s="3"/>
      <c r="AS29" s="3"/>
    </row>
    <row r="30" spans="1:45" x14ac:dyDescent="0.2">
      <c r="A30" s="3"/>
      <c r="B30" s="63">
        <v>26</v>
      </c>
      <c r="C30" s="61" t="str">
        <f>IFERROR(INDEX(Table_Prescript_Meas[Measure Number], MATCH(E30, Table_Prescript_Meas[Measure Description], 0)), "")</f>
        <v/>
      </c>
      <c r="D30" s="192"/>
      <c r="E30" s="179"/>
      <c r="F30" s="197"/>
      <c r="G30" s="179"/>
      <c r="H30" s="179"/>
      <c r="I30" s="181"/>
      <c r="J30" s="181"/>
      <c r="K30"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30" s="67" t="str">
        <f>IFERROR(Table_Controls_Input[[#This Row],[Per-unit incentive]]*Table_Controls_Input[[#This Row],[Quantity (Sensors/controller units)]],"")</f>
        <v/>
      </c>
      <c r="M30"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30"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30" s="67" t="str">
        <f t="shared" si="0"/>
        <v/>
      </c>
      <c r="P30" s="67" t="str">
        <f>IF(Table_Controls_Input[[#This Row],[Per-unit incentive]]="","",Table_Controls_Input[[#This Row],[Total equipment cost]]+Table_Controls_Input[[#This Row],[Total labor cost]])</f>
        <v/>
      </c>
      <c r="Q30" s="67" t="str">
        <f>IFERROR(Table_Controls_Input[[#This Row],[Gross measure cost]]-Table_Controls_Input[[#This Row],[Estimated incentive]], "")</f>
        <v/>
      </c>
      <c r="R30" s="69" t="str">
        <f>IFERROR(Table_Controls_Input[[#This Row],[Net measure cost]]/Table_Controls_Input[[#This Row],[Cost savings]],"")</f>
        <v/>
      </c>
      <c r="S30" s="74" t="e">
        <f>INDEX(Table_Control_PAF[PAF], MATCH(Table_Controls_Input[[#This Row],[Existing lighting controls]], Table_Control_PAF[List_Control_Types], 0))</f>
        <v>#N/A</v>
      </c>
      <c r="T30" s="74" t="e">
        <f>INDEX(Table_Measure_PAF[Proposed PAF], MATCH(Table_Controls_Input[[#This Row],[Prescriptive control measure]], Table_Measure_PAF[List_Control_Measure], 0))</f>
        <v>#N/A</v>
      </c>
      <c r="U30" s="74" t="e">
        <f>INDEX(Table_Prescript_Meas[AOH Type], MATCH(Table_Controls_Input[[#This Row],[Measure number]],Table_Prescript_Meas[Measure Number], 0))</f>
        <v>#N/A</v>
      </c>
      <c r="V30" s="74" t="e">
        <f>INDEX(Table_Prescript_Meas[AOH Type], MATCH(Table_Controls_Input[[#This Row],[Measure number]], Table_Prescript_Meas[Measure Number],0))</f>
        <v>#N/A</v>
      </c>
      <c r="W30"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30" s="3"/>
      <c r="Y30" s="3"/>
      <c r="Z30" s="3"/>
      <c r="AA30" s="3"/>
      <c r="AB30" s="3"/>
      <c r="AC30" s="3"/>
      <c r="AD30" s="3"/>
      <c r="AE30" s="3"/>
      <c r="AF30" s="3"/>
      <c r="AG30" s="3"/>
      <c r="AH30" s="3"/>
      <c r="AI30" s="3"/>
      <c r="AJ30" s="3"/>
      <c r="AK30" s="3"/>
      <c r="AL30" s="3"/>
      <c r="AM30" s="3"/>
      <c r="AN30" s="3"/>
      <c r="AO30" s="3"/>
      <c r="AP30" s="3"/>
      <c r="AQ30" s="3"/>
      <c r="AR30" s="3"/>
      <c r="AS30" s="3"/>
    </row>
    <row r="31" spans="1:45" x14ac:dyDescent="0.2">
      <c r="A31" s="4"/>
      <c r="B31" s="63">
        <v>27</v>
      </c>
      <c r="C31" s="61" t="str">
        <f>IFERROR(INDEX(Table_Prescript_Meas[Measure Number], MATCH(E31, Table_Prescript_Meas[Measure Description], 0)), "")</f>
        <v/>
      </c>
      <c r="D31" s="192"/>
      <c r="E31" s="179"/>
      <c r="F31" s="197"/>
      <c r="G31" s="179"/>
      <c r="H31" s="179"/>
      <c r="I31" s="181"/>
      <c r="J31" s="181"/>
      <c r="K31"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31" s="67" t="str">
        <f>IFERROR(Table_Controls_Input[[#This Row],[Per-unit incentive]]*Table_Controls_Input[[#This Row],[Quantity (Sensors/controller units)]],"")</f>
        <v/>
      </c>
      <c r="M31"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31"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31" s="67" t="str">
        <f t="shared" si="0"/>
        <v/>
      </c>
      <c r="P31" s="67" t="str">
        <f>IF(Table_Controls_Input[[#This Row],[Per-unit incentive]]="","",Table_Controls_Input[[#This Row],[Total equipment cost]]+Table_Controls_Input[[#This Row],[Total labor cost]])</f>
        <v/>
      </c>
      <c r="Q31" s="67" t="str">
        <f>IFERROR(Table_Controls_Input[[#This Row],[Gross measure cost]]-Table_Controls_Input[[#This Row],[Estimated incentive]], "")</f>
        <v/>
      </c>
      <c r="R31" s="69" t="str">
        <f>IFERROR(Table_Controls_Input[[#This Row],[Net measure cost]]/Table_Controls_Input[[#This Row],[Cost savings]],"")</f>
        <v/>
      </c>
      <c r="S31" s="74" t="e">
        <f>INDEX(Table_Control_PAF[PAF], MATCH(Table_Controls_Input[[#This Row],[Existing lighting controls]], Table_Control_PAF[List_Control_Types], 0))</f>
        <v>#N/A</v>
      </c>
      <c r="T31" s="74" t="e">
        <f>INDEX(Table_Measure_PAF[Proposed PAF], MATCH(Table_Controls_Input[[#This Row],[Prescriptive control measure]], Table_Measure_PAF[List_Control_Measure], 0))</f>
        <v>#N/A</v>
      </c>
      <c r="U31" s="74" t="e">
        <f>INDEX(Table_Prescript_Meas[AOH Type], MATCH(Table_Controls_Input[[#This Row],[Measure number]],Table_Prescript_Meas[Measure Number], 0))</f>
        <v>#N/A</v>
      </c>
      <c r="V31" s="74" t="e">
        <f>INDEX(Table_Prescript_Meas[AOH Type], MATCH(Table_Controls_Input[[#This Row],[Measure number]], Table_Prescript_Meas[Measure Number],0))</f>
        <v>#N/A</v>
      </c>
      <c r="W31"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31" s="4"/>
      <c r="Y31" s="4"/>
      <c r="Z31" s="4"/>
      <c r="AA31" s="4"/>
      <c r="AB31" s="4"/>
      <c r="AC31" s="4"/>
      <c r="AD31" s="4"/>
      <c r="AE31" s="4"/>
      <c r="AF31" s="4"/>
      <c r="AG31" s="4"/>
      <c r="AH31" s="4"/>
      <c r="AI31" s="4"/>
      <c r="AJ31" s="4"/>
      <c r="AK31" s="4"/>
      <c r="AL31" s="4"/>
      <c r="AM31" s="4"/>
      <c r="AN31" s="4"/>
      <c r="AO31" s="4"/>
      <c r="AP31" s="4"/>
      <c r="AQ31" s="4"/>
      <c r="AR31" s="4"/>
      <c r="AS31" s="4"/>
    </row>
    <row r="32" spans="1:45" x14ac:dyDescent="0.2">
      <c r="A32" s="4"/>
      <c r="B32" s="63">
        <v>28</v>
      </c>
      <c r="C32" s="61" t="str">
        <f>IFERROR(INDEX(Table_Prescript_Meas[Measure Number], MATCH(E32, Table_Prescript_Meas[Measure Description], 0)), "")</f>
        <v/>
      </c>
      <c r="D32" s="192"/>
      <c r="E32" s="179"/>
      <c r="F32" s="197"/>
      <c r="G32" s="179"/>
      <c r="H32" s="179"/>
      <c r="I32" s="181"/>
      <c r="J32" s="181"/>
      <c r="K32"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32" s="67" t="str">
        <f>IFERROR(Table_Controls_Input[[#This Row],[Per-unit incentive]]*Table_Controls_Input[[#This Row],[Quantity (Sensors/controller units)]],"")</f>
        <v/>
      </c>
      <c r="M32"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32"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32" s="67" t="str">
        <f t="shared" si="0"/>
        <v/>
      </c>
      <c r="P32" s="67" t="str">
        <f>IF(Table_Controls_Input[[#This Row],[Per-unit incentive]]="","",Table_Controls_Input[[#This Row],[Total equipment cost]]+Table_Controls_Input[[#This Row],[Total labor cost]])</f>
        <v/>
      </c>
      <c r="Q32" s="67" t="str">
        <f>IFERROR(Table_Controls_Input[[#This Row],[Gross measure cost]]-Table_Controls_Input[[#This Row],[Estimated incentive]], "")</f>
        <v/>
      </c>
      <c r="R32" s="69" t="str">
        <f>IFERROR(Table_Controls_Input[[#This Row],[Net measure cost]]/Table_Controls_Input[[#This Row],[Cost savings]],"")</f>
        <v/>
      </c>
      <c r="S32" s="74" t="e">
        <f>INDEX(Table_Control_PAF[PAF], MATCH(Table_Controls_Input[[#This Row],[Existing lighting controls]], Table_Control_PAF[List_Control_Types], 0))</f>
        <v>#N/A</v>
      </c>
      <c r="T32" s="74" t="e">
        <f>INDEX(Table_Measure_PAF[Proposed PAF], MATCH(Table_Controls_Input[[#This Row],[Prescriptive control measure]], Table_Measure_PAF[List_Control_Measure], 0))</f>
        <v>#N/A</v>
      </c>
      <c r="U32" s="74" t="e">
        <f>INDEX(Table_Prescript_Meas[AOH Type], MATCH(Table_Controls_Input[[#This Row],[Measure number]],Table_Prescript_Meas[Measure Number], 0))</f>
        <v>#N/A</v>
      </c>
      <c r="V32" s="74" t="e">
        <f>INDEX(Table_Prescript_Meas[AOH Type], MATCH(Table_Controls_Input[[#This Row],[Measure number]], Table_Prescript_Meas[Measure Number],0))</f>
        <v>#N/A</v>
      </c>
      <c r="W32"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32" s="4"/>
      <c r="Y32" s="4"/>
      <c r="Z32" s="4"/>
      <c r="AA32" s="4"/>
      <c r="AB32" s="4"/>
      <c r="AC32" s="4"/>
      <c r="AD32" s="4"/>
      <c r="AE32" s="4"/>
      <c r="AF32" s="4"/>
      <c r="AG32" s="4"/>
      <c r="AH32" s="4"/>
      <c r="AI32" s="4"/>
      <c r="AJ32" s="4"/>
      <c r="AK32" s="4"/>
      <c r="AL32" s="4"/>
      <c r="AM32" s="4"/>
      <c r="AN32" s="4"/>
      <c r="AO32" s="4"/>
      <c r="AP32" s="4"/>
      <c r="AQ32" s="4"/>
      <c r="AR32" s="4"/>
      <c r="AS32" s="4"/>
    </row>
    <row r="33" spans="1:45" x14ac:dyDescent="0.2">
      <c r="A33" s="4"/>
      <c r="B33" s="63">
        <v>29</v>
      </c>
      <c r="C33" s="61" t="str">
        <f>IFERROR(INDEX(Table_Prescript_Meas[Measure Number], MATCH(E33, Table_Prescript_Meas[Measure Description], 0)), "")</f>
        <v/>
      </c>
      <c r="D33" s="192"/>
      <c r="E33" s="179"/>
      <c r="F33" s="197"/>
      <c r="G33" s="179"/>
      <c r="H33" s="179"/>
      <c r="I33" s="181"/>
      <c r="J33" s="181"/>
      <c r="K33"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33" s="67" t="str">
        <f>IFERROR(Table_Controls_Input[[#This Row],[Per-unit incentive]]*Table_Controls_Input[[#This Row],[Quantity (Sensors/controller units)]],"")</f>
        <v/>
      </c>
      <c r="M33"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33"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33" s="67" t="str">
        <f t="shared" si="0"/>
        <v/>
      </c>
      <c r="P33" s="67" t="str">
        <f>IF(Table_Controls_Input[[#This Row],[Per-unit incentive]]="","",Table_Controls_Input[[#This Row],[Total equipment cost]]+Table_Controls_Input[[#This Row],[Total labor cost]])</f>
        <v/>
      </c>
      <c r="Q33" s="67" t="str">
        <f>IFERROR(Table_Controls_Input[[#This Row],[Gross measure cost]]-Table_Controls_Input[[#This Row],[Estimated incentive]], "")</f>
        <v/>
      </c>
      <c r="R33" s="69" t="str">
        <f>IFERROR(Table_Controls_Input[[#This Row],[Net measure cost]]/Table_Controls_Input[[#This Row],[Cost savings]],"")</f>
        <v/>
      </c>
      <c r="S33" s="74" t="e">
        <f>INDEX(Table_Control_PAF[PAF], MATCH(Table_Controls_Input[[#This Row],[Existing lighting controls]], Table_Control_PAF[List_Control_Types], 0))</f>
        <v>#N/A</v>
      </c>
      <c r="T33" s="74" t="e">
        <f>INDEX(Table_Measure_PAF[Proposed PAF], MATCH(Table_Controls_Input[[#This Row],[Prescriptive control measure]], Table_Measure_PAF[List_Control_Measure], 0))</f>
        <v>#N/A</v>
      </c>
      <c r="U33" s="74" t="e">
        <f>INDEX(Table_Prescript_Meas[AOH Type], MATCH(Table_Controls_Input[[#This Row],[Measure number]],Table_Prescript_Meas[Measure Number], 0))</f>
        <v>#N/A</v>
      </c>
      <c r="V33" s="74" t="e">
        <f>INDEX(Table_Prescript_Meas[AOH Type], MATCH(Table_Controls_Input[[#This Row],[Measure number]], Table_Prescript_Meas[Measure Number],0))</f>
        <v>#N/A</v>
      </c>
      <c r="W33"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33" s="4"/>
      <c r="Y33" s="4"/>
      <c r="Z33" s="4"/>
      <c r="AA33" s="4"/>
      <c r="AB33" s="4"/>
      <c r="AC33" s="4"/>
      <c r="AD33" s="4"/>
      <c r="AE33" s="4"/>
      <c r="AF33" s="4"/>
      <c r="AG33" s="4"/>
      <c r="AH33" s="4"/>
      <c r="AI33" s="4"/>
      <c r="AJ33" s="4"/>
      <c r="AK33" s="4"/>
      <c r="AL33" s="4"/>
      <c r="AM33" s="4"/>
      <c r="AN33" s="4"/>
      <c r="AO33" s="4"/>
      <c r="AP33" s="4"/>
      <c r="AQ33" s="4"/>
      <c r="AR33" s="4"/>
      <c r="AS33" s="4"/>
    </row>
    <row r="34" spans="1:45" x14ac:dyDescent="0.2">
      <c r="A34" s="4"/>
      <c r="B34" s="63">
        <v>30</v>
      </c>
      <c r="C34" s="61" t="str">
        <f>IFERROR(INDEX(Table_Prescript_Meas[Measure Number], MATCH(E34, Table_Prescript_Meas[Measure Description], 0)), "")</f>
        <v/>
      </c>
      <c r="D34" s="192"/>
      <c r="E34" s="179"/>
      <c r="F34" s="197"/>
      <c r="G34" s="179"/>
      <c r="H34" s="179"/>
      <c r="I34" s="181"/>
      <c r="J34" s="181"/>
      <c r="K34"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34" s="67" t="str">
        <f>IFERROR(Table_Controls_Input[[#This Row],[Per-unit incentive]]*Table_Controls_Input[[#This Row],[Quantity (Sensors/controller units)]],"")</f>
        <v/>
      </c>
      <c r="M34"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34"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34" s="67" t="str">
        <f t="shared" si="0"/>
        <v/>
      </c>
      <c r="P34" s="67" t="str">
        <f>IF(Table_Controls_Input[[#This Row],[Per-unit incentive]]="","",Table_Controls_Input[[#This Row],[Total equipment cost]]+Table_Controls_Input[[#This Row],[Total labor cost]])</f>
        <v/>
      </c>
      <c r="Q34" s="67" t="str">
        <f>IFERROR(Table_Controls_Input[[#This Row],[Gross measure cost]]-Table_Controls_Input[[#This Row],[Estimated incentive]], "")</f>
        <v/>
      </c>
      <c r="R34" s="69" t="str">
        <f>IFERROR(Table_Controls_Input[[#This Row],[Net measure cost]]/Table_Controls_Input[[#This Row],[Cost savings]],"")</f>
        <v/>
      </c>
      <c r="S34" s="74" t="e">
        <f>INDEX(Table_Control_PAF[PAF], MATCH(Table_Controls_Input[[#This Row],[Existing lighting controls]], Table_Control_PAF[List_Control_Types], 0))</f>
        <v>#N/A</v>
      </c>
      <c r="T34" s="74" t="e">
        <f>INDEX(Table_Measure_PAF[Proposed PAF], MATCH(Table_Controls_Input[[#This Row],[Prescriptive control measure]], Table_Measure_PAF[List_Control_Measure], 0))</f>
        <v>#N/A</v>
      </c>
      <c r="U34" s="74" t="e">
        <f>INDEX(Table_Prescript_Meas[AOH Type], MATCH(Table_Controls_Input[[#This Row],[Measure number]],Table_Prescript_Meas[Measure Number], 0))</f>
        <v>#N/A</v>
      </c>
      <c r="V34" s="74" t="e">
        <f>INDEX(Table_Prescript_Meas[AOH Type], MATCH(Table_Controls_Input[[#This Row],[Measure number]], Table_Prescript_Meas[Measure Number],0))</f>
        <v>#N/A</v>
      </c>
      <c r="W34"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34" s="4"/>
      <c r="Y34" s="4"/>
      <c r="Z34" s="4"/>
      <c r="AA34" s="4"/>
      <c r="AB34" s="4"/>
      <c r="AC34" s="4"/>
      <c r="AD34" s="4"/>
      <c r="AE34" s="4"/>
      <c r="AF34" s="4"/>
      <c r="AG34" s="4"/>
      <c r="AH34" s="4"/>
      <c r="AI34" s="4"/>
      <c r="AJ34" s="4"/>
      <c r="AK34" s="4"/>
      <c r="AL34" s="4"/>
      <c r="AM34" s="4"/>
      <c r="AN34" s="4"/>
      <c r="AO34" s="4"/>
      <c r="AP34" s="4"/>
      <c r="AQ34" s="4"/>
      <c r="AR34" s="4"/>
      <c r="AS34" s="4"/>
    </row>
    <row r="35" spans="1:45" x14ac:dyDescent="0.2">
      <c r="A35" s="4"/>
      <c r="B35" s="63">
        <v>31</v>
      </c>
      <c r="C35" s="61" t="str">
        <f>IFERROR(INDEX(Table_Prescript_Meas[Measure Number], MATCH(E35, Table_Prescript_Meas[Measure Description], 0)), "")</f>
        <v/>
      </c>
      <c r="D35" s="192"/>
      <c r="E35" s="179"/>
      <c r="F35" s="197"/>
      <c r="G35" s="179"/>
      <c r="H35" s="179"/>
      <c r="I35" s="181"/>
      <c r="J35" s="181"/>
      <c r="K35"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35" s="67" t="str">
        <f>IFERROR(Table_Controls_Input[[#This Row],[Per-unit incentive]]*Table_Controls_Input[[#This Row],[Quantity (Sensors/controller units)]],"")</f>
        <v/>
      </c>
      <c r="M35"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35"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35" s="67" t="str">
        <f t="shared" si="0"/>
        <v/>
      </c>
      <c r="P35" s="67" t="str">
        <f>IF(Table_Controls_Input[[#This Row],[Per-unit incentive]]="","",Table_Controls_Input[[#This Row],[Total equipment cost]]+Table_Controls_Input[[#This Row],[Total labor cost]])</f>
        <v/>
      </c>
      <c r="Q35" s="67" t="str">
        <f>IFERROR(Table_Controls_Input[[#This Row],[Gross measure cost]]-Table_Controls_Input[[#This Row],[Estimated incentive]], "")</f>
        <v/>
      </c>
      <c r="R35" s="69" t="str">
        <f>IFERROR(Table_Controls_Input[[#This Row],[Net measure cost]]/Table_Controls_Input[[#This Row],[Cost savings]],"")</f>
        <v/>
      </c>
      <c r="S35" s="74" t="e">
        <f>INDEX(Table_Control_PAF[PAF], MATCH(Table_Controls_Input[[#This Row],[Existing lighting controls]], Table_Control_PAF[List_Control_Types], 0))</f>
        <v>#N/A</v>
      </c>
      <c r="T35" s="74" t="e">
        <f>INDEX(Table_Measure_PAF[Proposed PAF], MATCH(Table_Controls_Input[[#This Row],[Prescriptive control measure]], Table_Measure_PAF[List_Control_Measure], 0))</f>
        <v>#N/A</v>
      </c>
      <c r="U35" s="74" t="e">
        <f>INDEX(Table_Prescript_Meas[AOH Type], MATCH(Table_Controls_Input[[#This Row],[Measure number]],Table_Prescript_Meas[Measure Number], 0))</f>
        <v>#N/A</v>
      </c>
      <c r="V35" s="74" t="e">
        <f>INDEX(Table_Prescript_Meas[AOH Type], MATCH(Table_Controls_Input[[#This Row],[Measure number]], Table_Prescript_Meas[Measure Number],0))</f>
        <v>#N/A</v>
      </c>
      <c r="W35"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35" s="4"/>
      <c r="Y35" s="4"/>
      <c r="Z35" s="4"/>
      <c r="AA35" s="4"/>
      <c r="AB35" s="4"/>
      <c r="AC35" s="4"/>
      <c r="AD35" s="4"/>
      <c r="AE35" s="4"/>
      <c r="AF35" s="4"/>
      <c r="AG35" s="4"/>
      <c r="AH35" s="4"/>
      <c r="AI35" s="4"/>
      <c r="AJ35" s="4"/>
      <c r="AK35" s="4"/>
      <c r="AL35" s="4"/>
      <c r="AM35" s="4"/>
      <c r="AN35" s="4"/>
      <c r="AO35" s="4"/>
      <c r="AP35" s="4"/>
      <c r="AQ35" s="4"/>
      <c r="AR35" s="4"/>
      <c r="AS35" s="4"/>
    </row>
    <row r="36" spans="1:45" x14ac:dyDescent="0.2">
      <c r="A36" s="4"/>
      <c r="B36" s="63">
        <v>32</v>
      </c>
      <c r="C36" s="61" t="str">
        <f>IFERROR(INDEX(Table_Prescript_Meas[Measure Number], MATCH(E36, Table_Prescript_Meas[Measure Description], 0)), "")</f>
        <v/>
      </c>
      <c r="D36" s="192"/>
      <c r="E36" s="179"/>
      <c r="F36" s="197"/>
      <c r="G36" s="179"/>
      <c r="H36" s="179"/>
      <c r="I36" s="181"/>
      <c r="J36" s="181"/>
      <c r="K36"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36" s="67" t="str">
        <f>IFERROR(Table_Controls_Input[[#This Row],[Per-unit incentive]]*Table_Controls_Input[[#This Row],[Quantity (Sensors/controller units)]],"")</f>
        <v/>
      </c>
      <c r="M36"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36"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36" s="67" t="str">
        <f t="shared" si="0"/>
        <v/>
      </c>
      <c r="P36" s="67" t="str">
        <f>IF(Table_Controls_Input[[#This Row],[Per-unit incentive]]="","",Table_Controls_Input[[#This Row],[Total equipment cost]]+Table_Controls_Input[[#This Row],[Total labor cost]])</f>
        <v/>
      </c>
      <c r="Q36" s="67" t="str">
        <f>IFERROR(Table_Controls_Input[[#This Row],[Gross measure cost]]-Table_Controls_Input[[#This Row],[Estimated incentive]], "")</f>
        <v/>
      </c>
      <c r="R36" s="69" t="str">
        <f>IFERROR(Table_Controls_Input[[#This Row],[Net measure cost]]/Table_Controls_Input[[#This Row],[Cost savings]],"")</f>
        <v/>
      </c>
      <c r="S36" s="74" t="e">
        <f>INDEX(Table_Control_PAF[PAF], MATCH(Table_Controls_Input[[#This Row],[Existing lighting controls]], Table_Control_PAF[List_Control_Types], 0))</f>
        <v>#N/A</v>
      </c>
      <c r="T36" s="74" t="e">
        <f>INDEX(Table_Measure_PAF[Proposed PAF], MATCH(Table_Controls_Input[[#This Row],[Prescriptive control measure]], Table_Measure_PAF[List_Control_Measure], 0))</f>
        <v>#N/A</v>
      </c>
      <c r="U36" s="74" t="e">
        <f>INDEX(Table_Prescript_Meas[AOH Type], MATCH(Table_Controls_Input[[#This Row],[Measure number]],Table_Prescript_Meas[Measure Number], 0))</f>
        <v>#N/A</v>
      </c>
      <c r="V36" s="74" t="e">
        <f>INDEX(Table_Prescript_Meas[AOH Type], MATCH(Table_Controls_Input[[#This Row],[Measure number]], Table_Prescript_Meas[Measure Number],0))</f>
        <v>#N/A</v>
      </c>
      <c r="W36"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36" s="4"/>
      <c r="Y36" s="4"/>
      <c r="Z36" s="4"/>
      <c r="AA36" s="4"/>
      <c r="AB36" s="4"/>
      <c r="AC36" s="4"/>
      <c r="AD36" s="4"/>
      <c r="AE36" s="4"/>
      <c r="AF36" s="4"/>
      <c r="AG36" s="4"/>
      <c r="AH36" s="4"/>
      <c r="AI36" s="4"/>
      <c r="AJ36" s="4"/>
      <c r="AK36" s="4"/>
      <c r="AL36" s="4"/>
      <c r="AM36" s="4"/>
      <c r="AN36" s="4"/>
      <c r="AO36" s="4"/>
      <c r="AP36" s="4"/>
      <c r="AQ36" s="4"/>
      <c r="AR36" s="4"/>
      <c r="AS36" s="4"/>
    </row>
    <row r="37" spans="1:45" x14ac:dyDescent="0.2">
      <c r="A37" s="4"/>
      <c r="B37" s="63">
        <v>33</v>
      </c>
      <c r="C37" s="61" t="str">
        <f>IFERROR(INDEX(Table_Prescript_Meas[Measure Number], MATCH(E37, Table_Prescript_Meas[Measure Description], 0)), "")</f>
        <v/>
      </c>
      <c r="D37" s="192"/>
      <c r="E37" s="179"/>
      <c r="F37" s="197"/>
      <c r="G37" s="179"/>
      <c r="H37" s="179"/>
      <c r="I37" s="181"/>
      <c r="J37" s="181"/>
      <c r="K37"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37" s="67" t="str">
        <f>IFERROR(Table_Controls_Input[[#This Row],[Per-unit incentive]]*Table_Controls_Input[[#This Row],[Quantity (Sensors/controller units)]],"")</f>
        <v/>
      </c>
      <c r="M37"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37"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37" s="67" t="str">
        <f t="shared" si="0"/>
        <v/>
      </c>
      <c r="P37" s="67" t="str">
        <f>IF(Table_Controls_Input[[#This Row],[Per-unit incentive]]="","",Table_Controls_Input[[#This Row],[Total equipment cost]]+Table_Controls_Input[[#This Row],[Total labor cost]])</f>
        <v/>
      </c>
      <c r="Q37" s="67" t="str">
        <f>IFERROR(Table_Controls_Input[[#This Row],[Gross measure cost]]-Table_Controls_Input[[#This Row],[Estimated incentive]], "")</f>
        <v/>
      </c>
      <c r="R37" s="69" t="str">
        <f>IFERROR(Table_Controls_Input[[#This Row],[Net measure cost]]/Table_Controls_Input[[#This Row],[Cost savings]],"")</f>
        <v/>
      </c>
      <c r="S37" s="74" t="e">
        <f>INDEX(Table_Control_PAF[PAF], MATCH(Table_Controls_Input[[#This Row],[Existing lighting controls]], Table_Control_PAF[List_Control_Types], 0))</f>
        <v>#N/A</v>
      </c>
      <c r="T37" s="74" t="e">
        <f>INDEX(Table_Measure_PAF[Proposed PAF], MATCH(Table_Controls_Input[[#This Row],[Prescriptive control measure]], Table_Measure_PAF[List_Control_Measure], 0))</f>
        <v>#N/A</v>
      </c>
      <c r="U37" s="74" t="e">
        <f>INDEX(Table_Prescript_Meas[AOH Type], MATCH(Table_Controls_Input[[#This Row],[Measure number]],Table_Prescript_Meas[Measure Number], 0))</f>
        <v>#N/A</v>
      </c>
      <c r="V37" s="74" t="e">
        <f>INDEX(Table_Prescript_Meas[AOH Type], MATCH(Table_Controls_Input[[#This Row],[Measure number]], Table_Prescript_Meas[Measure Number],0))</f>
        <v>#N/A</v>
      </c>
      <c r="W37"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37" s="4"/>
      <c r="Y37" s="4"/>
      <c r="Z37" s="4"/>
      <c r="AA37" s="4"/>
      <c r="AB37" s="4"/>
      <c r="AC37" s="4"/>
      <c r="AD37" s="4"/>
      <c r="AE37" s="4"/>
      <c r="AF37" s="4"/>
      <c r="AG37" s="4"/>
      <c r="AH37" s="4"/>
      <c r="AI37" s="4"/>
      <c r="AJ37" s="4"/>
      <c r="AK37" s="4"/>
      <c r="AL37" s="4"/>
      <c r="AM37" s="4"/>
      <c r="AN37" s="4"/>
      <c r="AO37" s="4"/>
      <c r="AP37" s="4"/>
      <c r="AQ37" s="4"/>
      <c r="AR37" s="4"/>
      <c r="AS37" s="4"/>
    </row>
    <row r="38" spans="1:45" x14ac:dyDescent="0.2">
      <c r="A38" s="4"/>
      <c r="B38" s="63">
        <v>34</v>
      </c>
      <c r="C38" s="61" t="str">
        <f>IFERROR(INDEX(Table_Prescript_Meas[Measure Number], MATCH(E38, Table_Prescript_Meas[Measure Description], 0)), "")</f>
        <v/>
      </c>
      <c r="D38" s="192"/>
      <c r="E38" s="179"/>
      <c r="F38" s="197"/>
      <c r="G38" s="179"/>
      <c r="H38" s="179"/>
      <c r="I38" s="181"/>
      <c r="J38" s="181"/>
      <c r="K38"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38" s="67" t="str">
        <f>IFERROR(Table_Controls_Input[[#This Row],[Per-unit incentive]]*Table_Controls_Input[[#This Row],[Quantity (Sensors/controller units)]],"")</f>
        <v/>
      </c>
      <c r="M38"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38"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38" s="67" t="str">
        <f t="shared" si="0"/>
        <v/>
      </c>
      <c r="P38" s="67" t="str">
        <f>IF(Table_Controls_Input[[#This Row],[Per-unit incentive]]="","",Table_Controls_Input[[#This Row],[Total equipment cost]]+Table_Controls_Input[[#This Row],[Total labor cost]])</f>
        <v/>
      </c>
      <c r="Q38" s="67" t="str">
        <f>IFERROR(Table_Controls_Input[[#This Row],[Gross measure cost]]-Table_Controls_Input[[#This Row],[Estimated incentive]], "")</f>
        <v/>
      </c>
      <c r="R38" s="69" t="str">
        <f>IFERROR(Table_Controls_Input[[#This Row],[Net measure cost]]/Table_Controls_Input[[#This Row],[Cost savings]],"")</f>
        <v/>
      </c>
      <c r="S38" s="74" t="e">
        <f>INDEX(Table_Control_PAF[PAF], MATCH(Table_Controls_Input[[#This Row],[Existing lighting controls]], Table_Control_PAF[List_Control_Types], 0))</f>
        <v>#N/A</v>
      </c>
      <c r="T38" s="74" t="e">
        <f>INDEX(Table_Measure_PAF[Proposed PAF], MATCH(Table_Controls_Input[[#This Row],[Prescriptive control measure]], Table_Measure_PAF[List_Control_Measure], 0))</f>
        <v>#N/A</v>
      </c>
      <c r="U38" s="74" t="e">
        <f>INDEX(Table_Prescript_Meas[AOH Type], MATCH(Table_Controls_Input[[#This Row],[Measure number]],Table_Prescript_Meas[Measure Number], 0))</f>
        <v>#N/A</v>
      </c>
      <c r="V38" s="74" t="e">
        <f>INDEX(Table_Prescript_Meas[AOH Type], MATCH(Table_Controls_Input[[#This Row],[Measure number]], Table_Prescript_Meas[Measure Number],0))</f>
        <v>#N/A</v>
      </c>
      <c r="W38"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38" s="4"/>
      <c r="Y38" s="4"/>
      <c r="Z38" s="4"/>
      <c r="AA38" s="4"/>
      <c r="AB38" s="4"/>
      <c r="AC38" s="4"/>
      <c r="AD38" s="4"/>
      <c r="AE38" s="4"/>
      <c r="AF38" s="4"/>
      <c r="AG38" s="4"/>
      <c r="AH38" s="4"/>
      <c r="AI38" s="4"/>
      <c r="AJ38" s="4"/>
      <c r="AK38" s="4"/>
      <c r="AL38" s="4"/>
      <c r="AM38" s="4"/>
      <c r="AN38" s="4"/>
      <c r="AO38" s="4"/>
      <c r="AP38" s="4"/>
      <c r="AQ38" s="4"/>
      <c r="AR38" s="4"/>
      <c r="AS38" s="4"/>
    </row>
    <row r="39" spans="1:45" x14ac:dyDescent="0.2">
      <c r="A39" s="4"/>
      <c r="B39" s="63">
        <v>35</v>
      </c>
      <c r="C39" s="61" t="str">
        <f>IFERROR(INDEX(Table_Prescript_Meas[Measure Number], MATCH(E39, Table_Prescript_Meas[Measure Description], 0)), "")</f>
        <v/>
      </c>
      <c r="D39" s="192"/>
      <c r="E39" s="179"/>
      <c r="F39" s="197"/>
      <c r="G39" s="179"/>
      <c r="H39" s="179"/>
      <c r="I39" s="181"/>
      <c r="J39" s="181"/>
      <c r="K39"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39" s="67" t="str">
        <f>IFERROR(Table_Controls_Input[[#This Row],[Per-unit incentive]]*Table_Controls_Input[[#This Row],[Quantity (Sensors/controller units)]],"")</f>
        <v/>
      </c>
      <c r="M39"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39"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39" s="67" t="str">
        <f t="shared" si="0"/>
        <v/>
      </c>
      <c r="P39" s="67" t="str">
        <f>IF(Table_Controls_Input[[#This Row],[Per-unit incentive]]="","",Table_Controls_Input[[#This Row],[Total equipment cost]]+Table_Controls_Input[[#This Row],[Total labor cost]])</f>
        <v/>
      </c>
      <c r="Q39" s="67" t="str">
        <f>IFERROR(Table_Controls_Input[[#This Row],[Gross measure cost]]-Table_Controls_Input[[#This Row],[Estimated incentive]], "")</f>
        <v/>
      </c>
      <c r="R39" s="69" t="str">
        <f>IFERROR(Table_Controls_Input[[#This Row],[Net measure cost]]/Table_Controls_Input[[#This Row],[Cost savings]],"")</f>
        <v/>
      </c>
      <c r="S39" s="74" t="e">
        <f>INDEX(Table_Control_PAF[PAF], MATCH(Table_Controls_Input[[#This Row],[Existing lighting controls]], Table_Control_PAF[List_Control_Types], 0))</f>
        <v>#N/A</v>
      </c>
      <c r="T39" s="74" t="e">
        <f>INDEX(Table_Measure_PAF[Proposed PAF], MATCH(Table_Controls_Input[[#This Row],[Prescriptive control measure]], Table_Measure_PAF[List_Control_Measure], 0))</f>
        <v>#N/A</v>
      </c>
      <c r="U39" s="74" t="e">
        <f>INDEX(Table_Prescript_Meas[AOH Type], MATCH(Table_Controls_Input[[#This Row],[Measure number]],Table_Prescript_Meas[Measure Number], 0))</f>
        <v>#N/A</v>
      </c>
      <c r="V39" s="74" t="e">
        <f>INDEX(Table_Prescript_Meas[AOH Type], MATCH(Table_Controls_Input[[#This Row],[Measure number]], Table_Prescript_Meas[Measure Number],0))</f>
        <v>#N/A</v>
      </c>
      <c r="W39"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39" s="4"/>
      <c r="Y39" s="4"/>
      <c r="Z39" s="4"/>
      <c r="AA39" s="4"/>
      <c r="AB39" s="4"/>
      <c r="AC39" s="4"/>
      <c r="AD39" s="4"/>
      <c r="AE39" s="4"/>
      <c r="AF39" s="4"/>
      <c r="AG39" s="4"/>
      <c r="AH39" s="4"/>
      <c r="AI39" s="4"/>
      <c r="AJ39" s="4"/>
      <c r="AK39" s="4"/>
      <c r="AL39" s="4"/>
      <c r="AM39" s="4"/>
      <c r="AN39" s="4"/>
      <c r="AO39" s="4"/>
      <c r="AP39" s="4"/>
      <c r="AQ39" s="4"/>
      <c r="AR39" s="4"/>
      <c r="AS39" s="4"/>
    </row>
    <row r="40" spans="1:45" x14ac:dyDescent="0.2">
      <c r="A40" s="4"/>
      <c r="B40" s="63">
        <v>36</v>
      </c>
      <c r="C40" s="61" t="str">
        <f>IFERROR(INDEX(Table_Prescript_Meas[Measure Number], MATCH(E40, Table_Prescript_Meas[Measure Description], 0)), "")</f>
        <v/>
      </c>
      <c r="D40" s="192"/>
      <c r="E40" s="179"/>
      <c r="F40" s="197"/>
      <c r="G40" s="179"/>
      <c r="H40" s="179"/>
      <c r="I40" s="181"/>
      <c r="J40" s="181"/>
      <c r="K40"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40" s="67" t="str">
        <f>IFERROR(Table_Controls_Input[[#This Row],[Per-unit incentive]]*Table_Controls_Input[[#This Row],[Quantity (Sensors/controller units)]],"")</f>
        <v/>
      </c>
      <c r="M40"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40"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40" s="67" t="str">
        <f t="shared" si="0"/>
        <v/>
      </c>
      <c r="P40" s="67" t="str">
        <f>IF(Table_Controls_Input[[#This Row],[Per-unit incentive]]="","",Table_Controls_Input[[#This Row],[Total equipment cost]]+Table_Controls_Input[[#This Row],[Total labor cost]])</f>
        <v/>
      </c>
      <c r="Q40" s="67" t="str">
        <f>IFERROR(Table_Controls_Input[[#This Row],[Gross measure cost]]-Table_Controls_Input[[#This Row],[Estimated incentive]], "")</f>
        <v/>
      </c>
      <c r="R40" s="69" t="str">
        <f>IFERROR(Table_Controls_Input[[#This Row],[Net measure cost]]/Table_Controls_Input[[#This Row],[Cost savings]],"")</f>
        <v/>
      </c>
      <c r="S40" s="74" t="e">
        <f>INDEX(Table_Control_PAF[PAF], MATCH(Table_Controls_Input[[#This Row],[Existing lighting controls]], Table_Control_PAF[List_Control_Types], 0))</f>
        <v>#N/A</v>
      </c>
      <c r="T40" s="74" t="e">
        <f>INDEX(Table_Measure_PAF[Proposed PAF], MATCH(Table_Controls_Input[[#This Row],[Prescriptive control measure]], Table_Measure_PAF[List_Control_Measure], 0))</f>
        <v>#N/A</v>
      </c>
      <c r="U40" s="74" t="e">
        <f>INDEX(Table_Prescript_Meas[AOH Type], MATCH(Table_Controls_Input[[#This Row],[Measure number]],Table_Prescript_Meas[Measure Number], 0))</f>
        <v>#N/A</v>
      </c>
      <c r="V40" s="74" t="e">
        <f>INDEX(Table_Prescript_Meas[AOH Type], MATCH(Table_Controls_Input[[#This Row],[Measure number]], Table_Prescript_Meas[Measure Number],0))</f>
        <v>#N/A</v>
      </c>
      <c r="W40"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40" s="4"/>
      <c r="Y40" s="4"/>
      <c r="Z40" s="4"/>
      <c r="AA40" s="4"/>
      <c r="AB40" s="4"/>
      <c r="AC40" s="4"/>
      <c r="AD40" s="4"/>
      <c r="AE40" s="4"/>
      <c r="AF40" s="4"/>
      <c r="AG40" s="4"/>
      <c r="AH40" s="4"/>
      <c r="AI40" s="4"/>
      <c r="AJ40" s="4"/>
      <c r="AK40" s="4"/>
      <c r="AL40" s="4"/>
      <c r="AM40" s="4"/>
      <c r="AN40" s="4"/>
      <c r="AO40" s="4"/>
      <c r="AP40" s="4"/>
      <c r="AQ40" s="4"/>
      <c r="AR40" s="4"/>
      <c r="AS40" s="4"/>
    </row>
    <row r="41" spans="1:45" x14ac:dyDescent="0.2">
      <c r="A41" s="4"/>
      <c r="B41" s="63">
        <v>37</v>
      </c>
      <c r="C41" s="61" t="str">
        <f>IFERROR(INDEX(Table_Prescript_Meas[Measure Number], MATCH(E41, Table_Prescript_Meas[Measure Description], 0)), "")</f>
        <v/>
      </c>
      <c r="D41" s="192"/>
      <c r="E41" s="179"/>
      <c r="F41" s="197"/>
      <c r="G41" s="179"/>
      <c r="H41" s="179"/>
      <c r="I41" s="181"/>
      <c r="J41" s="181"/>
      <c r="K41"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41" s="67" t="str">
        <f>IFERROR(Table_Controls_Input[[#This Row],[Per-unit incentive]]*Table_Controls_Input[[#This Row],[Quantity (Sensors/controller units)]],"")</f>
        <v/>
      </c>
      <c r="M41"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41"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41" s="67" t="str">
        <f t="shared" si="0"/>
        <v/>
      </c>
      <c r="P41" s="67" t="str">
        <f>IF(Table_Controls_Input[[#This Row],[Per-unit incentive]]="","",Table_Controls_Input[[#This Row],[Total equipment cost]]+Table_Controls_Input[[#This Row],[Total labor cost]])</f>
        <v/>
      </c>
      <c r="Q41" s="67" t="str">
        <f>IFERROR(Table_Controls_Input[[#This Row],[Gross measure cost]]-Table_Controls_Input[[#This Row],[Estimated incentive]], "")</f>
        <v/>
      </c>
      <c r="R41" s="69" t="str">
        <f>IFERROR(Table_Controls_Input[[#This Row],[Net measure cost]]/Table_Controls_Input[[#This Row],[Cost savings]],"")</f>
        <v/>
      </c>
      <c r="S41" s="74" t="e">
        <f>INDEX(Table_Control_PAF[PAF], MATCH(Table_Controls_Input[[#This Row],[Existing lighting controls]], Table_Control_PAF[List_Control_Types], 0))</f>
        <v>#N/A</v>
      </c>
      <c r="T41" s="74" t="e">
        <f>INDEX(Table_Measure_PAF[Proposed PAF], MATCH(Table_Controls_Input[[#This Row],[Prescriptive control measure]], Table_Measure_PAF[List_Control_Measure], 0))</f>
        <v>#N/A</v>
      </c>
      <c r="U41" s="74" t="e">
        <f>INDEX(Table_Prescript_Meas[AOH Type], MATCH(Table_Controls_Input[[#This Row],[Measure number]],Table_Prescript_Meas[Measure Number], 0))</f>
        <v>#N/A</v>
      </c>
      <c r="V41" s="74" t="e">
        <f>INDEX(Table_Prescript_Meas[AOH Type], MATCH(Table_Controls_Input[[#This Row],[Measure number]], Table_Prescript_Meas[Measure Number],0))</f>
        <v>#N/A</v>
      </c>
      <c r="W41"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41" s="4"/>
      <c r="Y41" s="4"/>
      <c r="Z41" s="4"/>
      <c r="AA41" s="4"/>
      <c r="AB41" s="4"/>
      <c r="AC41" s="4"/>
      <c r="AD41" s="4"/>
      <c r="AE41" s="4"/>
      <c r="AF41" s="4"/>
      <c r="AG41" s="4"/>
      <c r="AH41" s="4"/>
      <c r="AI41" s="4"/>
      <c r="AJ41" s="4"/>
      <c r="AK41" s="4"/>
      <c r="AL41" s="4"/>
      <c r="AM41" s="4"/>
      <c r="AN41" s="4"/>
      <c r="AO41" s="4"/>
      <c r="AP41" s="4"/>
      <c r="AQ41" s="4"/>
      <c r="AR41" s="4"/>
      <c r="AS41" s="4"/>
    </row>
    <row r="42" spans="1:45" x14ac:dyDescent="0.2">
      <c r="A42" s="4"/>
      <c r="B42" s="63">
        <v>38</v>
      </c>
      <c r="C42" s="61" t="str">
        <f>IFERROR(INDEX(Table_Prescript_Meas[Measure Number], MATCH(E42, Table_Prescript_Meas[Measure Description], 0)), "")</f>
        <v/>
      </c>
      <c r="D42" s="192"/>
      <c r="E42" s="179"/>
      <c r="F42" s="197"/>
      <c r="G42" s="179"/>
      <c r="H42" s="179"/>
      <c r="I42" s="181"/>
      <c r="J42" s="181"/>
      <c r="K42"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42" s="67" t="str">
        <f>IFERROR(Table_Controls_Input[[#This Row],[Per-unit incentive]]*Table_Controls_Input[[#This Row],[Quantity (Sensors/controller units)]],"")</f>
        <v/>
      </c>
      <c r="M42"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42"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42" s="67" t="str">
        <f t="shared" si="0"/>
        <v/>
      </c>
      <c r="P42" s="67" t="str">
        <f>IF(Table_Controls_Input[[#This Row],[Per-unit incentive]]="","",Table_Controls_Input[[#This Row],[Total equipment cost]]+Table_Controls_Input[[#This Row],[Total labor cost]])</f>
        <v/>
      </c>
      <c r="Q42" s="67" t="str">
        <f>IFERROR(Table_Controls_Input[[#This Row],[Gross measure cost]]-Table_Controls_Input[[#This Row],[Estimated incentive]], "")</f>
        <v/>
      </c>
      <c r="R42" s="69" t="str">
        <f>IFERROR(Table_Controls_Input[[#This Row],[Net measure cost]]/Table_Controls_Input[[#This Row],[Cost savings]],"")</f>
        <v/>
      </c>
      <c r="S42" s="74" t="e">
        <f>INDEX(Table_Control_PAF[PAF], MATCH(Table_Controls_Input[[#This Row],[Existing lighting controls]], Table_Control_PAF[List_Control_Types], 0))</f>
        <v>#N/A</v>
      </c>
      <c r="T42" s="74" t="e">
        <f>INDEX(Table_Measure_PAF[Proposed PAF], MATCH(Table_Controls_Input[[#This Row],[Prescriptive control measure]], Table_Measure_PAF[List_Control_Measure], 0))</f>
        <v>#N/A</v>
      </c>
      <c r="U42" s="74" t="e">
        <f>INDEX(Table_Prescript_Meas[AOH Type], MATCH(Table_Controls_Input[[#This Row],[Measure number]],Table_Prescript_Meas[Measure Number], 0))</f>
        <v>#N/A</v>
      </c>
      <c r="V42" s="74" t="e">
        <f>INDEX(Table_Prescript_Meas[AOH Type], MATCH(Table_Controls_Input[[#This Row],[Measure number]], Table_Prescript_Meas[Measure Number],0))</f>
        <v>#N/A</v>
      </c>
      <c r="W42"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42" s="4"/>
      <c r="Y42" s="4"/>
      <c r="Z42" s="4"/>
      <c r="AA42" s="4"/>
      <c r="AB42" s="4"/>
      <c r="AC42" s="4"/>
      <c r="AD42" s="4"/>
      <c r="AE42" s="4"/>
      <c r="AF42" s="4"/>
      <c r="AG42" s="4"/>
      <c r="AH42" s="4"/>
      <c r="AI42" s="4"/>
      <c r="AJ42" s="4"/>
      <c r="AK42" s="4"/>
      <c r="AL42" s="4"/>
      <c r="AM42" s="4"/>
      <c r="AN42" s="4"/>
      <c r="AO42" s="4"/>
      <c r="AP42" s="4"/>
      <c r="AQ42" s="4"/>
      <c r="AR42" s="4"/>
      <c r="AS42" s="4"/>
    </row>
    <row r="43" spans="1:45" x14ac:dyDescent="0.2">
      <c r="A43" s="4"/>
      <c r="B43" s="63">
        <v>39</v>
      </c>
      <c r="C43" s="61" t="str">
        <f>IFERROR(INDEX(Table_Prescript_Meas[Measure Number], MATCH(E43, Table_Prescript_Meas[Measure Description], 0)), "")</f>
        <v/>
      </c>
      <c r="D43" s="192"/>
      <c r="E43" s="179"/>
      <c r="F43" s="197"/>
      <c r="G43" s="179"/>
      <c r="H43" s="179"/>
      <c r="I43" s="181"/>
      <c r="J43" s="181"/>
      <c r="K43"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43" s="67" t="str">
        <f>IFERROR(Table_Controls_Input[[#This Row],[Per-unit incentive]]*Table_Controls_Input[[#This Row],[Quantity (Sensors/controller units)]],"")</f>
        <v/>
      </c>
      <c r="M43"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43"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43" s="67" t="str">
        <f t="shared" si="0"/>
        <v/>
      </c>
      <c r="P43" s="67" t="str">
        <f>IF(Table_Controls_Input[[#This Row],[Per-unit incentive]]="","",Table_Controls_Input[[#This Row],[Total equipment cost]]+Table_Controls_Input[[#This Row],[Total labor cost]])</f>
        <v/>
      </c>
      <c r="Q43" s="67" t="str">
        <f>IFERROR(Table_Controls_Input[[#This Row],[Gross measure cost]]-Table_Controls_Input[[#This Row],[Estimated incentive]], "")</f>
        <v/>
      </c>
      <c r="R43" s="69" t="str">
        <f>IFERROR(Table_Controls_Input[[#This Row],[Net measure cost]]/Table_Controls_Input[[#This Row],[Cost savings]],"")</f>
        <v/>
      </c>
      <c r="S43" s="74" t="e">
        <f>INDEX(Table_Control_PAF[PAF], MATCH(Table_Controls_Input[[#This Row],[Existing lighting controls]], Table_Control_PAF[List_Control_Types], 0))</f>
        <v>#N/A</v>
      </c>
      <c r="T43" s="74" t="e">
        <f>INDEX(Table_Measure_PAF[Proposed PAF], MATCH(Table_Controls_Input[[#This Row],[Prescriptive control measure]], Table_Measure_PAF[List_Control_Measure], 0))</f>
        <v>#N/A</v>
      </c>
      <c r="U43" s="74" t="e">
        <f>INDEX(Table_Prescript_Meas[AOH Type], MATCH(Table_Controls_Input[[#This Row],[Measure number]],Table_Prescript_Meas[Measure Number], 0))</f>
        <v>#N/A</v>
      </c>
      <c r="V43" s="74" t="e">
        <f>INDEX(Table_Prescript_Meas[AOH Type], MATCH(Table_Controls_Input[[#This Row],[Measure number]], Table_Prescript_Meas[Measure Number],0))</f>
        <v>#N/A</v>
      </c>
      <c r="W43"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43" s="4"/>
      <c r="Y43" s="4"/>
      <c r="Z43" s="4"/>
      <c r="AA43" s="4"/>
      <c r="AB43" s="4"/>
      <c r="AC43" s="4"/>
      <c r="AD43" s="4"/>
      <c r="AE43" s="4"/>
      <c r="AF43" s="4"/>
      <c r="AG43" s="4"/>
      <c r="AH43" s="4"/>
      <c r="AI43" s="4"/>
      <c r="AJ43" s="4"/>
      <c r="AK43" s="4"/>
      <c r="AL43" s="4"/>
      <c r="AM43" s="4"/>
      <c r="AN43" s="4"/>
      <c r="AO43" s="4"/>
      <c r="AP43" s="4"/>
      <c r="AQ43" s="4"/>
      <c r="AR43" s="4"/>
      <c r="AS43" s="4"/>
    </row>
    <row r="44" spans="1:45" x14ac:dyDescent="0.2">
      <c r="A44" s="4"/>
      <c r="B44" s="63">
        <v>40</v>
      </c>
      <c r="C44" s="61" t="str">
        <f>IFERROR(INDEX(Table_Prescript_Meas[Measure Number], MATCH(E44, Table_Prescript_Meas[Measure Description], 0)), "")</f>
        <v/>
      </c>
      <c r="D44" s="192"/>
      <c r="E44" s="179"/>
      <c r="F44" s="197"/>
      <c r="G44" s="179"/>
      <c r="H44" s="179"/>
      <c r="I44" s="181"/>
      <c r="J44" s="181"/>
      <c r="K44"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44" s="67" t="str">
        <f>IFERROR(Table_Controls_Input[[#This Row],[Per-unit incentive]]*Table_Controls_Input[[#This Row],[Quantity (Sensors/controller units)]],"")</f>
        <v/>
      </c>
      <c r="M44"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44"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44" s="67" t="str">
        <f t="shared" si="0"/>
        <v/>
      </c>
      <c r="P44" s="67" t="str">
        <f>IF(Table_Controls_Input[[#This Row],[Per-unit incentive]]="","",Table_Controls_Input[[#This Row],[Total equipment cost]]+Table_Controls_Input[[#This Row],[Total labor cost]])</f>
        <v/>
      </c>
      <c r="Q44" s="67" t="str">
        <f>IFERROR(Table_Controls_Input[[#This Row],[Gross measure cost]]-Table_Controls_Input[[#This Row],[Estimated incentive]], "")</f>
        <v/>
      </c>
      <c r="R44" s="69" t="str">
        <f>IFERROR(Table_Controls_Input[[#This Row],[Net measure cost]]/Table_Controls_Input[[#This Row],[Cost savings]],"")</f>
        <v/>
      </c>
      <c r="S44" s="74" t="e">
        <f>INDEX(Table_Control_PAF[PAF], MATCH(Table_Controls_Input[[#This Row],[Existing lighting controls]], Table_Control_PAF[List_Control_Types], 0))</f>
        <v>#N/A</v>
      </c>
      <c r="T44" s="74" t="e">
        <f>INDEX(Table_Measure_PAF[Proposed PAF], MATCH(Table_Controls_Input[[#This Row],[Prescriptive control measure]], Table_Measure_PAF[List_Control_Measure], 0))</f>
        <v>#N/A</v>
      </c>
      <c r="U44" s="74" t="e">
        <f>INDEX(Table_Prescript_Meas[AOH Type], MATCH(Table_Controls_Input[[#This Row],[Measure number]],Table_Prescript_Meas[Measure Number], 0))</f>
        <v>#N/A</v>
      </c>
      <c r="V44" s="74" t="e">
        <f>INDEX(Table_Prescript_Meas[AOH Type], MATCH(Table_Controls_Input[[#This Row],[Measure number]], Table_Prescript_Meas[Measure Number],0))</f>
        <v>#N/A</v>
      </c>
      <c r="W44"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44" s="4"/>
      <c r="Y44" s="4"/>
      <c r="Z44" s="4"/>
      <c r="AA44" s="4"/>
      <c r="AB44" s="4"/>
      <c r="AC44" s="4"/>
      <c r="AD44" s="4"/>
      <c r="AE44" s="4"/>
      <c r="AF44" s="4"/>
      <c r="AG44" s="4"/>
      <c r="AH44" s="4"/>
      <c r="AI44" s="4"/>
      <c r="AJ44" s="4"/>
      <c r="AK44" s="4"/>
      <c r="AL44" s="4"/>
      <c r="AM44" s="4"/>
      <c r="AN44" s="4"/>
      <c r="AO44" s="4"/>
      <c r="AP44" s="4"/>
      <c r="AQ44" s="4"/>
      <c r="AR44" s="4"/>
      <c r="AS44" s="4"/>
    </row>
    <row r="45" spans="1:45" x14ac:dyDescent="0.2">
      <c r="A45" s="4"/>
      <c r="B45" s="63">
        <v>41</v>
      </c>
      <c r="C45" s="61" t="str">
        <f>IFERROR(INDEX(Table_Prescript_Meas[Measure Number], MATCH(E45, Table_Prescript_Meas[Measure Description], 0)), "")</f>
        <v/>
      </c>
      <c r="D45" s="192"/>
      <c r="E45" s="179"/>
      <c r="F45" s="197"/>
      <c r="G45" s="179"/>
      <c r="H45" s="179"/>
      <c r="I45" s="181"/>
      <c r="J45" s="181"/>
      <c r="K45"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45" s="67" t="str">
        <f>IFERROR(Table_Controls_Input[[#This Row],[Per-unit incentive]]*Table_Controls_Input[[#This Row],[Quantity (Sensors/controller units)]],"")</f>
        <v/>
      </c>
      <c r="M45"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45"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45" s="67" t="str">
        <f t="shared" si="0"/>
        <v/>
      </c>
      <c r="P45" s="67" t="str">
        <f>IF(Table_Controls_Input[[#This Row],[Per-unit incentive]]="","",Table_Controls_Input[[#This Row],[Total equipment cost]]+Table_Controls_Input[[#This Row],[Total labor cost]])</f>
        <v/>
      </c>
      <c r="Q45" s="67" t="str">
        <f>IFERROR(Table_Controls_Input[[#This Row],[Gross measure cost]]-Table_Controls_Input[[#This Row],[Estimated incentive]], "")</f>
        <v/>
      </c>
      <c r="R45" s="69" t="str">
        <f>IFERROR(Table_Controls_Input[[#This Row],[Net measure cost]]/Table_Controls_Input[[#This Row],[Cost savings]],"")</f>
        <v/>
      </c>
      <c r="S45" s="74" t="e">
        <f>INDEX(Table_Control_PAF[PAF], MATCH(Table_Controls_Input[[#This Row],[Existing lighting controls]], Table_Control_PAF[List_Control_Types], 0))</f>
        <v>#N/A</v>
      </c>
      <c r="T45" s="74" t="e">
        <f>INDEX(Table_Measure_PAF[Proposed PAF], MATCH(Table_Controls_Input[[#This Row],[Prescriptive control measure]], Table_Measure_PAF[List_Control_Measure], 0))</f>
        <v>#N/A</v>
      </c>
      <c r="U45" s="74" t="e">
        <f>INDEX(Table_Prescript_Meas[AOH Type], MATCH(Table_Controls_Input[[#This Row],[Measure number]],Table_Prescript_Meas[Measure Number], 0))</f>
        <v>#N/A</v>
      </c>
      <c r="V45" s="74" t="e">
        <f>INDEX(Table_Prescript_Meas[AOH Type], MATCH(Table_Controls_Input[[#This Row],[Measure number]], Table_Prescript_Meas[Measure Number],0))</f>
        <v>#N/A</v>
      </c>
      <c r="W45"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45" s="4"/>
      <c r="Y45" s="4"/>
      <c r="Z45" s="4"/>
      <c r="AA45" s="4"/>
      <c r="AB45" s="4"/>
      <c r="AC45" s="4"/>
      <c r="AD45" s="4"/>
      <c r="AE45" s="4"/>
      <c r="AF45" s="4"/>
      <c r="AG45" s="4"/>
      <c r="AH45" s="4"/>
      <c r="AI45" s="4"/>
      <c r="AJ45" s="4"/>
      <c r="AK45" s="4"/>
      <c r="AL45" s="4"/>
      <c r="AM45" s="4"/>
      <c r="AN45" s="4"/>
      <c r="AO45" s="4"/>
      <c r="AP45" s="4"/>
      <c r="AQ45" s="4"/>
      <c r="AR45" s="4"/>
      <c r="AS45" s="4"/>
    </row>
    <row r="46" spans="1:45" x14ac:dyDescent="0.2">
      <c r="A46" s="4"/>
      <c r="B46" s="63">
        <v>42</v>
      </c>
      <c r="C46" s="61" t="str">
        <f>IFERROR(INDEX(Table_Prescript_Meas[Measure Number], MATCH(E46, Table_Prescript_Meas[Measure Description], 0)), "")</f>
        <v/>
      </c>
      <c r="D46" s="192"/>
      <c r="E46" s="179"/>
      <c r="F46" s="197"/>
      <c r="G46" s="179"/>
      <c r="H46" s="179"/>
      <c r="I46" s="181"/>
      <c r="J46" s="181"/>
      <c r="K46"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46" s="67" t="str">
        <f>IFERROR(Table_Controls_Input[[#This Row],[Per-unit incentive]]*Table_Controls_Input[[#This Row],[Quantity (Sensors/controller units)]],"")</f>
        <v/>
      </c>
      <c r="M46"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46"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46" s="67" t="str">
        <f t="shared" si="0"/>
        <v/>
      </c>
      <c r="P46" s="67" t="str">
        <f>IF(Table_Controls_Input[[#This Row],[Per-unit incentive]]="","",Table_Controls_Input[[#This Row],[Total equipment cost]]+Table_Controls_Input[[#This Row],[Total labor cost]])</f>
        <v/>
      </c>
      <c r="Q46" s="67" t="str">
        <f>IFERROR(Table_Controls_Input[[#This Row],[Gross measure cost]]-Table_Controls_Input[[#This Row],[Estimated incentive]], "")</f>
        <v/>
      </c>
      <c r="R46" s="69" t="str">
        <f>IFERROR(Table_Controls_Input[[#This Row],[Net measure cost]]/Table_Controls_Input[[#This Row],[Cost savings]],"")</f>
        <v/>
      </c>
      <c r="S46" s="74" t="e">
        <f>INDEX(Table_Control_PAF[PAF], MATCH(Table_Controls_Input[[#This Row],[Existing lighting controls]], Table_Control_PAF[List_Control_Types], 0))</f>
        <v>#N/A</v>
      </c>
      <c r="T46" s="74" t="e">
        <f>INDEX(Table_Measure_PAF[Proposed PAF], MATCH(Table_Controls_Input[[#This Row],[Prescriptive control measure]], Table_Measure_PAF[List_Control_Measure], 0))</f>
        <v>#N/A</v>
      </c>
      <c r="U46" s="74" t="e">
        <f>INDEX(Table_Prescript_Meas[AOH Type], MATCH(Table_Controls_Input[[#This Row],[Measure number]],Table_Prescript_Meas[Measure Number], 0))</f>
        <v>#N/A</v>
      </c>
      <c r="V46" s="74" t="e">
        <f>INDEX(Table_Prescript_Meas[AOH Type], MATCH(Table_Controls_Input[[#This Row],[Measure number]], Table_Prescript_Meas[Measure Number],0))</f>
        <v>#N/A</v>
      </c>
      <c r="W46"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46" s="4"/>
      <c r="Y46" s="4"/>
      <c r="Z46" s="4"/>
      <c r="AA46" s="4"/>
      <c r="AB46" s="4"/>
      <c r="AC46" s="4"/>
      <c r="AD46" s="4"/>
      <c r="AE46" s="4"/>
      <c r="AF46" s="4"/>
      <c r="AG46" s="4"/>
      <c r="AH46" s="4"/>
      <c r="AI46" s="4"/>
      <c r="AJ46" s="4"/>
      <c r="AK46" s="4"/>
      <c r="AL46" s="4"/>
      <c r="AM46" s="4"/>
      <c r="AN46" s="4"/>
      <c r="AO46" s="4"/>
      <c r="AP46" s="4"/>
      <c r="AQ46" s="4"/>
      <c r="AR46" s="4"/>
      <c r="AS46" s="4"/>
    </row>
    <row r="47" spans="1:45" x14ac:dyDescent="0.2">
      <c r="A47" s="4"/>
      <c r="B47" s="63">
        <v>43</v>
      </c>
      <c r="C47" s="61" t="str">
        <f>IFERROR(INDEX(Table_Prescript_Meas[Measure Number], MATCH(E47, Table_Prescript_Meas[Measure Description], 0)), "")</f>
        <v/>
      </c>
      <c r="D47" s="192"/>
      <c r="E47" s="179"/>
      <c r="F47" s="197"/>
      <c r="G47" s="179"/>
      <c r="H47" s="179"/>
      <c r="I47" s="181"/>
      <c r="J47" s="181"/>
      <c r="K47"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47" s="67" t="str">
        <f>IFERROR(Table_Controls_Input[[#This Row],[Per-unit incentive]]*Table_Controls_Input[[#This Row],[Quantity (Sensors/controller units)]],"")</f>
        <v/>
      </c>
      <c r="M47"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47"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47" s="67" t="str">
        <f t="shared" si="0"/>
        <v/>
      </c>
      <c r="P47" s="67" t="str">
        <f>IF(Table_Controls_Input[[#This Row],[Per-unit incentive]]="","",Table_Controls_Input[[#This Row],[Total equipment cost]]+Table_Controls_Input[[#This Row],[Total labor cost]])</f>
        <v/>
      </c>
      <c r="Q47" s="67" t="str">
        <f>IFERROR(Table_Controls_Input[[#This Row],[Gross measure cost]]-Table_Controls_Input[[#This Row],[Estimated incentive]], "")</f>
        <v/>
      </c>
      <c r="R47" s="69" t="str">
        <f>IFERROR(Table_Controls_Input[[#This Row],[Net measure cost]]/Table_Controls_Input[[#This Row],[Cost savings]],"")</f>
        <v/>
      </c>
      <c r="S47" s="74" t="e">
        <f>INDEX(Table_Control_PAF[PAF], MATCH(Table_Controls_Input[[#This Row],[Existing lighting controls]], Table_Control_PAF[List_Control_Types], 0))</f>
        <v>#N/A</v>
      </c>
      <c r="T47" s="74" t="e">
        <f>INDEX(Table_Measure_PAF[Proposed PAF], MATCH(Table_Controls_Input[[#This Row],[Prescriptive control measure]], Table_Measure_PAF[List_Control_Measure], 0))</f>
        <v>#N/A</v>
      </c>
      <c r="U47" s="74" t="e">
        <f>INDEX(Table_Prescript_Meas[AOH Type], MATCH(Table_Controls_Input[[#This Row],[Measure number]],Table_Prescript_Meas[Measure Number], 0))</f>
        <v>#N/A</v>
      </c>
      <c r="V47" s="74" t="e">
        <f>INDEX(Table_Prescript_Meas[AOH Type], MATCH(Table_Controls_Input[[#This Row],[Measure number]], Table_Prescript_Meas[Measure Number],0))</f>
        <v>#N/A</v>
      </c>
      <c r="W47"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47" s="4"/>
      <c r="Y47" s="4"/>
      <c r="Z47" s="4"/>
      <c r="AA47" s="4"/>
      <c r="AB47" s="4"/>
      <c r="AC47" s="4"/>
      <c r="AD47" s="4"/>
      <c r="AE47" s="4"/>
      <c r="AF47" s="4"/>
      <c r="AG47" s="4"/>
      <c r="AH47" s="4"/>
      <c r="AI47" s="4"/>
      <c r="AJ47" s="4"/>
      <c r="AK47" s="4"/>
      <c r="AL47" s="4"/>
      <c r="AM47" s="4"/>
      <c r="AN47" s="4"/>
      <c r="AO47" s="4"/>
      <c r="AP47" s="4"/>
      <c r="AQ47" s="4"/>
      <c r="AR47" s="4"/>
      <c r="AS47" s="4"/>
    </row>
    <row r="48" spans="1:45" x14ac:dyDescent="0.2">
      <c r="A48" s="4"/>
      <c r="B48" s="63">
        <v>44</v>
      </c>
      <c r="C48" s="61" t="str">
        <f>IFERROR(INDEX(Table_Prescript_Meas[Measure Number], MATCH(E48, Table_Prescript_Meas[Measure Description], 0)), "")</f>
        <v/>
      </c>
      <c r="D48" s="192"/>
      <c r="E48" s="179"/>
      <c r="F48" s="197"/>
      <c r="G48" s="179"/>
      <c r="H48" s="179"/>
      <c r="I48" s="181"/>
      <c r="J48" s="181"/>
      <c r="K48"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48" s="67" t="str">
        <f>IFERROR(Table_Controls_Input[[#This Row],[Per-unit incentive]]*Table_Controls_Input[[#This Row],[Quantity (Sensors/controller units)]],"")</f>
        <v/>
      </c>
      <c r="M48"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48"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48" s="67" t="str">
        <f t="shared" si="0"/>
        <v/>
      </c>
      <c r="P48" s="67" t="str">
        <f>IF(Table_Controls_Input[[#This Row],[Per-unit incentive]]="","",Table_Controls_Input[[#This Row],[Total equipment cost]]+Table_Controls_Input[[#This Row],[Total labor cost]])</f>
        <v/>
      </c>
      <c r="Q48" s="67" t="str">
        <f>IFERROR(Table_Controls_Input[[#This Row],[Gross measure cost]]-Table_Controls_Input[[#This Row],[Estimated incentive]], "")</f>
        <v/>
      </c>
      <c r="R48" s="69" t="str">
        <f>IFERROR(Table_Controls_Input[[#This Row],[Net measure cost]]/Table_Controls_Input[[#This Row],[Cost savings]],"")</f>
        <v/>
      </c>
      <c r="S48" s="74" t="e">
        <f>INDEX(Table_Control_PAF[PAF], MATCH(Table_Controls_Input[[#This Row],[Existing lighting controls]], Table_Control_PAF[List_Control_Types], 0))</f>
        <v>#N/A</v>
      </c>
      <c r="T48" s="74" t="e">
        <f>INDEX(Table_Measure_PAF[Proposed PAF], MATCH(Table_Controls_Input[[#This Row],[Prescriptive control measure]], Table_Measure_PAF[List_Control_Measure], 0))</f>
        <v>#N/A</v>
      </c>
      <c r="U48" s="74" t="e">
        <f>INDEX(Table_Prescript_Meas[AOH Type], MATCH(Table_Controls_Input[[#This Row],[Measure number]],Table_Prescript_Meas[Measure Number], 0))</f>
        <v>#N/A</v>
      </c>
      <c r="V48" s="74" t="e">
        <f>INDEX(Table_Prescript_Meas[AOH Type], MATCH(Table_Controls_Input[[#This Row],[Measure number]], Table_Prescript_Meas[Measure Number],0))</f>
        <v>#N/A</v>
      </c>
      <c r="W48"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48" s="4"/>
      <c r="Y48" s="4"/>
      <c r="Z48" s="4"/>
      <c r="AA48" s="4"/>
      <c r="AB48" s="4"/>
      <c r="AC48" s="4"/>
      <c r="AD48" s="4"/>
      <c r="AE48" s="4"/>
      <c r="AF48" s="4"/>
      <c r="AG48" s="4"/>
      <c r="AH48" s="4"/>
      <c r="AI48" s="4"/>
      <c r="AJ48" s="4"/>
      <c r="AK48" s="4"/>
      <c r="AL48" s="4"/>
      <c r="AM48" s="4"/>
      <c r="AN48" s="4"/>
      <c r="AO48" s="4"/>
      <c r="AP48" s="4"/>
      <c r="AQ48" s="4"/>
      <c r="AR48" s="4"/>
      <c r="AS48" s="4"/>
    </row>
    <row r="49" spans="1:45" x14ac:dyDescent="0.2">
      <c r="A49" s="4"/>
      <c r="B49" s="63">
        <v>45</v>
      </c>
      <c r="C49" s="61" t="str">
        <f>IFERROR(INDEX(Table_Prescript_Meas[Measure Number], MATCH(E49, Table_Prescript_Meas[Measure Description], 0)), "")</f>
        <v/>
      </c>
      <c r="D49" s="192"/>
      <c r="E49" s="179"/>
      <c r="F49" s="197"/>
      <c r="G49" s="179"/>
      <c r="H49" s="179"/>
      <c r="I49" s="181"/>
      <c r="J49" s="181"/>
      <c r="K49"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49" s="67" t="str">
        <f>IFERROR(Table_Controls_Input[[#This Row],[Per-unit incentive]]*Table_Controls_Input[[#This Row],[Quantity (Sensors/controller units)]],"")</f>
        <v/>
      </c>
      <c r="M49"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49"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49" s="67" t="str">
        <f t="shared" si="0"/>
        <v/>
      </c>
      <c r="P49" s="67" t="str">
        <f>IF(Table_Controls_Input[[#This Row],[Per-unit incentive]]="","",Table_Controls_Input[[#This Row],[Total equipment cost]]+Table_Controls_Input[[#This Row],[Total labor cost]])</f>
        <v/>
      </c>
      <c r="Q49" s="67" t="str">
        <f>IFERROR(Table_Controls_Input[[#This Row],[Gross measure cost]]-Table_Controls_Input[[#This Row],[Estimated incentive]], "")</f>
        <v/>
      </c>
      <c r="R49" s="69" t="str">
        <f>IFERROR(Table_Controls_Input[[#This Row],[Net measure cost]]/Table_Controls_Input[[#This Row],[Cost savings]],"")</f>
        <v/>
      </c>
      <c r="S49" s="74" t="e">
        <f>INDEX(Table_Control_PAF[PAF], MATCH(Table_Controls_Input[[#This Row],[Existing lighting controls]], Table_Control_PAF[List_Control_Types], 0))</f>
        <v>#N/A</v>
      </c>
      <c r="T49" s="74" t="e">
        <f>INDEX(Table_Measure_PAF[Proposed PAF], MATCH(Table_Controls_Input[[#This Row],[Prescriptive control measure]], Table_Measure_PAF[List_Control_Measure], 0))</f>
        <v>#N/A</v>
      </c>
      <c r="U49" s="74" t="e">
        <f>INDEX(Table_Prescript_Meas[AOH Type], MATCH(Table_Controls_Input[[#This Row],[Measure number]],Table_Prescript_Meas[Measure Number], 0))</f>
        <v>#N/A</v>
      </c>
      <c r="V49" s="74" t="e">
        <f>INDEX(Table_Prescript_Meas[AOH Type], MATCH(Table_Controls_Input[[#This Row],[Measure number]], Table_Prescript_Meas[Measure Number],0))</f>
        <v>#N/A</v>
      </c>
      <c r="W49"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49" s="4"/>
      <c r="Y49" s="4"/>
      <c r="Z49" s="4"/>
      <c r="AA49" s="4"/>
      <c r="AB49" s="4"/>
      <c r="AC49" s="4"/>
      <c r="AD49" s="4"/>
      <c r="AE49" s="4"/>
      <c r="AF49" s="4"/>
      <c r="AG49" s="4"/>
      <c r="AH49" s="4"/>
      <c r="AI49" s="4"/>
      <c r="AJ49" s="4"/>
      <c r="AK49" s="4"/>
      <c r="AL49" s="4"/>
      <c r="AM49" s="4"/>
      <c r="AN49" s="4"/>
      <c r="AO49" s="4"/>
      <c r="AP49" s="4"/>
      <c r="AQ49" s="4"/>
      <c r="AR49" s="4"/>
      <c r="AS49" s="4"/>
    </row>
    <row r="50" spans="1:45" x14ac:dyDescent="0.2">
      <c r="A50" s="4"/>
      <c r="B50" s="63">
        <v>46</v>
      </c>
      <c r="C50" s="61" t="str">
        <f>IFERROR(INDEX(Table_Prescript_Meas[Measure Number], MATCH(E50, Table_Prescript_Meas[Measure Description], 0)), "")</f>
        <v/>
      </c>
      <c r="D50" s="192"/>
      <c r="E50" s="179"/>
      <c r="F50" s="197"/>
      <c r="G50" s="179"/>
      <c r="H50" s="179"/>
      <c r="I50" s="181"/>
      <c r="J50" s="181"/>
      <c r="K50"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50" s="67" t="str">
        <f>IFERROR(Table_Controls_Input[[#This Row],[Per-unit incentive]]*Table_Controls_Input[[#This Row],[Quantity (Sensors/controller units)]],"")</f>
        <v/>
      </c>
      <c r="M50"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50"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50" s="67" t="str">
        <f t="shared" si="0"/>
        <v/>
      </c>
      <c r="P50" s="67" t="str">
        <f>IF(Table_Controls_Input[[#This Row],[Per-unit incentive]]="","",Table_Controls_Input[[#This Row],[Total equipment cost]]+Table_Controls_Input[[#This Row],[Total labor cost]])</f>
        <v/>
      </c>
      <c r="Q50" s="67" t="str">
        <f>IFERROR(Table_Controls_Input[[#This Row],[Gross measure cost]]-Table_Controls_Input[[#This Row],[Estimated incentive]], "")</f>
        <v/>
      </c>
      <c r="R50" s="69" t="str">
        <f>IFERROR(Table_Controls_Input[[#This Row],[Net measure cost]]/Table_Controls_Input[[#This Row],[Cost savings]],"")</f>
        <v/>
      </c>
      <c r="S50" s="74" t="e">
        <f>INDEX(Table_Control_PAF[PAF], MATCH(Table_Controls_Input[[#This Row],[Existing lighting controls]], Table_Control_PAF[List_Control_Types], 0))</f>
        <v>#N/A</v>
      </c>
      <c r="T50" s="74" t="e">
        <f>INDEX(Table_Measure_PAF[Proposed PAF], MATCH(Table_Controls_Input[[#This Row],[Prescriptive control measure]], Table_Measure_PAF[List_Control_Measure], 0))</f>
        <v>#N/A</v>
      </c>
      <c r="U50" s="74" t="e">
        <f>INDEX(Table_Prescript_Meas[AOH Type], MATCH(Table_Controls_Input[[#This Row],[Measure number]],Table_Prescript_Meas[Measure Number], 0))</f>
        <v>#N/A</v>
      </c>
      <c r="V50" s="74" t="e">
        <f>INDEX(Table_Prescript_Meas[AOH Type], MATCH(Table_Controls_Input[[#This Row],[Measure number]], Table_Prescript_Meas[Measure Number],0))</f>
        <v>#N/A</v>
      </c>
      <c r="W50"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50" s="4"/>
      <c r="Y50" s="4"/>
      <c r="Z50" s="4"/>
      <c r="AA50" s="4"/>
      <c r="AB50" s="4"/>
      <c r="AC50" s="4"/>
      <c r="AD50" s="4"/>
      <c r="AE50" s="4"/>
      <c r="AF50" s="4"/>
      <c r="AG50" s="4"/>
      <c r="AH50" s="4"/>
      <c r="AI50" s="4"/>
      <c r="AJ50" s="4"/>
      <c r="AK50" s="4"/>
      <c r="AL50" s="4"/>
      <c r="AM50" s="4"/>
      <c r="AN50" s="4"/>
      <c r="AO50" s="4"/>
      <c r="AP50" s="4"/>
      <c r="AQ50" s="4"/>
      <c r="AR50" s="4"/>
      <c r="AS50" s="4"/>
    </row>
    <row r="51" spans="1:45" x14ac:dyDescent="0.2">
      <c r="A51" s="4"/>
      <c r="B51" s="63">
        <v>47</v>
      </c>
      <c r="C51" s="61" t="str">
        <f>IFERROR(INDEX(Table_Prescript_Meas[Measure Number], MATCH(E51, Table_Prescript_Meas[Measure Description], 0)), "")</f>
        <v/>
      </c>
      <c r="D51" s="192"/>
      <c r="E51" s="179"/>
      <c r="F51" s="197"/>
      <c r="G51" s="179"/>
      <c r="H51" s="179"/>
      <c r="I51" s="181"/>
      <c r="J51" s="181"/>
      <c r="K51"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51" s="67" t="str">
        <f>IFERROR(Table_Controls_Input[[#This Row],[Per-unit incentive]]*Table_Controls_Input[[#This Row],[Quantity (Sensors/controller units)]],"")</f>
        <v/>
      </c>
      <c r="M51"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51"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51" s="67" t="str">
        <f t="shared" si="0"/>
        <v/>
      </c>
      <c r="P51" s="67" t="str">
        <f>IF(Table_Controls_Input[[#This Row],[Per-unit incentive]]="","",Table_Controls_Input[[#This Row],[Total equipment cost]]+Table_Controls_Input[[#This Row],[Total labor cost]])</f>
        <v/>
      </c>
      <c r="Q51" s="67" t="str">
        <f>IFERROR(Table_Controls_Input[[#This Row],[Gross measure cost]]-Table_Controls_Input[[#This Row],[Estimated incentive]], "")</f>
        <v/>
      </c>
      <c r="R51" s="69" t="str">
        <f>IFERROR(Table_Controls_Input[[#This Row],[Net measure cost]]/Table_Controls_Input[[#This Row],[Cost savings]],"")</f>
        <v/>
      </c>
      <c r="S51" s="74" t="e">
        <f>INDEX(Table_Control_PAF[PAF], MATCH(Table_Controls_Input[[#This Row],[Existing lighting controls]], Table_Control_PAF[List_Control_Types], 0))</f>
        <v>#N/A</v>
      </c>
      <c r="T51" s="74" t="e">
        <f>INDEX(Table_Measure_PAF[Proposed PAF], MATCH(Table_Controls_Input[[#This Row],[Prescriptive control measure]], Table_Measure_PAF[List_Control_Measure], 0))</f>
        <v>#N/A</v>
      </c>
      <c r="U51" s="74" t="e">
        <f>INDEX(Table_Prescript_Meas[AOH Type], MATCH(Table_Controls_Input[[#This Row],[Measure number]],Table_Prescript_Meas[Measure Number], 0))</f>
        <v>#N/A</v>
      </c>
      <c r="V51" s="74" t="e">
        <f>INDEX(Table_Prescript_Meas[AOH Type], MATCH(Table_Controls_Input[[#This Row],[Measure number]], Table_Prescript_Meas[Measure Number],0))</f>
        <v>#N/A</v>
      </c>
      <c r="W51"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51" s="4"/>
      <c r="Y51" s="4"/>
      <c r="Z51" s="4"/>
      <c r="AA51" s="4"/>
      <c r="AB51" s="4"/>
      <c r="AC51" s="4"/>
      <c r="AD51" s="4"/>
      <c r="AE51" s="4"/>
      <c r="AF51" s="4"/>
      <c r="AG51" s="4"/>
      <c r="AH51" s="4"/>
      <c r="AI51" s="4"/>
      <c r="AJ51" s="4"/>
      <c r="AK51" s="4"/>
      <c r="AL51" s="4"/>
      <c r="AM51" s="4"/>
      <c r="AN51" s="4"/>
      <c r="AO51" s="4"/>
      <c r="AP51" s="4"/>
      <c r="AQ51" s="4"/>
      <c r="AR51" s="4"/>
      <c r="AS51" s="4"/>
    </row>
    <row r="52" spans="1:45" x14ac:dyDescent="0.2">
      <c r="A52" s="4"/>
      <c r="B52" s="63">
        <v>48</v>
      </c>
      <c r="C52" s="61" t="str">
        <f>IFERROR(INDEX(Table_Prescript_Meas[Measure Number], MATCH(E52, Table_Prescript_Meas[Measure Description], 0)), "")</f>
        <v/>
      </c>
      <c r="D52" s="192"/>
      <c r="E52" s="179"/>
      <c r="F52" s="197"/>
      <c r="G52" s="179"/>
      <c r="H52" s="179"/>
      <c r="I52" s="181"/>
      <c r="J52" s="181"/>
      <c r="K52"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52" s="67" t="str">
        <f>IFERROR(Table_Controls_Input[[#This Row],[Per-unit incentive]]*Table_Controls_Input[[#This Row],[Quantity (Sensors/controller units)]],"")</f>
        <v/>
      </c>
      <c r="M52"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52"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52" s="67" t="str">
        <f t="shared" si="0"/>
        <v/>
      </c>
      <c r="P52" s="67" t="str">
        <f>IF(Table_Controls_Input[[#This Row],[Per-unit incentive]]="","",Table_Controls_Input[[#This Row],[Total equipment cost]]+Table_Controls_Input[[#This Row],[Total labor cost]])</f>
        <v/>
      </c>
      <c r="Q52" s="67" t="str">
        <f>IFERROR(Table_Controls_Input[[#This Row],[Gross measure cost]]-Table_Controls_Input[[#This Row],[Estimated incentive]], "")</f>
        <v/>
      </c>
      <c r="R52" s="69" t="str">
        <f>IFERROR(Table_Controls_Input[[#This Row],[Net measure cost]]/Table_Controls_Input[[#This Row],[Cost savings]],"")</f>
        <v/>
      </c>
      <c r="S52" s="74" t="e">
        <f>INDEX(Table_Control_PAF[PAF], MATCH(Table_Controls_Input[[#This Row],[Existing lighting controls]], Table_Control_PAF[List_Control_Types], 0))</f>
        <v>#N/A</v>
      </c>
      <c r="T52" s="74" t="e">
        <f>INDEX(Table_Measure_PAF[Proposed PAF], MATCH(Table_Controls_Input[[#This Row],[Prescriptive control measure]], Table_Measure_PAF[List_Control_Measure], 0))</f>
        <v>#N/A</v>
      </c>
      <c r="U52" s="74" t="e">
        <f>INDEX(Table_Prescript_Meas[AOH Type], MATCH(Table_Controls_Input[[#This Row],[Measure number]],Table_Prescript_Meas[Measure Number], 0))</f>
        <v>#N/A</v>
      </c>
      <c r="V52" s="74" t="e">
        <f>INDEX(Table_Prescript_Meas[AOH Type], MATCH(Table_Controls_Input[[#This Row],[Measure number]], Table_Prescript_Meas[Measure Number],0))</f>
        <v>#N/A</v>
      </c>
      <c r="W52"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52" s="4"/>
      <c r="Y52" s="4"/>
      <c r="Z52" s="4"/>
      <c r="AA52" s="4"/>
      <c r="AB52" s="4"/>
      <c r="AC52" s="4"/>
      <c r="AD52" s="4"/>
      <c r="AE52" s="4"/>
      <c r="AF52" s="4"/>
      <c r="AG52" s="4"/>
      <c r="AH52" s="4"/>
      <c r="AI52" s="4"/>
      <c r="AJ52" s="4"/>
      <c r="AK52" s="4"/>
      <c r="AL52" s="4"/>
      <c r="AM52" s="4"/>
      <c r="AN52" s="4"/>
      <c r="AO52" s="4"/>
      <c r="AP52" s="4"/>
      <c r="AQ52" s="4"/>
      <c r="AR52" s="4"/>
      <c r="AS52" s="4"/>
    </row>
    <row r="53" spans="1:45" x14ac:dyDescent="0.2">
      <c r="A53" s="4"/>
      <c r="B53" s="63">
        <v>49</v>
      </c>
      <c r="C53" s="61" t="str">
        <f>IFERROR(INDEX(Table_Prescript_Meas[Measure Number], MATCH(E53, Table_Prescript_Meas[Measure Description], 0)), "")</f>
        <v/>
      </c>
      <c r="D53" s="192"/>
      <c r="E53" s="179"/>
      <c r="F53" s="197"/>
      <c r="G53" s="179"/>
      <c r="H53" s="179"/>
      <c r="I53" s="181"/>
      <c r="J53" s="181"/>
      <c r="K53"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53" s="67" t="str">
        <f>IFERROR(Table_Controls_Input[[#This Row],[Per-unit incentive]]*Table_Controls_Input[[#This Row],[Quantity (Sensors/controller units)]],"")</f>
        <v/>
      </c>
      <c r="M53"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53"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53" s="67" t="str">
        <f t="shared" si="0"/>
        <v/>
      </c>
      <c r="P53" s="67" t="str">
        <f>IF(Table_Controls_Input[[#This Row],[Per-unit incentive]]="","",Table_Controls_Input[[#This Row],[Total equipment cost]]+Table_Controls_Input[[#This Row],[Total labor cost]])</f>
        <v/>
      </c>
      <c r="Q53" s="67" t="str">
        <f>IFERROR(Table_Controls_Input[[#This Row],[Gross measure cost]]-Table_Controls_Input[[#This Row],[Estimated incentive]], "")</f>
        <v/>
      </c>
      <c r="R53" s="69" t="str">
        <f>IFERROR(Table_Controls_Input[[#This Row],[Net measure cost]]/Table_Controls_Input[[#This Row],[Cost savings]],"")</f>
        <v/>
      </c>
      <c r="S53" s="74" t="e">
        <f>INDEX(Table_Control_PAF[PAF], MATCH(Table_Controls_Input[[#This Row],[Existing lighting controls]], Table_Control_PAF[List_Control_Types], 0))</f>
        <v>#N/A</v>
      </c>
      <c r="T53" s="74" t="e">
        <f>INDEX(Table_Measure_PAF[Proposed PAF], MATCH(Table_Controls_Input[[#This Row],[Prescriptive control measure]], Table_Measure_PAF[List_Control_Measure], 0))</f>
        <v>#N/A</v>
      </c>
      <c r="U53" s="74" t="e">
        <f>INDEX(Table_Prescript_Meas[AOH Type], MATCH(Table_Controls_Input[[#This Row],[Measure number]],Table_Prescript_Meas[Measure Number], 0))</f>
        <v>#N/A</v>
      </c>
      <c r="V53" s="74" t="e">
        <f>INDEX(Table_Prescript_Meas[AOH Type], MATCH(Table_Controls_Input[[#This Row],[Measure number]], Table_Prescript_Meas[Measure Number],0))</f>
        <v>#N/A</v>
      </c>
      <c r="W53"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53" s="4"/>
      <c r="Y53" s="4"/>
      <c r="Z53" s="4"/>
      <c r="AA53" s="4"/>
      <c r="AB53" s="4"/>
      <c r="AC53" s="4"/>
      <c r="AD53" s="4"/>
      <c r="AE53" s="4"/>
      <c r="AF53" s="4"/>
      <c r="AG53" s="4"/>
      <c r="AH53" s="4"/>
      <c r="AI53" s="4"/>
      <c r="AJ53" s="4"/>
      <c r="AK53" s="4"/>
      <c r="AL53" s="4"/>
      <c r="AM53" s="4"/>
      <c r="AN53" s="4"/>
      <c r="AO53" s="4"/>
      <c r="AP53" s="4"/>
      <c r="AQ53" s="4"/>
      <c r="AR53" s="4"/>
      <c r="AS53" s="4"/>
    </row>
    <row r="54" spans="1:45" x14ac:dyDescent="0.2">
      <c r="A54" s="4"/>
      <c r="B54" s="63">
        <v>50</v>
      </c>
      <c r="C54" s="61" t="str">
        <f>IFERROR(INDEX(Table_Prescript_Meas[Measure Number], MATCH(E54, Table_Prescript_Meas[Measure Description], 0)), "")</f>
        <v/>
      </c>
      <c r="D54" s="192"/>
      <c r="E54" s="179"/>
      <c r="F54" s="197"/>
      <c r="G54" s="179"/>
      <c r="H54" s="179"/>
      <c r="I54" s="181"/>
      <c r="J54" s="181"/>
      <c r="K54"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54" s="67" t="str">
        <f>IFERROR(Table_Controls_Input[[#This Row],[Per-unit incentive]]*Table_Controls_Input[[#This Row],[Quantity (Sensors/controller units)]],"")</f>
        <v/>
      </c>
      <c r="M54"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54"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54" s="67" t="str">
        <f t="shared" si="0"/>
        <v/>
      </c>
      <c r="P54" s="67" t="str">
        <f>IF(Table_Controls_Input[[#This Row],[Per-unit incentive]]="","",Table_Controls_Input[[#This Row],[Total equipment cost]]+Table_Controls_Input[[#This Row],[Total labor cost]])</f>
        <v/>
      </c>
      <c r="Q54" s="67" t="str">
        <f>IFERROR(Table_Controls_Input[[#This Row],[Gross measure cost]]-Table_Controls_Input[[#This Row],[Estimated incentive]], "")</f>
        <v/>
      </c>
      <c r="R54" s="69" t="str">
        <f>IFERROR(Table_Controls_Input[[#This Row],[Net measure cost]]/Table_Controls_Input[[#This Row],[Cost savings]],"")</f>
        <v/>
      </c>
      <c r="S54" s="74" t="e">
        <f>INDEX(Table_Control_PAF[PAF], MATCH(Table_Controls_Input[[#This Row],[Existing lighting controls]], Table_Control_PAF[List_Control_Types], 0))</f>
        <v>#N/A</v>
      </c>
      <c r="T54" s="74" t="e">
        <f>INDEX(Table_Measure_PAF[Proposed PAF], MATCH(Table_Controls_Input[[#This Row],[Prescriptive control measure]], Table_Measure_PAF[List_Control_Measure], 0))</f>
        <v>#N/A</v>
      </c>
      <c r="U54" s="74" t="e">
        <f>INDEX(Table_Prescript_Meas[AOH Type], MATCH(Table_Controls_Input[[#This Row],[Measure number]],Table_Prescript_Meas[Measure Number], 0))</f>
        <v>#N/A</v>
      </c>
      <c r="V54" s="74" t="e">
        <f>INDEX(Table_Prescript_Meas[AOH Type], MATCH(Table_Controls_Input[[#This Row],[Measure number]], Table_Prescript_Meas[Measure Number],0))</f>
        <v>#N/A</v>
      </c>
      <c r="W54"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54" s="4"/>
      <c r="Y54" s="4"/>
      <c r="Z54" s="4"/>
      <c r="AA54" s="4"/>
      <c r="AB54" s="4"/>
      <c r="AC54" s="4"/>
      <c r="AD54" s="4"/>
      <c r="AE54" s="4"/>
      <c r="AF54" s="4"/>
      <c r="AG54" s="4"/>
      <c r="AH54" s="4"/>
      <c r="AI54" s="4"/>
      <c r="AJ54" s="4"/>
      <c r="AK54" s="4"/>
      <c r="AL54" s="4"/>
      <c r="AM54" s="4"/>
      <c r="AN54" s="4"/>
      <c r="AO54" s="4"/>
      <c r="AP54" s="4"/>
      <c r="AQ54" s="4"/>
      <c r="AR54" s="4"/>
      <c r="AS54" s="4"/>
    </row>
    <row r="55" spans="1:45" x14ac:dyDescent="0.2">
      <c r="A55" s="4"/>
      <c r="B55" s="63">
        <v>51</v>
      </c>
      <c r="C55" s="61" t="str">
        <f>IFERROR(INDEX(Table_Prescript_Meas[Measure Number], MATCH(E55, Table_Prescript_Meas[Measure Description], 0)), "")</f>
        <v/>
      </c>
      <c r="D55" s="192"/>
      <c r="E55" s="179"/>
      <c r="F55" s="197"/>
      <c r="G55" s="179"/>
      <c r="H55" s="179"/>
      <c r="I55" s="181"/>
      <c r="J55" s="181"/>
      <c r="K55"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55" s="67" t="str">
        <f>IFERROR(Table_Controls_Input[[#This Row],[Per-unit incentive]]*Table_Controls_Input[[#This Row],[Quantity (Sensors/controller units)]],"")</f>
        <v/>
      </c>
      <c r="M55"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55"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55" s="67" t="str">
        <f t="shared" si="0"/>
        <v/>
      </c>
      <c r="P55" s="67" t="str">
        <f>IF(Table_Controls_Input[[#This Row],[Per-unit incentive]]="","",Table_Controls_Input[[#This Row],[Total equipment cost]]+Table_Controls_Input[[#This Row],[Total labor cost]])</f>
        <v/>
      </c>
      <c r="Q55" s="67" t="str">
        <f>IFERROR(Table_Controls_Input[[#This Row],[Gross measure cost]]-Table_Controls_Input[[#This Row],[Estimated incentive]], "")</f>
        <v/>
      </c>
      <c r="R55" s="69" t="str">
        <f>IFERROR(Table_Controls_Input[[#This Row],[Net measure cost]]/Table_Controls_Input[[#This Row],[Cost savings]],"")</f>
        <v/>
      </c>
      <c r="S55" s="74" t="e">
        <f>INDEX(Table_Control_PAF[PAF], MATCH(Table_Controls_Input[[#This Row],[Existing lighting controls]], Table_Control_PAF[List_Control_Types], 0))</f>
        <v>#N/A</v>
      </c>
      <c r="T55" s="74" t="e">
        <f>INDEX(Table_Measure_PAF[Proposed PAF], MATCH(Table_Controls_Input[[#This Row],[Prescriptive control measure]], Table_Measure_PAF[List_Control_Measure], 0))</f>
        <v>#N/A</v>
      </c>
      <c r="U55" s="74" t="e">
        <f>INDEX(Table_Prescript_Meas[AOH Type], MATCH(Table_Controls_Input[[#This Row],[Measure number]],Table_Prescript_Meas[Measure Number], 0))</f>
        <v>#N/A</v>
      </c>
      <c r="V55" s="74" t="e">
        <f>INDEX(Table_Prescript_Meas[AOH Type], MATCH(Table_Controls_Input[[#This Row],[Measure number]], Table_Prescript_Meas[Measure Number],0))</f>
        <v>#N/A</v>
      </c>
      <c r="W55"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55" s="4"/>
      <c r="Y55" s="4"/>
      <c r="Z55" s="4"/>
      <c r="AA55" s="4"/>
      <c r="AB55" s="4"/>
      <c r="AC55" s="4"/>
      <c r="AD55" s="4"/>
      <c r="AE55" s="4"/>
      <c r="AF55" s="4"/>
      <c r="AG55" s="4"/>
      <c r="AH55" s="4"/>
      <c r="AI55" s="4"/>
      <c r="AJ55" s="4"/>
      <c r="AK55" s="4"/>
      <c r="AL55" s="4"/>
      <c r="AM55" s="4"/>
      <c r="AN55" s="4"/>
      <c r="AO55" s="4"/>
      <c r="AP55" s="4"/>
      <c r="AQ55" s="4"/>
      <c r="AR55" s="4"/>
      <c r="AS55" s="4"/>
    </row>
    <row r="56" spans="1:45" x14ac:dyDescent="0.2">
      <c r="A56" s="4"/>
      <c r="B56" s="63">
        <v>52</v>
      </c>
      <c r="C56" s="61" t="str">
        <f>IFERROR(INDEX(Table_Prescript_Meas[Measure Number], MATCH(E56, Table_Prescript_Meas[Measure Description], 0)), "")</f>
        <v/>
      </c>
      <c r="D56" s="192"/>
      <c r="E56" s="179"/>
      <c r="F56" s="197"/>
      <c r="G56" s="179"/>
      <c r="H56" s="179"/>
      <c r="I56" s="181"/>
      <c r="J56" s="181"/>
      <c r="K56"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56" s="67" t="str">
        <f>IFERROR(Table_Controls_Input[[#This Row],[Per-unit incentive]]*Table_Controls_Input[[#This Row],[Quantity (Sensors/controller units)]],"")</f>
        <v/>
      </c>
      <c r="M56"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56"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56" s="67" t="str">
        <f t="shared" si="0"/>
        <v/>
      </c>
      <c r="P56" s="67" t="str">
        <f>IF(Table_Controls_Input[[#This Row],[Per-unit incentive]]="","",Table_Controls_Input[[#This Row],[Total equipment cost]]+Table_Controls_Input[[#This Row],[Total labor cost]])</f>
        <v/>
      </c>
      <c r="Q56" s="67" t="str">
        <f>IFERROR(Table_Controls_Input[[#This Row],[Gross measure cost]]-Table_Controls_Input[[#This Row],[Estimated incentive]], "")</f>
        <v/>
      </c>
      <c r="R56" s="69" t="str">
        <f>IFERROR(Table_Controls_Input[[#This Row],[Net measure cost]]/Table_Controls_Input[[#This Row],[Cost savings]],"")</f>
        <v/>
      </c>
      <c r="S56" s="74" t="e">
        <f>INDEX(Table_Control_PAF[PAF], MATCH(Table_Controls_Input[[#This Row],[Existing lighting controls]], Table_Control_PAF[List_Control_Types], 0))</f>
        <v>#N/A</v>
      </c>
      <c r="T56" s="74" t="e">
        <f>INDEX(Table_Measure_PAF[Proposed PAF], MATCH(Table_Controls_Input[[#This Row],[Prescriptive control measure]], Table_Measure_PAF[List_Control_Measure], 0))</f>
        <v>#N/A</v>
      </c>
      <c r="U56" s="74" t="e">
        <f>INDEX(Table_Prescript_Meas[AOH Type], MATCH(Table_Controls_Input[[#This Row],[Measure number]],Table_Prescript_Meas[Measure Number], 0))</f>
        <v>#N/A</v>
      </c>
      <c r="V56" s="74" t="e">
        <f>INDEX(Table_Prescript_Meas[AOH Type], MATCH(Table_Controls_Input[[#This Row],[Measure number]], Table_Prescript_Meas[Measure Number],0))</f>
        <v>#N/A</v>
      </c>
      <c r="W56"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56" s="4"/>
      <c r="Y56" s="4"/>
      <c r="Z56" s="4"/>
      <c r="AA56" s="4"/>
      <c r="AB56" s="4"/>
      <c r="AC56" s="4"/>
      <c r="AD56" s="4"/>
      <c r="AE56" s="4"/>
      <c r="AF56" s="4"/>
      <c r="AG56" s="4"/>
      <c r="AH56" s="4"/>
      <c r="AI56" s="4"/>
      <c r="AJ56" s="4"/>
      <c r="AK56" s="4"/>
      <c r="AL56" s="4"/>
      <c r="AM56" s="4"/>
      <c r="AN56" s="4"/>
      <c r="AO56" s="4"/>
      <c r="AP56" s="4"/>
      <c r="AQ56" s="4"/>
      <c r="AR56" s="4"/>
      <c r="AS56" s="4"/>
    </row>
    <row r="57" spans="1:45" x14ac:dyDescent="0.2">
      <c r="A57" s="4"/>
      <c r="B57" s="63">
        <v>53</v>
      </c>
      <c r="C57" s="61" t="str">
        <f>IFERROR(INDEX(Table_Prescript_Meas[Measure Number], MATCH(E57, Table_Prescript_Meas[Measure Description], 0)), "")</f>
        <v/>
      </c>
      <c r="D57" s="192"/>
      <c r="E57" s="179"/>
      <c r="F57" s="197"/>
      <c r="G57" s="179"/>
      <c r="H57" s="179"/>
      <c r="I57" s="181"/>
      <c r="J57" s="181"/>
      <c r="K57"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57" s="67" t="str">
        <f>IFERROR(Table_Controls_Input[[#This Row],[Per-unit incentive]]*Table_Controls_Input[[#This Row],[Quantity (Sensors/controller units)]],"")</f>
        <v/>
      </c>
      <c r="M57"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57"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57" s="67" t="str">
        <f t="shared" si="0"/>
        <v/>
      </c>
      <c r="P57" s="67" t="str">
        <f>IF(Table_Controls_Input[[#This Row],[Per-unit incentive]]="","",Table_Controls_Input[[#This Row],[Total equipment cost]]+Table_Controls_Input[[#This Row],[Total labor cost]])</f>
        <v/>
      </c>
      <c r="Q57" s="67" t="str">
        <f>IFERROR(Table_Controls_Input[[#This Row],[Gross measure cost]]-Table_Controls_Input[[#This Row],[Estimated incentive]], "")</f>
        <v/>
      </c>
      <c r="R57" s="69" t="str">
        <f>IFERROR(Table_Controls_Input[[#This Row],[Net measure cost]]/Table_Controls_Input[[#This Row],[Cost savings]],"")</f>
        <v/>
      </c>
      <c r="S57" s="74" t="e">
        <f>INDEX(Table_Control_PAF[PAF], MATCH(Table_Controls_Input[[#This Row],[Existing lighting controls]], Table_Control_PAF[List_Control_Types], 0))</f>
        <v>#N/A</v>
      </c>
      <c r="T57" s="74" t="e">
        <f>INDEX(Table_Measure_PAF[Proposed PAF], MATCH(Table_Controls_Input[[#This Row],[Prescriptive control measure]], Table_Measure_PAF[List_Control_Measure], 0))</f>
        <v>#N/A</v>
      </c>
      <c r="U57" s="74" t="e">
        <f>INDEX(Table_Prescript_Meas[AOH Type], MATCH(Table_Controls_Input[[#This Row],[Measure number]],Table_Prescript_Meas[Measure Number], 0))</f>
        <v>#N/A</v>
      </c>
      <c r="V57" s="74" t="e">
        <f>INDEX(Table_Prescript_Meas[AOH Type], MATCH(Table_Controls_Input[[#This Row],[Measure number]], Table_Prescript_Meas[Measure Number],0))</f>
        <v>#N/A</v>
      </c>
      <c r="W57"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57" s="4"/>
      <c r="Y57" s="4"/>
      <c r="Z57" s="4"/>
      <c r="AA57" s="4"/>
      <c r="AB57" s="4"/>
      <c r="AC57" s="4"/>
      <c r="AD57" s="4"/>
      <c r="AE57" s="4"/>
      <c r="AF57" s="4"/>
      <c r="AG57" s="4"/>
      <c r="AH57" s="4"/>
      <c r="AI57" s="4"/>
      <c r="AJ57" s="4"/>
      <c r="AK57" s="4"/>
      <c r="AL57" s="4"/>
      <c r="AM57" s="4"/>
      <c r="AN57" s="4"/>
      <c r="AO57" s="4"/>
      <c r="AP57" s="4"/>
      <c r="AQ57" s="4"/>
      <c r="AR57" s="4"/>
      <c r="AS57" s="4"/>
    </row>
    <row r="58" spans="1:45" x14ac:dyDescent="0.2">
      <c r="A58" s="4"/>
      <c r="B58" s="63">
        <v>54</v>
      </c>
      <c r="C58" s="61" t="str">
        <f>IFERROR(INDEX(Table_Prescript_Meas[Measure Number], MATCH(E58, Table_Prescript_Meas[Measure Description], 0)), "")</f>
        <v/>
      </c>
      <c r="D58" s="192"/>
      <c r="E58" s="179"/>
      <c r="F58" s="197"/>
      <c r="G58" s="179"/>
      <c r="H58" s="179"/>
      <c r="I58" s="181"/>
      <c r="J58" s="181"/>
      <c r="K58"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58" s="67" t="str">
        <f>IFERROR(Table_Controls_Input[[#This Row],[Per-unit incentive]]*Table_Controls_Input[[#This Row],[Quantity (Sensors/controller units)]],"")</f>
        <v/>
      </c>
      <c r="M58"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58"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58" s="67" t="str">
        <f t="shared" si="0"/>
        <v/>
      </c>
      <c r="P58" s="67" t="str">
        <f>IF(Table_Controls_Input[[#This Row],[Per-unit incentive]]="","",Table_Controls_Input[[#This Row],[Total equipment cost]]+Table_Controls_Input[[#This Row],[Total labor cost]])</f>
        <v/>
      </c>
      <c r="Q58" s="67" t="str">
        <f>IFERROR(Table_Controls_Input[[#This Row],[Gross measure cost]]-Table_Controls_Input[[#This Row],[Estimated incentive]], "")</f>
        <v/>
      </c>
      <c r="R58" s="69" t="str">
        <f>IFERROR(Table_Controls_Input[[#This Row],[Net measure cost]]/Table_Controls_Input[[#This Row],[Cost savings]],"")</f>
        <v/>
      </c>
      <c r="S58" s="74" t="e">
        <f>INDEX(Table_Control_PAF[PAF], MATCH(Table_Controls_Input[[#This Row],[Existing lighting controls]], Table_Control_PAF[List_Control_Types], 0))</f>
        <v>#N/A</v>
      </c>
      <c r="T58" s="74" t="e">
        <f>INDEX(Table_Measure_PAF[Proposed PAF], MATCH(Table_Controls_Input[[#This Row],[Prescriptive control measure]], Table_Measure_PAF[List_Control_Measure], 0))</f>
        <v>#N/A</v>
      </c>
      <c r="U58" s="74" t="e">
        <f>INDEX(Table_Prescript_Meas[AOH Type], MATCH(Table_Controls_Input[[#This Row],[Measure number]],Table_Prescript_Meas[Measure Number], 0))</f>
        <v>#N/A</v>
      </c>
      <c r="V58" s="74" t="e">
        <f>INDEX(Table_Prescript_Meas[AOH Type], MATCH(Table_Controls_Input[[#This Row],[Measure number]], Table_Prescript_Meas[Measure Number],0))</f>
        <v>#N/A</v>
      </c>
      <c r="W58"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58" s="4"/>
      <c r="Y58" s="4"/>
      <c r="Z58" s="4"/>
      <c r="AA58" s="4"/>
      <c r="AB58" s="4"/>
      <c r="AC58" s="4"/>
      <c r="AD58" s="4"/>
      <c r="AE58" s="4"/>
      <c r="AF58" s="4"/>
      <c r="AG58" s="4"/>
      <c r="AH58" s="4"/>
      <c r="AI58" s="4"/>
      <c r="AJ58" s="4"/>
      <c r="AK58" s="4"/>
      <c r="AL58" s="4"/>
      <c r="AM58" s="4"/>
      <c r="AN58" s="4"/>
      <c r="AO58" s="4"/>
      <c r="AP58" s="4"/>
      <c r="AQ58" s="4"/>
      <c r="AR58" s="4"/>
      <c r="AS58" s="4"/>
    </row>
    <row r="59" spans="1:45" x14ac:dyDescent="0.2">
      <c r="A59" s="4"/>
      <c r="B59" s="63">
        <v>55</v>
      </c>
      <c r="C59" s="61" t="str">
        <f>IFERROR(INDEX(Table_Prescript_Meas[Measure Number], MATCH(E59, Table_Prescript_Meas[Measure Description], 0)), "")</f>
        <v/>
      </c>
      <c r="D59" s="192"/>
      <c r="E59" s="179"/>
      <c r="F59" s="197"/>
      <c r="G59" s="179"/>
      <c r="H59" s="179"/>
      <c r="I59" s="181"/>
      <c r="J59" s="181"/>
      <c r="K59"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59" s="67" t="str">
        <f>IFERROR(Table_Controls_Input[[#This Row],[Per-unit incentive]]*Table_Controls_Input[[#This Row],[Quantity (Sensors/controller units)]],"")</f>
        <v/>
      </c>
      <c r="M59"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59"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59" s="67" t="str">
        <f t="shared" si="0"/>
        <v/>
      </c>
      <c r="P59" s="67" t="str">
        <f>IF(Table_Controls_Input[[#This Row],[Per-unit incentive]]="","",Table_Controls_Input[[#This Row],[Total equipment cost]]+Table_Controls_Input[[#This Row],[Total labor cost]])</f>
        <v/>
      </c>
      <c r="Q59" s="67" t="str">
        <f>IFERROR(Table_Controls_Input[[#This Row],[Gross measure cost]]-Table_Controls_Input[[#This Row],[Estimated incentive]], "")</f>
        <v/>
      </c>
      <c r="R59" s="69" t="str">
        <f>IFERROR(Table_Controls_Input[[#This Row],[Net measure cost]]/Table_Controls_Input[[#This Row],[Cost savings]],"")</f>
        <v/>
      </c>
      <c r="S59" s="74" t="e">
        <f>INDEX(Table_Control_PAF[PAF], MATCH(Table_Controls_Input[[#This Row],[Existing lighting controls]], Table_Control_PAF[List_Control_Types], 0))</f>
        <v>#N/A</v>
      </c>
      <c r="T59" s="74" t="e">
        <f>INDEX(Table_Measure_PAF[Proposed PAF], MATCH(Table_Controls_Input[[#This Row],[Prescriptive control measure]], Table_Measure_PAF[List_Control_Measure], 0))</f>
        <v>#N/A</v>
      </c>
      <c r="U59" s="74" t="e">
        <f>INDEX(Table_Prescript_Meas[AOH Type], MATCH(Table_Controls_Input[[#This Row],[Measure number]],Table_Prescript_Meas[Measure Number], 0))</f>
        <v>#N/A</v>
      </c>
      <c r="V59" s="74" t="e">
        <f>INDEX(Table_Prescript_Meas[AOH Type], MATCH(Table_Controls_Input[[#This Row],[Measure number]], Table_Prescript_Meas[Measure Number],0))</f>
        <v>#N/A</v>
      </c>
      <c r="W59"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59" s="4"/>
      <c r="Y59" s="4"/>
      <c r="Z59" s="4"/>
      <c r="AA59" s="4"/>
      <c r="AB59" s="4"/>
      <c r="AC59" s="4"/>
      <c r="AD59" s="4"/>
      <c r="AE59" s="4"/>
      <c r="AF59" s="4"/>
      <c r="AG59" s="4"/>
      <c r="AH59" s="4"/>
      <c r="AI59" s="4"/>
      <c r="AJ59" s="4"/>
      <c r="AK59" s="4"/>
      <c r="AL59" s="4"/>
      <c r="AM59" s="4"/>
      <c r="AN59" s="4"/>
      <c r="AO59" s="4"/>
      <c r="AP59" s="4"/>
      <c r="AQ59" s="4"/>
      <c r="AR59" s="4"/>
      <c r="AS59" s="4"/>
    </row>
    <row r="60" spans="1:45" x14ac:dyDescent="0.2">
      <c r="A60" s="4"/>
      <c r="B60" s="63">
        <v>56</v>
      </c>
      <c r="C60" s="61" t="str">
        <f>IFERROR(INDEX(Table_Prescript_Meas[Measure Number], MATCH(E60, Table_Prescript_Meas[Measure Description], 0)), "")</f>
        <v/>
      </c>
      <c r="D60" s="192"/>
      <c r="E60" s="179"/>
      <c r="F60" s="197"/>
      <c r="G60" s="179"/>
      <c r="H60" s="179"/>
      <c r="I60" s="181"/>
      <c r="J60" s="181"/>
      <c r="K60"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60" s="67" t="str">
        <f>IFERROR(Table_Controls_Input[[#This Row],[Per-unit incentive]]*Table_Controls_Input[[#This Row],[Quantity (Sensors/controller units)]],"")</f>
        <v/>
      </c>
      <c r="M60"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60"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60" s="67" t="str">
        <f t="shared" si="0"/>
        <v/>
      </c>
      <c r="P60" s="67" t="str">
        <f>IF(Table_Controls_Input[[#This Row],[Per-unit incentive]]="","",Table_Controls_Input[[#This Row],[Total equipment cost]]+Table_Controls_Input[[#This Row],[Total labor cost]])</f>
        <v/>
      </c>
      <c r="Q60" s="67" t="str">
        <f>IFERROR(Table_Controls_Input[[#This Row],[Gross measure cost]]-Table_Controls_Input[[#This Row],[Estimated incentive]], "")</f>
        <v/>
      </c>
      <c r="R60" s="69" t="str">
        <f>IFERROR(Table_Controls_Input[[#This Row],[Net measure cost]]/Table_Controls_Input[[#This Row],[Cost savings]],"")</f>
        <v/>
      </c>
      <c r="S60" s="74" t="e">
        <f>INDEX(Table_Control_PAF[PAF], MATCH(Table_Controls_Input[[#This Row],[Existing lighting controls]], Table_Control_PAF[List_Control_Types], 0))</f>
        <v>#N/A</v>
      </c>
      <c r="T60" s="74" t="e">
        <f>INDEX(Table_Measure_PAF[Proposed PAF], MATCH(Table_Controls_Input[[#This Row],[Prescriptive control measure]], Table_Measure_PAF[List_Control_Measure], 0))</f>
        <v>#N/A</v>
      </c>
      <c r="U60" s="74" t="e">
        <f>INDEX(Table_Prescript_Meas[AOH Type], MATCH(Table_Controls_Input[[#This Row],[Measure number]],Table_Prescript_Meas[Measure Number], 0))</f>
        <v>#N/A</v>
      </c>
      <c r="V60" s="74" t="e">
        <f>INDEX(Table_Prescript_Meas[AOH Type], MATCH(Table_Controls_Input[[#This Row],[Measure number]], Table_Prescript_Meas[Measure Number],0))</f>
        <v>#N/A</v>
      </c>
      <c r="W60"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60" s="4"/>
      <c r="Y60" s="4"/>
      <c r="Z60" s="4"/>
      <c r="AA60" s="4"/>
      <c r="AB60" s="4"/>
      <c r="AC60" s="4"/>
      <c r="AD60" s="4"/>
      <c r="AE60" s="4"/>
      <c r="AF60" s="4"/>
      <c r="AG60" s="4"/>
      <c r="AH60" s="4"/>
      <c r="AI60" s="4"/>
      <c r="AJ60" s="4"/>
      <c r="AK60" s="4"/>
      <c r="AL60" s="4"/>
      <c r="AM60" s="4"/>
      <c r="AN60" s="4"/>
      <c r="AO60" s="4"/>
      <c r="AP60" s="4"/>
      <c r="AQ60" s="4"/>
      <c r="AR60" s="4"/>
      <c r="AS60" s="4"/>
    </row>
    <row r="61" spans="1:45" x14ac:dyDescent="0.2">
      <c r="A61" s="4"/>
      <c r="B61" s="63">
        <v>57</v>
      </c>
      <c r="C61" s="61" t="str">
        <f>IFERROR(INDEX(Table_Prescript_Meas[Measure Number], MATCH(E61, Table_Prescript_Meas[Measure Description], 0)), "")</f>
        <v/>
      </c>
      <c r="D61" s="192"/>
      <c r="E61" s="179"/>
      <c r="F61" s="197"/>
      <c r="G61" s="179"/>
      <c r="H61" s="179"/>
      <c r="I61" s="181"/>
      <c r="J61" s="181"/>
      <c r="K61"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61" s="67" t="str">
        <f>IFERROR(Table_Controls_Input[[#This Row],[Per-unit incentive]]*Table_Controls_Input[[#This Row],[Quantity (Sensors/controller units)]],"")</f>
        <v/>
      </c>
      <c r="M61"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61"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61" s="67" t="str">
        <f t="shared" si="0"/>
        <v/>
      </c>
      <c r="P61" s="67" t="str">
        <f>IF(Table_Controls_Input[[#This Row],[Per-unit incentive]]="","",Table_Controls_Input[[#This Row],[Total equipment cost]]+Table_Controls_Input[[#This Row],[Total labor cost]])</f>
        <v/>
      </c>
      <c r="Q61" s="67" t="str">
        <f>IFERROR(Table_Controls_Input[[#This Row],[Gross measure cost]]-Table_Controls_Input[[#This Row],[Estimated incentive]], "")</f>
        <v/>
      </c>
      <c r="R61" s="69" t="str">
        <f>IFERROR(Table_Controls_Input[[#This Row],[Net measure cost]]/Table_Controls_Input[[#This Row],[Cost savings]],"")</f>
        <v/>
      </c>
      <c r="S61" s="74" t="e">
        <f>INDEX(Table_Control_PAF[PAF], MATCH(Table_Controls_Input[[#This Row],[Existing lighting controls]], Table_Control_PAF[List_Control_Types], 0))</f>
        <v>#N/A</v>
      </c>
      <c r="T61" s="74" t="e">
        <f>INDEX(Table_Measure_PAF[Proposed PAF], MATCH(Table_Controls_Input[[#This Row],[Prescriptive control measure]], Table_Measure_PAF[List_Control_Measure], 0))</f>
        <v>#N/A</v>
      </c>
      <c r="U61" s="74" t="e">
        <f>INDEX(Table_Prescript_Meas[AOH Type], MATCH(Table_Controls_Input[[#This Row],[Measure number]],Table_Prescript_Meas[Measure Number], 0))</f>
        <v>#N/A</v>
      </c>
      <c r="V61" s="74" t="e">
        <f>INDEX(Table_Prescript_Meas[AOH Type], MATCH(Table_Controls_Input[[#This Row],[Measure number]], Table_Prescript_Meas[Measure Number],0))</f>
        <v>#N/A</v>
      </c>
      <c r="W61"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61" s="4"/>
      <c r="Y61" s="4"/>
      <c r="Z61" s="4"/>
      <c r="AA61" s="4"/>
      <c r="AB61" s="4"/>
      <c r="AC61" s="4"/>
      <c r="AD61" s="4"/>
      <c r="AE61" s="4"/>
      <c r="AF61" s="4"/>
      <c r="AG61" s="4"/>
      <c r="AH61" s="4"/>
      <c r="AI61" s="4"/>
      <c r="AJ61" s="4"/>
      <c r="AK61" s="4"/>
      <c r="AL61" s="4"/>
      <c r="AM61" s="4"/>
      <c r="AN61" s="4"/>
      <c r="AO61" s="4"/>
      <c r="AP61" s="4"/>
      <c r="AQ61" s="4"/>
      <c r="AR61" s="4"/>
      <c r="AS61" s="4"/>
    </row>
    <row r="62" spans="1:45" x14ac:dyDescent="0.2">
      <c r="A62" s="4"/>
      <c r="B62" s="63">
        <v>58</v>
      </c>
      <c r="C62" s="61" t="str">
        <f>IFERROR(INDEX(Table_Prescript_Meas[Measure Number], MATCH(E62, Table_Prescript_Meas[Measure Description], 0)), "")</f>
        <v/>
      </c>
      <c r="D62" s="192"/>
      <c r="E62" s="179"/>
      <c r="F62" s="197"/>
      <c r="G62" s="179"/>
      <c r="H62" s="179"/>
      <c r="I62" s="181"/>
      <c r="J62" s="181"/>
      <c r="K62"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62" s="67" t="str">
        <f>IFERROR(Table_Controls_Input[[#This Row],[Per-unit incentive]]*Table_Controls_Input[[#This Row],[Quantity (Sensors/controller units)]],"")</f>
        <v/>
      </c>
      <c r="M62"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62"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62" s="67" t="str">
        <f t="shared" si="0"/>
        <v/>
      </c>
      <c r="P62" s="67" t="str">
        <f>IF(Table_Controls_Input[[#This Row],[Per-unit incentive]]="","",Table_Controls_Input[[#This Row],[Total equipment cost]]+Table_Controls_Input[[#This Row],[Total labor cost]])</f>
        <v/>
      </c>
      <c r="Q62" s="67" t="str">
        <f>IFERROR(Table_Controls_Input[[#This Row],[Gross measure cost]]-Table_Controls_Input[[#This Row],[Estimated incentive]], "")</f>
        <v/>
      </c>
      <c r="R62" s="69" t="str">
        <f>IFERROR(Table_Controls_Input[[#This Row],[Net measure cost]]/Table_Controls_Input[[#This Row],[Cost savings]],"")</f>
        <v/>
      </c>
      <c r="S62" s="74" t="e">
        <f>INDEX(Table_Control_PAF[PAF], MATCH(Table_Controls_Input[[#This Row],[Existing lighting controls]], Table_Control_PAF[List_Control_Types], 0))</f>
        <v>#N/A</v>
      </c>
      <c r="T62" s="74" t="e">
        <f>INDEX(Table_Measure_PAF[Proposed PAF], MATCH(Table_Controls_Input[[#This Row],[Prescriptive control measure]], Table_Measure_PAF[List_Control_Measure], 0))</f>
        <v>#N/A</v>
      </c>
      <c r="U62" s="74" t="e">
        <f>INDEX(Table_Prescript_Meas[AOH Type], MATCH(Table_Controls_Input[[#This Row],[Measure number]],Table_Prescript_Meas[Measure Number], 0))</f>
        <v>#N/A</v>
      </c>
      <c r="V62" s="74" t="e">
        <f>INDEX(Table_Prescript_Meas[AOH Type], MATCH(Table_Controls_Input[[#This Row],[Measure number]], Table_Prescript_Meas[Measure Number],0))</f>
        <v>#N/A</v>
      </c>
      <c r="W62"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62" s="4"/>
      <c r="Y62" s="4"/>
      <c r="Z62" s="4"/>
      <c r="AA62" s="4"/>
      <c r="AB62" s="4"/>
      <c r="AC62" s="4"/>
      <c r="AD62" s="4"/>
      <c r="AE62" s="4"/>
      <c r="AF62" s="4"/>
      <c r="AG62" s="4"/>
      <c r="AH62" s="4"/>
      <c r="AI62" s="4"/>
      <c r="AJ62" s="4"/>
      <c r="AK62" s="4"/>
      <c r="AL62" s="4"/>
      <c r="AM62" s="4"/>
      <c r="AN62" s="4"/>
      <c r="AO62" s="4"/>
      <c r="AP62" s="4"/>
      <c r="AQ62" s="4"/>
      <c r="AR62" s="4"/>
      <c r="AS62" s="4"/>
    </row>
    <row r="63" spans="1:45" x14ac:dyDescent="0.2">
      <c r="A63" s="4"/>
      <c r="B63" s="63">
        <v>59</v>
      </c>
      <c r="C63" s="61" t="str">
        <f>IFERROR(INDEX(Table_Prescript_Meas[Measure Number], MATCH(E63, Table_Prescript_Meas[Measure Description], 0)), "")</f>
        <v/>
      </c>
      <c r="D63" s="192"/>
      <c r="E63" s="179"/>
      <c r="F63" s="197"/>
      <c r="G63" s="179"/>
      <c r="H63" s="179"/>
      <c r="I63" s="181"/>
      <c r="J63" s="181"/>
      <c r="K63"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63" s="67" t="str">
        <f>IFERROR(Table_Controls_Input[[#This Row],[Per-unit incentive]]*Table_Controls_Input[[#This Row],[Quantity (Sensors/controller units)]],"")</f>
        <v/>
      </c>
      <c r="M63"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63"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63" s="67" t="str">
        <f t="shared" si="0"/>
        <v/>
      </c>
      <c r="P63" s="67" t="str">
        <f>IF(Table_Controls_Input[[#This Row],[Per-unit incentive]]="","",Table_Controls_Input[[#This Row],[Total equipment cost]]+Table_Controls_Input[[#This Row],[Total labor cost]])</f>
        <v/>
      </c>
      <c r="Q63" s="67" t="str">
        <f>IFERROR(Table_Controls_Input[[#This Row],[Gross measure cost]]-Table_Controls_Input[[#This Row],[Estimated incentive]], "")</f>
        <v/>
      </c>
      <c r="R63" s="69" t="str">
        <f>IFERROR(Table_Controls_Input[[#This Row],[Net measure cost]]/Table_Controls_Input[[#This Row],[Cost savings]],"")</f>
        <v/>
      </c>
      <c r="S63" s="74" t="e">
        <f>INDEX(Table_Control_PAF[PAF], MATCH(Table_Controls_Input[[#This Row],[Existing lighting controls]], Table_Control_PAF[List_Control_Types], 0))</f>
        <v>#N/A</v>
      </c>
      <c r="T63" s="74" t="e">
        <f>INDEX(Table_Measure_PAF[Proposed PAF], MATCH(Table_Controls_Input[[#This Row],[Prescriptive control measure]], Table_Measure_PAF[List_Control_Measure], 0))</f>
        <v>#N/A</v>
      </c>
      <c r="U63" s="74" t="e">
        <f>INDEX(Table_Prescript_Meas[AOH Type], MATCH(Table_Controls_Input[[#This Row],[Measure number]],Table_Prescript_Meas[Measure Number], 0))</f>
        <v>#N/A</v>
      </c>
      <c r="V63" s="74" t="e">
        <f>INDEX(Table_Prescript_Meas[AOH Type], MATCH(Table_Controls_Input[[#This Row],[Measure number]], Table_Prescript_Meas[Measure Number],0))</f>
        <v>#N/A</v>
      </c>
      <c r="W63"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63" s="4"/>
      <c r="Y63" s="4"/>
      <c r="Z63" s="4"/>
      <c r="AA63" s="4"/>
      <c r="AB63" s="4"/>
      <c r="AC63" s="4"/>
      <c r="AD63" s="4"/>
      <c r="AE63" s="4"/>
      <c r="AF63" s="4"/>
      <c r="AG63" s="4"/>
      <c r="AH63" s="4"/>
      <c r="AI63" s="4"/>
      <c r="AJ63" s="4"/>
      <c r="AK63" s="4"/>
      <c r="AL63" s="4"/>
      <c r="AM63" s="4"/>
      <c r="AN63" s="4"/>
      <c r="AO63" s="4"/>
      <c r="AP63" s="4"/>
      <c r="AQ63" s="4"/>
      <c r="AR63" s="4"/>
      <c r="AS63" s="4"/>
    </row>
    <row r="64" spans="1:45" x14ac:dyDescent="0.2">
      <c r="A64" s="4"/>
      <c r="B64" s="63">
        <v>60</v>
      </c>
      <c r="C64" s="61" t="str">
        <f>IFERROR(INDEX(Table_Prescript_Meas[Measure Number], MATCH(E64, Table_Prescript_Meas[Measure Description], 0)), "")</f>
        <v/>
      </c>
      <c r="D64" s="192"/>
      <c r="E64" s="179"/>
      <c r="F64" s="197"/>
      <c r="G64" s="179"/>
      <c r="H64" s="179"/>
      <c r="I64" s="181"/>
      <c r="J64" s="181"/>
      <c r="K64"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64" s="67" t="str">
        <f>IFERROR(Table_Controls_Input[[#This Row],[Per-unit incentive]]*Table_Controls_Input[[#This Row],[Quantity (Sensors/controller units)]],"")</f>
        <v/>
      </c>
      <c r="M64"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64"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64" s="67" t="str">
        <f t="shared" si="0"/>
        <v/>
      </c>
      <c r="P64" s="67" t="str">
        <f>IF(Table_Controls_Input[[#This Row],[Per-unit incentive]]="","",Table_Controls_Input[[#This Row],[Total equipment cost]]+Table_Controls_Input[[#This Row],[Total labor cost]])</f>
        <v/>
      </c>
      <c r="Q64" s="67" t="str">
        <f>IFERROR(Table_Controls_Input[[#This Row],[Gross measure cost]]-Table_Controls_Input[[#This Row],[Estimated incentive]], "")</f>
        <v/>
      </c>
      <c r="R64" s="69" t="str">
        <f>IFERROR(Table_Controls_Input[[#This Row],[Net measure cost]]/Table_Controls_Input[[#This Row],[Cost savings]],"")</f>
        <v/>
      </c>
      <c r="S64" s="74" t="e">
        <f>INDEX(Table_Control_PAF[PAF], MATCH(Table_Controls_Input[[#This Row],[Existing lighting controls]], Table_Control_PAF[List_Control_Types], 0))</f>
        <v>#N/A</v>
      </c>
      <c r="T64" s="74" t="e">
        <f>INDEX(Table_Measure_PAF[Proposed PAF], MATCH(Table_Controls_Input[[#This Row],[Prescriptive control measure]], Table_Measure_PAF[List_Control_Measure], 0))</f>
        <v>#N/A</v>
      </c>
      <c r="U64" s="74" t="e">
        <f>INDEX(Table_Prescript_Meas[AOH Type], MATCH(Table_Controls_Input[[#This Row],[Measure number]],Table_Prescript_Meas[Measure Number], 0))</f>
        <v>#N/A</v>
      </c>
      <c r="V64" s="74" t="e">
        <f>INDEX(Table_Prescript_Meas[AOH Type], MATCH(Table_Controls_Input[[#This Row],[Measure number]], Table_Prescript_Meas[Measure Number],0))</f>
        <v>#N/A</v>
      </c>
      <c r="W64"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64" s="4"/>
      <c r="Y64" s="4"/>
      <c r="Z64" s="4"/>
      <c r="AA64" s="4"/>
      <c r="AB64" s="4"/>
      <c r="AC64" s="4"/>
      <c r="AD64" s="4"/>
      <c r="AE64" s="4"/>
      <c r="AF64" s="4"/>
      <c r="AG64" s="4"/>
      <c r="AH64" s="4"/>
      <c r="AI64" s="4"/>
      <c r="AJ64" s="4"/>
      <c r="AK64" s="4"/>
      <c r="AL64" s="4"/>
      <c r="AM64" s="4"/>
      <c r="AN64" s="4"/>
      <c r="AO64" s="4"/>
      <c r="AP64" s="4"/>
      <c r="AQ64" s="4"/>
      <c r="AR64" s="4"/>
      <c r="AS64" s="4"/>
    </row>
    <row r="65" spans="1:45" x14ac:dyDescent="0.2">
      <c r="A65" s="4"/>
      <c r="B65" s="63">
        <v>61</v>
      </c>
      <c r="C65" s="61" t="str">
        <f>IFERROR(INDEX(Table_Prescript_Meas[Measure Number], MATCH(E65, Table_Prescript_Meas[Measure Description], 0)), "")</f>
        <v/>
      </c>
      <c r="D65" s="192"/>
      <c r="E65" s="179"/>
      <c r="F65" s="197"/>
      <c r="G65" s="179"/>
      <c r="H65" s="179"/>
      <c r="I65" s="181"/>
      <c r="J65" s="181"/>
      <c r="K65"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65" s="67" t="str">
        <f>IFERROR(Table_Controls_Input[[#This Row],[Per-unit incentive]]*Table_Controls_Input[[#This Row],[Quantity (Sensors/controller units)]],"")</f>
        <v/>
      </c>
      <c r="M65"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65"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65" s="67" t="str">
        <f t="shared" si="0"/>
        <v/>
      </c>
      <c r="P65" s="67" t="str">
        <f>IF(Table_Controls_Input[[#This Row],[Per-unit incentive]]="","",Table_Controls_Input[[#This Row],[Total equipment cost]]+Table_Controls_Input[[#This Row],[Total labor cost]])</f>
        <v/>
      </c>
      <c r="Q65" s="67" t="str">
        <f>IFERROR(Table_Controls_Input[[#This Row],[Gross measure cost]]-Table_Controls_Input[[#This Row],[Estimated incentive]], "")</f>
        <v/>
      </c>
      <c r="R65" s="69" t="str">
        <f>IFERROR(Table_Controls_Input[[#This Row],[Net measure cost]]/Table_Controls_Input[[#This Row],[Cost savings]],"")</f>
        <v/>
      </c>
      <c r="S65" s="74" t="e">
        <f>INDEX(Table_Control_PAF[PAF], MATCH(Table_Controls_Input[[#This Row],[Existing lighting controls]], Table_Control_PAF[List_Control_Types], 0))</f>
        <v>#N/A</v>
      </c>
      <c r="T65" s="74" t="e">
        <f>INDEX(Table_Measure_PAF[Proposed PAF], MATCH(Table_Controls_Input[[#This Row],[Prescriptive control measure]], Table_Measure_PAF[List_Control_Measure], 0))</f>
        <v>#N/A</v>
      </c>
      <c r="U65" s="74" t="e">
        <f>INDEX(Table_Prescript_Meas[AOH Type], MATCH(Table_Controls_Input[[#This Row],[Measure number]],Table_Prescript_Meas[Measure Number], 0))</f>
        <v>#N/A</v>
      </c>
      <c r="V65" s="74" t="e">
        <f>INDEX(Table_Prescript_Meas[AOH Type], MATCH(Table_Controls_Input[[#This Row],[Measure number]], Table_Prescript_Meas[Measure Number],0))</f>
        <v>#N/A</v>
      </c>
      <c r="W65"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65" s="4"/>
      <c r="Y65" s="4"/>
      <c r="Z65" s="4"/>
      <c r="AA65" s="4"/>
      <c r="AB65" s="4"/>
      <c r="AC65" s="4"/>
      <c r="AD65" s="4"/>
      <c r="AE65" s="4"/>
      <c r="AF65" s="4"/>
      <c r="AG65" s="4"/>
      <c r="AH65" s="4"/>
      <c r="AI65" s="4"/>
      <c r="AJ65" s="4"/>
      <c r="AK65" s="4"/>
      <c r="AL65" s="4"/>
      <c r="AM65" s="4"/>
      <c r="AN65" s="4"/>
      <c r="AO65" s="4"/>
      <c r="AP65" s="4"/>
      <c r="AQ65" s="4"/>
      <c r="AR65" s="4"/>
      <c r="AS65" s="4"/>
    </row>
    <row r="66" spans="1:45" x14ac:dyDescent="0.2">
      <c r="A66" s="4"/>
      <c r="B66" s="63">
        <v>62</v>
      </c>
      <c r="C66" s="61" t="str">
        <f>IFERROR(INDEX(Table_Prescript_Meas[Measure Number], MATCH(E66, Table_Prescript_Meas[Measure Description], 0)), "")</f>
        <v/>
      </c>
      <c r="D66" s="192"/>
      <c r="E66" s="179"/>
      <c r="F66" s="197"/>
      <c r="G66" s="179"/>
      <c r="H66" s="179"/>
      <c r="I66" s="181"/>
      <c r="J66" s="181"/>
      <c r="K66"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66" s="67" t="str">
        <f>IFERROR(Table_Controls_Input[[#This Row],[Per-unit incentive]]*Table_Controls_Input[[#This Row],[Quantity (Sensors/controller units)]],"")</f>
        <v/>
      </c>
      <c r="M66"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66"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66" s="67" t="str">
        <f t="shared" si="0"/>
        <v/>
      </c>
      <c r="P66" s="67" t="str">
        <f>IF(Table_Controls_Input[[#This Row],[Per-unit incentive]]="","",Table_Controls_Input[[#This Row],[Total equipment cost]]+Table_Controls_Input[[#This Row],[Total labor cost]])</f>
        <v/>
      </c>
      <c r="Q66" s="67" t="str">
        <f>IFERROR(Table_Controls_Input[[#This Row],[Gross measure cost]]-Table_Controls_Input[[#This Row],[Estimated incentive]], "")</f>
        <v/>
      </c>
      <c r="R66" s="69" t="str">
        <f>IFERROR(Table_Controls_Input[[#This Row],[Net measure cost]]/Table_Controls_Input[[#This Row],[Cost savings]],"")</f>
        <v/>
      </c>
      <c r="S66" s="74" t="e">
        <f>INDEX(Table_Control_PAF[PAF], MATCH(Table_Controls_Input[[#This Row],[Existing lighting controls]], Table_Control_PAF[List_Control_Types], 0))</f>
        <v>#N/A</v>
      </c>
      <c r="T66" s="74" t="e">
        <f>INDEX(Table_Measure_PAF[Proposed PAF], MATCH(Table_Controls_Input[[#This Row],[Prescriptive control measure]], Table_Measure_PAF[List_Control_Measure], 0))</f>
        <v>#N/A</v>
      </c>
      <c r="U66" s="74" t="e">
        <f>INDEX(Table_Prescript_Meas[AOH Type], MATCH(Table_Controls_Input[[#This Row],[Measure number]],Table_Prescript_Meas[Measure Number], 0))</f>
        <v>#N/A</v>
      </c>
      <c r="V66" s="74" t="e">
        <f>INDEX(Table_Prescript_Meas[AOH Type], MATCH(Table_Controls_Input[[#This Row],[Measure number]], Table_Prescript_Meas[Measure Number],0))</f>
        <v>#N/A</v>
      </c>
      <c r="W66"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66" s="4"/>
      <c r="Y66" s="4"/>
      <c r="Z66" s="4"/>
      <c r="AA66" s="4"/>
      <c r="AB66" s="4"/>
      <c r="AC66" s="4"/>
      <c r="AD66" s="4"/>
      <c r="AE66" s="4"/>
      <c r="AF66" s="4"/>
      <c r="AG66" s="4"/>
      <c r="AH66" s="4"/>
      <c r="AI66" s="4"/>
      <c r="AJ66" s="4"/>
      <c r="AK66" s="4"/>
      <c r="AL66" s="4"/>
      <c r="AM66" s="4"/>
      <c r="AN66" s="4"/>
      <c r="AO66" s="4"/>
      <c r="AP66" s="4"/>
      <c r="AQ66" s="4"/>
      <c r="AR66" s="4"/>
      <c r="AS66" s="4"/>
    </row>
    <row r="67" spans="1:45" x14ac:dyDescent="0.2">
      <c r="A67" s="4"/>
      <c r="B67" s="63">
        <v>63</v>
      </c>
      <c r="C67" s="61" t="str">
        <f>IFERROR(INDEX(Table_Prescript_Meas[Measure Number], MATCH(E67, Table_Prescript_Meas[Measure Description], 0)), "")</f>
        <v/>
      </c>
      <c r="D67" s="192"/>
      <c r="E67" s="179"/>
      <c r="F67" s="197"/>
      <c r="G67" s="179"/>
      <c r="H67" s="179"/>
      <c r="I67" s="181"/>
      <c r="J67" s="181"/>
      <c r="K67"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67" s="67" t="str">
        <f>IFERROR(Table_Controls_Input[[#This Row],[Per-unit incentive]]*Table_Controls_Input[[#This Row],[Quantity (Sensors/controller units)]],"")</f>
        <v/>
      </c>
      <c r="M67"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67"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67" s="67" t="str">
        <f t="shared" si="0"/>
        <v/>
      </c>
      <c r="P67" s="67" t="str">
        <f>IF(Table_Controls_Input[[#This Row],[Per-unit incentive]]="","",Table_Controls_Input[[#This Row],[Total equipment cost]]+Table_Controls_Input[[#This Row],[Total labor cost]])</f>
        <v/>
      </c>
      <c r="Q67" s="67" t="str">
        <f>IFERROR(Table_Controls_Input[[#This Row],[Gross measure cost]]-Table_Controls_Input[[#This Row],[Estimated incentive]], "")</f>
        <v/>
      </c>
      <c r="R67" s="69" t="str">
        <f>IFERROR(Table_Controls_Input[[#This Row],[Net measure cost]]/Table_Controls_Input[[#This Row],[Cost savings]],"")</f>
        <v/>
      </c>
      <c r="S67" s="74" t="e">
        <f>INDEX(Table_Control_PAF[PAF], MATCH(Table_Controls_Input[[#This Row],[Existing lighting controls]], Table_Control_PAF[List_Control_Types], 0))</f>
        <v>#N/A</v>
      </c>
      <c r="T67" s="74" t="e">
        <f>INDEX(Table_Measure_PAF[Proposed PAF], MATCH(Table_Controls_Input[[#This Row],[Prescriptive control measure]], Table_Measure_PAF[List_Control_Measure], 0))</f>
        <v>#N/A</v>
      </c>
      <c r="U67" s="74" t="e">
        <f>INDEX(Table_Prescript_Meas[AOH Type], MATCH(Table_Controls_Input[[#This Row],[Measure number]],Table_Prescript_Meas[Measure Number], 0))</f>
        <v>#N/A</v>
      </c>
      <c r="V67" s="74" t="e">
        <f>INDEX(Table_Prescript_Meas[AOH Type], MATCH(Table_Controls_Input[[#This Row],[Measure number]], Table_Prescript_Meas[Measure Number],0))</f>
        <v>#N/A</v>
      </c>
      <c r="W67"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67" s="4"/>
      <c r="Y67" s="4"/>
      <c r="Z67" s="4"/>
      <c r="AA67" s="4"/>
      <c r="AB67" s="4"/>
      <c r="AC67" s="4"/>
      <c r="AD67" s="4"/>
      <c r="AE67" s="4"/>
      <c r="AF67" s="4"/>
      <c r="AG67" s="4"/>
      <c r="AH67" s="4"/>
      <c r="AI67" s="4"/>
      <c r="AJ67" s="4"/>
      <c r="AK67" s="4"/>
      <c r="AL67" s="4"/>
      <c r="AM67" s="4"/>
      <c r="AN67" s="4"/>
      <c r="AO67" s="4"/>
      <c r="AP67" s="4"/>
      <c r="AQ67" s="4"/>
      <c r="AR67" s="4"/>
      <c r="AS67" s="4"/>
    </row>
    <row r="68" spans="1:45" x14ac:dyDescent="0.2">
      <c r="A68" s="4"/>
      <c r="B68" s="63">
        <v>64</v>
      </c>
      <c r="C68" s="61" t="str">
        <f>IFERROR(INDEX(Table_Prescript_Meas[Measure Number], MATCH(E68, Table_Prescript_Meas[Measure Description], 0)), "")</f>
        <v/>
      </c>
      <c r="D68" s="192"/>
      <c r="E68" s="179"/>
      <c r="F68" s="197"/>
      <c r="G68" s="179"/>
      <c r="H68" s="179"/>
      <c r="I68" s="181"/>
      <c r="J68" s="181"/>
      <c r="K68"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68" s="67" t="str">
        <f>IFERROR(Table_Controls_Input[[#This Row],[Per-unit incentive]]*Table_Controls_Input[[#This Row],[Quantity (Sensors/controller units)]],"")</f>
        <v/>
      </c>
      <c r="M68"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68"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68" s="67" t="str">
        <f t="shared" si="0"/>
        <v/>
      </c>
      <c r="P68" s="67" t="str">
        <f>IF(Table_Controls_Input[[#This Row],[Per-unit incentive]]="","",Table_Controls_Input[[#This Row],[Total equipment cost]]+Table_Controls_Input[[#This Row],[Total labor cost]])</f>
        <v/>
      </c>
      <c r="Q68" s="67" t="str">
        <f>IFERROR(Table_Controls_Input[[#This Row],[Gross measure cost]]-Table_Controls_Input[[#This Row],[Estimated incentive]], "")</f>
        <v/>
      </c>
      <c r="R68" s="69" t="str">
        <f>IFERROR(Table_Controls_Input[[#This Row],[Net measure cost]]/Table_Controls_Input[[#This Row],[Cost savings]],"")</f>
        <v/>
      </c>
      <c r="S68" s="74" t="e">
        <f>INDEX(Table_Control_PAF[PAF], MATCH(Table_Controls_Input[[#This Row],[Existing lighting controls]], Table_Control_PAF[List_Control_Types], 0))</f>
        <v>#N/A</v>
      </c>
      <c r="T68" s="74" t="e">
        <f>INDEX(Table_Measure_PAF[Proposed PAF], MATCH(Table_Controls_Input[[#This Row],[Prescriptive control measure]], Table_Measure_PAF[List_Control_Measure], 0))</f>
        <v>#N/A</v>
      </c>
      <c r="U68" s="74" t="e">
        <f>INDEX(Table_Prescript_Meas[AOH Type], MATCH(Table_Controls_Input[[#This Row],[Measure number]],Table_Prescript_Meas[Measure Number], 0))</f>
        <v>#N/A</v>
      </c>
      <c r="V68" s="74" t="e">
        <f>INDEX(Table_Prescript_Meas[AOH Type], MATCH(Table_Controls_Input[[#This Row],[Measure number]], Table_Prescript_Meas[Measure Number],0))</f>
        <v>#N/A</v>
      </c>
      <c r="W68"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68" s="4"/>
      <c r="Y68" s="4"/>
      <c r="Z68" s="4"/>
      <c r="AA68" s="4"/>
      <c r="AB68" s="4"/>
      <c r="AC68" s="4"/>
      <c r="AD68" s="4"/>
      <c r="AE68" s="4"/>
      <c r="AF68" s="4"/>
      <c r="AG68" s="4"/>
      <c r="AH68" s="4"/>
      <c r="AI68" s="4"/>
      <c r="AJ68" s="4"/>
      <c r="AK68" s="4"/>
      <c r="AL68" s="4"/>
      <c r="AM68" s="4"/>
      <c r="AN68" s="4"/>
      <c r="AO68" s="4"/>
      <c r="AP68" s="4"/>
      <c r="AQ68" s="4"/>
      <c r="AR68" s="4"/>
      <c r="AS68" s="4"/>
    </row>
    <row r="69" spans="1:45" x14ac:dyDescent="0.2">
      <c r="A69" s="4"/>
      <c r="B69" s="63">
        <v>65</v>
      </c>
      <c r="C69" s="61" t="str">
        <f>IFERROR(INDEX(Table_Prescript_Meas[Measure Number], MATCH(E69, Table_Prescript_Meas[Measure Description], 0)), "")</f>
        <v/>
      </c>
      <c r="D69" s="192"/>
      <c r="E69" s="179"/>
      <c r="F69" s="197"/>
      <c r="G69" s="179"/>
      <c r="H69" s="179"/>
      <c r="I69" s="181"/>
      <c r="J69" s="181"/>
      <c r="K69"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69" s="67" t="str">
        <f>IFERROR(Table_Controls_Input[[#This Row],[Per-unit incentive]]*Table_Controls_Input[[#This Row],[Quantity (Sensors/controller units)]],"")</f>
        <v/>
      </c>
      <c r="M69"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69"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69" s="67" t="str">
        <f t="shared" ref="O69:O132" si="1">IFERROR(M69*Input_AvgkWhRate, "")</f>
        <v/>
      </c>
      <c r="P69" s="67" t="str">
        <f>IF(Table_Controls_Input[[#This Row],[Per-unit incentive]]="","",Table_Controls_Input[[#This Row],[Total equipment cost]]+Table_Controls_Input[[#This Row],[Total labor cost]])</f>
        <v/>
      </c>
      <c r="Q69" s="67" t="str">
        <f>IFERROR(Table_Controls_Input[[#This Row],[Gross measure cost]]-Table_Controls_Input[[#This Row],[Estimated incentive]], "")</f>
        <v/>
      </c>
      <c r="R69" s="69" t="str">
        <f>IFERROR(Table_Controls_Input[[#This Row],[Net measure cost]]/Table_Controls_Input[[#This Row],[Cost savings]],"")</f>
        <v/>
      </c>
      <c r="S69" s="74" t="e">
        <f>INDEX(Table_Control_PAF[PAF], MATCH(Table_Controls_Input[[#This Row],[Existing lighting controls]], Table_Control_PAF[List_Control_Types], 0))</f>
        <v>#N/A</v>
      </c>
      <c r="T69" s="74" t="e">
        <f>INDEX(Table_Measure_PAF[Proposed PAF], MATCH(Table_Controls_Input[[#This Row],[Prescriptive control measure]], Table_Measure_PAF[List_Control_Measure], 0))</f>
        <v>#N/A</v>
      </c>
      <c r="U69" s="74" t="e">
        <f>INDEX(Table_Prescript_Meas[AOH Type], MATCH(Table_Controls_Input[[#This Row],[Measure number]],Table_Prescript_Meas[Measure Number], 0))</f>
        <v>#N/A</v>
      </c>
      <c r="V69" s="74" t="e">
        <f>INDEX(Table_Prescript_Meas[AOH Type], MATCH(Table_Controls_Input[[#This Row],[Measure number]], Table_Prescript_Meas[Measure Number],0))</f>
        <v>#N/A</v>
      </c>
      <c r="W69"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69" s="4"/>
      <c r="Y69" s="4"/>
      <c r="Z69" s="4"/>
      <c r="AA69" s="4"/>
      <c r="AB69" s="4"/>
      <c r="AC69" s="4"/>
      <c r="AD69" s="4"/>
      <c r="AE69" s="4"/>
      <c r="AF69" s="4"/>
      <c r="AG69" s="4"/>
      <c r="AH69" s="4"/>
      <c r="AI69" s="4"/>
      <c r="AJ69" s="4"/>
      <c r="AK69" s="4"/>
      <c r="AL69" s="4"/>
      <c r="AM69" s="4"/>
      <c r="AN69" s="4"/>
      <c r="AO69" s="4"/>
      <c r="AP69" s="4"/>
      <c r="AQ69" s="4"/>
      <c r="AR69" s="4"/>
      <c r="AS69" s="4"/>
    </row>
    <row r="70" spans="1:45" x14ac:dyDescent="0.2">
      <c r="A70" s="4"/>
      <c r="B70" s="63">
        <v>66</v>
      </c>
      <c r="C70" s="61" t="str">
        <f>IFERROR(INDEX(Table_Prescript_Meas[Measure Number], MATCH(E70, Table_Prescript_Meas[Measure Description], 0)), "")</f>
        <v/>
      </c>
      <c r="D70" s="192"/>
      <c r="E70" s="179"/>
      <c r="F70" s="197"/>
      <c r="G70" s="179"/>
      <c r="H70" s="179"/>
      <c r="I70" s="181"/>
      <c r="J70" s="181"/>
      <c r="K70"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70" s="67" t="str">
        <f>IFERROR(Table_Controls_Input[[#This Row],[Per-unit incentive]]*Table_Controls_Input[[#This Row],[Quantity (Sensors/controller units)]],"")</f>
        <v/>
      </c>
      <c r="M70"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70"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70" s="67" t="str">
        <f t="shared" si="1"/>
        <v/>
      </c>
      <c r="P70" s="67" t="str">
        <f>IF(Table_Controls_Input[[#This Row],[Per-unit incentive]]="","",Table_Controls_Input[[#This Row],[Total equipment cost]]+Table_Controls_Input[[#This Row],[Total labor cost]])</f>
        <v/>
      </c>
      <c r="Q70" s="67" t="str">
        <f>IFERROR(Table_Controls_Input[[#This Row],[Gross measure cost]]-Table_Controls_Input[[#This Row],[Estimated incentive]], "")</f>
        <v/>
      </c>
      <c r="R70" s="69" t="str">
        <f>IFERROR(Table_Controls_Input[[#This Row],[Net measure cost]]/Table_Controls_Input[[#This Row],[Cost savings]],"")</f>
        <v/>
      </c>
      <c r="S70" s="74" t="e">
        <f>INDEX(Table_Control_PAF[PAF], MATCH(Table_Controls_Input[[#This Row],[Existing lighting controls]], Table_Control_PAF[List_Control_Types], 0))</f>
        <v>#N/A</v>
      </c>
      <c r="T70" s="74" t="e">
        <f>INDEX(Table_Measure_PAF[Proposed PAF], MATCH(Table_Controls_Input[[#This Row],[Prescriptive control measure]], Table_Measure_PAF[List_Control_Measure], 0))</f>
        <v>#N/A</v>
      </c>
      <c r="U70" s="74" t="e">
        <f>INDEX(Table_Prescript_Meas[AOH Type], MATCH(Table_Controls_Input[[#This Row],[Measure number]],Table_Prescript_Meas[Measure Number], 0))</f>
        <v>#N/A</v>
      </c>
      <c r="V70" s="74" t="e">
        <f>INDEX(Table_Prescript_Meas[AOH Type], MATCH(Table_Controls_Input[[#This Row],[Measure number]], Table_Prescript_Meas[Measure Number],0))</f>
        <v>#N/A</v>
      </c>
      <c r="W70"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70" s="4"/>
      <c r="Y70" s="4"/>
      <c r="Z70" s="4"/>
      <c r="AA70" s="4"/>
      <c r="AB70" s="4"/>
      <c r="AC70" s="4"/>
      <c r="AD70" s="4"/>
      <c r="AE70" s="4"/>
      <c r="AF70" s="4"/>
      <c r="AG70" s="4"/>
      <c r="AH70" s="4"/>
      <c r="AI70" s="4"/>
      <c r="AJ70" s="4"/>
      <c r="AK70" s="4"/>
      <c r="AL70" s="4"/>
      <c r="AM70" s="4"/>
      <c r="AN70" s="4"/>
      <c r="AO70" s="4"/>
      <c r="AP70" s="4"/>
      <c r="AQ70" s="4"/>
      <c r="AR70" s="4"/>
      <c r="AS70" s="4"/>
    </row>
    <row r="71" spans="1:45" x14ac:dyDescent="0.2">
      <c r="A71" s="4"/>
      <c r="B71" s="63">
        <v>67</v>
      </c>
      <c r="C71" s="61" t="str">
        <f>IFERROR(INDEX(Table_Prescript_Meas[Measure Number], MATCH(E71, Table_Prescript_Meas[Measure Description], 0)), "")</f>
        <v/>
      </c>
      <c r="D71" s="192"/>
      <c r="E71" s="179"/>
      <c r="F71" s="197"/>
      <c r="G71" s="179"/>
      <c r="H71" s="179"/>
      <c r="I71" s="181"/>
      <c r="J71" s="181"/>
      <c r="K71"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71" s="67" t="str">
        <f>IFERROR(Table_Controls_Input[[#This Row],[Per-unit incentive]]*Table_Controls_Input[[#This Row],[Quantity (Sensors/controller units)]],"")</f>
        <v/>
      </c>
      <c r="M71"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71"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71" s="67" t="str">
        <f t="shared" si="1"/>
        <v/>
      </c>
      <c r="P71" s="67" t="str">
        <f>IF(Table_Controls_Input[[#This Row],[Per-unit incentive]]="","",Table_Controls_Input[[#This Row],[Total equipment cost]]+Table_Controls_Input[[#This Row],[Total labor cost]])</f>
        <v/>
      </c>
      <c r="Q71" s="67" t="str">
        <f>IFERROR(Table_Controls_Input[[#This Row],[Gross measure cost]]-Table_Controls_Input[[#This Row],[Estimated incentive]], "")</f>
        <v/>
      </c>
      <c r="R71" s="69" t="str">
        <f>IFERROR(Table_Controls_Input[[#This Row],[Net measure cost]]/Table_Controls_Input[[#This Row],[Cost savings]],"")</f>
        <v/>
      </c>
      <c r="S71" s="74" t="e">
        <f>INDEX(Table_Control_PAF[PAF], MATCH(Table_Controls_Input[[#This Row],[Existing lighting controls]], Table_Control_PAF[List_Control_Types], 0))</f>
        <v>#N/A</v>
      </c>
      <c r="T71" s="74" t="e">
        <f>INDEX(Table_Measure_PAF[Proposed PAF], MATCH(Table_Controls_Input[[#This Row],[Prescriptive control measure]], Table_Measure_PAF[List_Control_Measure], 0))</f>
        <v>#N/A</v>
      </c>
      <c r="U71" s="74" t="e">
        <f>INDEX(Table_Prescript_Meas[AOH Type], MATCH(Table_Controls_Input[[#This Row],[Measure number]],Table_Prescript_Meas[Measure Number], 0))</f>
        <v>#N/A</v>
      </c>
      <c r="V71" s="74" t="e">
        <f>INDEX(Table_Prescript_Meas[AOH Type], MATCH(Table_Controls_Input[[#This Row],[Measure number]], Table_Prescript_Meas[Measure Number],0))</f>
        <v>#N/A</v>
      </c>
      <c r="W71"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71" s="4"/>
      <c r="Y71" s="4"/>
      <c r="Z71" s="4"/>
      <c r="AA71" s="4"/>
      <c r="AB71" s="4"/>
      <c r="AC71" s="4"/>
      <c r="AD71" s="4"/>
      <c r="AE71" s="4"/>
      <c r="AF71" s="4"/>
      <c r="AG71" s="4"/>
      <c r="AH71" s="4"/>
      <c r="AI71" s="4"/>
      <c r="AJ71" s="4"/>
      <c r="AK71" s="4"/>
      <c r="AL71" s="4"/>
      <c r="AM71" s="4"/>
      <c r="AN71" s="4"/>
      <c r="AO71" s="4"/>
      <c r="AP71" s="4"/>
      <c r="AQ71" s="4"/>
      <c r="AR71" s="4"/>
      <c r="AS71" s="4"/>
    </row>
    <row r="72" spans="1:45" x14ac:dyDescent="0.2">
      <c r="A72" s="4"/>
      <c r="B72" s="63">
        <v>68</v>
      </c>
      <c r="C72" s="61" t="str">
        <f>IFERROR(INDEX(Table_Prescript_Meas[Measure Number], MATCH(E72, Table_Prescript_Meas[Measure Description], 0)), "")</f>
        <v/>
      </c>
      <c r="D72" s="192"/>
      <c r="E72" s="179"/>
      <c r="F72" s="197"/>
      <c r="G72" s="179"/>
      <c r="H72" s="179"/>
      <c r="I72" s="181"/>
      <c r="J72" s="181"/>
      <c r="K72"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72" s="67" t="str">
        <f>IFERROR(Table_Controls_Input[[#This Row],[Per-unit incentive]]*Table_Controls_Input[[#This Row],[Quantity (Sensors/controller units)]],"")</f>
        <v/>
      </c>
      <c r="M72"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72"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72" s="67" t="str">
        <f t="shared" si="1"/>
        <v/>
      </c>
      <c r="P72" s="67" t="str">
        <f>IF(Table_Controls_Input[[#This Row],[Per-unit incentive]]="","",Table_Controls_Input[[#This Row],[Total equipment cost]]+Table_Controls_Input[[#This Row],[Total labor cost]])</f>
        <v/>
      </c>
      <c r="Q72" s="67" t="str">
        <f>IFERROR(Table_Controls_Input[[#This Row],[Gross measure cost]]-Table_Controls_Input[[#This Row],[Estimated incentive]], "")</f>
        <v/>
      </c>
      <c r="R72" s="69" t="str">
        <f>IFERROR(Table_Controls_Input[[#This Row],[Net measure cost]]/Table_Controls_Input[[#This Row],[Cost savings]],"")</f>
        <v/>
      </c>
      <c r="S72" s="74" t="e">
        <f>INDEX(Table_Control_PAF[PAF], MATCH(Table_Controls_Input[[#This Row],[Existing lighting controls]], Table_Control_PAF[List_Control_Types], 0))</f>
        <v>#N/A</v>
      </c>
      <c r="T72" s="74" t="e">
        <f>INDEX(Table_Measure_PAF[Proposed PAF], MATCH(Table_Controls_Input[[#This Row],[Prescriptive control measure]], Table_Measure_PAF[List_Control_Measure], 0))</f>
        <v>#N/A</v>
      </c>
      <c r="U72" s="74" t="e">
        <f>INDEX(Table_Prescript_Meas[AOH Type], MATCH(Table_Controls_Input[[#This Row],[Measure number]],Table_Prescript_Meas[Measure Number], 0))</f>
        <v>#N/A</v>
      </c>
      <c r="V72" s="74" t="e">
        <f>INDEX(Table_Prescript_Meas[AOH Type], MATCH(Table_Controls_Input[[#This Row],[Measure number]], Table_Prescript_Meas[Measure Number],0))</f>
        <v>#N/A</v>
      </c>
      <c r="W72"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72" s="4"/>
      <c r="Y72" s="4"/>
      <c r="Z72" s="4"/>
      <c r="AA72" s="4"/>
      <c r="AB72" s="4"/>
      <c r="AC72" s="4"/>
      <c r="AD72" s="4"/>
      <c r="AE72" s="4"/>
      <c r="AF72" s="4"/>
      <c r="AG72" s="4"/>
      <c r="AH72" s="4"/>
      <c r="AI72" s="4"/>
      <c r="AJ72" s="4"/>
      <c r="AK72" s="4"/>
      <c r="AL72" s="4"/>
      <c r="AM72" s="4"/>
      <c r="AN72" s="4"/>
      <c r="AO72" s="4"/>
      <c r="AP72" s="4"/>
      <c r="AQ72" s="4"/>
      <c r="AR72" s="4"/>
      <c r="AS72" s="4"/>
    </row>
    <row r="73" spans="1:45" x14ac:dyDescent="0.2">
      <c r="A73" s="4"/>
      <c r="B73" s="63">
        <v>69</v>
      </c>
      <c r="C73" s="61" t="str">
        <f>IFERROR(INDEX(Table_Prescript_Meas[Measure Number], MATCH(E73, Table_Prescript_Meas[Measure Description], 0)), "")</f>
        <v/>
      </c>
      <c r="D73" s="192"/>
      <c r="E73" s="179"/>
      <c r="F73" s="197"/>
      <c r="G73" s="179"/>
      <c r="H73" s="179"/>
      <c r="I73" s="181"/>
      <c r="J73" s="181"/>
      <c r="K73"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73" s="67" t="str">
        <f>IFERROR(Table_Controls_Input[[#This Row],[Per-unit incentive]]*Table_Controls_Input[[#This Row],[Quantity (Sensors/controller units)]],"")</f>
        <v/>
      </c>
      <c r="M73"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73"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73" s="67" t="str">
        <f t="shared" si="1"/>
        <v/>
      </c>
      <c r="P73" s="67" t="str">
        <f>IF(Table_Controls_Input[[#This Row],[Per-unit incentive]]="","",Table_Controls_Input[[#This Row],[Total equipment cost]]+Table_Controls_Input[[#This Row],[Total labor cost]])</f>
        <v/>
      </c>
      <c r="Q73" s="67" t="str">
        <f>IFERROR(Table_Controls_Input[[#This Row],[Gross measure cost]]-Table_Controls_Input[[#This Row],[Estimated incentive]], "")</f>
        <v/>
      </c>
      <c r="R73" s="69" t="str">
        <f>IFERROR(Table_Controls_Input[[#This Row],[Net measure cost]]/Table_Controls_Input[[#This Row],[Cost savings]],"")</f>
        <v/>
      </c>
      <c r="S73" s="74" t="e">
        <f>INDEX(Table_Control_PAF[PAF], MATCH(Table_Controls_Input[[#This Row],[Existing lighting controls]], Table_Control_PAF[List_Control_Types], 0))</f>
        <v>#N/A</v>
      </c>
      <c r="T73" s="74" t="e">
        <f>INDEX(Table_Measure_PAF[Proposed PAF], MATCH(Table_Controls_Input[[#This Row],[Prescriptive control measure]], Table_Measure_PAF[List_Control_Measure], 0))</f>
        <v>#N/A</v>
      </c>
      <c r="U73" s="74" t="e">
        <f>INDEX(Table_Prescript_Meas[AOH Type], MATCH(Table_Controls_Input[[#This Row],[Measure number]],Table_Prescript_Meas[Measure Number], 0))</f>
        <v>#N/A</v>
      </c>
      <c r="V73" s="74" t="e">
        <f>INDEX(Table_Prescript_Meas[AOH Type], MATCH(Table_Controls_Input[[#This Row],[Measure number]], Table_Prescript_Meas[Measure Number],0))</f>
        <v>#N/A</v>
      </c>
      <c r="W73"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73" s="4"/>
      <c r="Y73" s="4"/>
      <c r="Z73" s="4"/>
      <c r="AA73" s="4"/>
      <c r="AB73" s="4"/>
      <c r="AC73" s="4"/>
      <c r="AD73" s="4"/>
      <c r="AE73" s="4"/>
      <c r="AF73" s="4"/>
      <c r="AG73" s="4"/>
      <c r="AH73" s="4"/>
      <c r="AI73" s="4"/>
      <c r="AJ73" s="4"/>
      <c r="AK73" s="4"/>
      <c r="AL73" s="4"/>
      <c r="AM73" s="4"/>
      <c r="AN73" s="4"/>
      <c r="AO73" s="4"/>
      <c r="AP73" s="4"/>
      <c r="AQ73" s="4"/>
      <c r="AR73" s="4"/>
      <c r="AS73" s="4"/>
    </row>
    <row r="74" spans="1:45" x14ac:dyDescent="0.2">
      <c r="A74" s="4"/>
      <c r="B74" s="63">
        <v>70</v>
      </c>
      <c r="C74" s="61" t="str">
        <f>IFERROR(INDEX(Table_Prescript_Meas[Measure Number], MATCH(E74, Table_Prescript_Meas[Measure Description], 0)), "")</f>
        <v/>
      </c>
      <c r="D74" s="192"/>
      <c r="E74" s="179"/>
      <c r="F74" s="197"/>
      <c r="G74" s="179"/>
      <c r="H74" s="179"/>
      <c r="I74" s="181"/>
      <c r="J74" s="181"/>
      <c r="K74"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74" s="67" t="str">
        <f>IFERROR(Table_Controls_Input[[#This Row],[Per-unit incentive]]*Table_Controls_Input[[#This Row],[Quantity (Sensors/controller units)]],"")</f>
        <v/>
      </c>
      <c r="M74"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74"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74" s="67" t="str">
        <f t="shared" si="1"/>
        <v/>
      </c>
      <c r="P74" s="67" t="str">
        <f>IF(Table_Controls_Input[[#This Row],[Per-unit incentive]]="","",Table_Controls_Input[[#This Row],[Total equipment cost]]+Table_Controls_Input[[#This Row],[Total labor cost]])</f>
        <v/>
      </c>
      <c r="Q74" s="67" t="str">
        <f>IFERROR(Table_Controls_Input[[#This Row],[Gross measure cost]]-Table_Controls_Input[[#This Row],[Estimated incentive]], "")</f>
        <v/>
      </c>
      <c r="R74" s="69" t="str">
        <f>IFERROR(Table_Controls_Input[[#This Row],[Net measure cost]]/Table_Controls_Input[[#This Row],[Cost savings]],"")</f>
        <v/>
      </c>
      <c r="S74" s="74" t="e">
        <f>INDEX(Table_Control_PAF[PAF], MATCH(Table_Controls_Input[[#This Row],[Existing lighting controls]], Table_Control_PAF[List_Control_Types], 0))</f>
        <v>#N/A</v>
      </c>
      <c r="T74" s="74" t="e">
        <f>INDEX(Table_Measure_PAF[Proposed PAF], MATCH(Table_Controls_Input[[#This Row],[Prescriptive control measure]], Table_Measure_PAF[List_Control_Measure], 0))</f>
        <v>#N/A</v>
      </c>
      <c r="U74" s="74" t="e">
        <f>INDEX(Table_Prescript_Meas[AOH Type], MATCH(Table_Controls_Input[[#This Row],[Measure number]],Table_Prescript_Meas[Measure Number], 0))</f>
        <v>#N/A</v>
      </c>
      <c r="V74" s="74" t="e">
        <f>INDEX(Table_Prescript_Meas[AOH Type], MATCH(Table_Controls_Input[[#This Row],[Measure number]], Table_Prescript_Meas[Measure Number],0))</f>
        <v>#N/A</v>
      </c>
      <c r="W74"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74" s="4"/>
      <c r="Y74" s="4"/>
      <c r="Z74" s="4"/>
      <c r="AA74" s="4"/>
      <c r="AB74" s="4"/>
      <c r="AC74" s="4"/>
      <c r="AD74" s="4"/>
      <c r="AE74" s="4"/>
      <c r="AF74" s="4"/>
      <c r="AG74" s="4"/>
      <c r="AH74" s="4"/>
      <c r="AI74" s="4"/>
      <c r="AJ74" s="4"/>
      <c r="AK74" s="4"/>
      <c r="AL74" s="4"/>
      <c r="AM74" s="4"/>
      <c r="AN74" s="4"/>
      <c r="AO74" s="4"/>
      <c r="AP74" s="4"/>
      <c r="AQ74" s="4"/>
      <c r="AR74" s="4"/>
      <c r="AS74" s="4"/>
    </row>
    <row r="75" spans="1:45" x14ac:dyDescent="0.2">
      <c r="A75" s="4"/>
      <c r="B75" s="63">
        <v>71</v>
      </c>
      <c r="C75" s="61" t="str">
        <f>IFERROR(INDEX(Table_Prescript_Meas[Measure Number], MATCH(E75, Table_Prescript_Meas[Measure Description], 0)), "")</f>
        <v/>
      </c>
      <c r="D75" s="192"/>
      <c r="E75" s="179"/>
      <c r="F75" s="197"/>
      <c r="G75" s="179"/>
      <c r="H75" s="179"/>
      <c r="I75" s="181"/>
      <c r="J75" s="181"/>
      <c r="K75"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75" s="67" t="str">
        <f>IFERROR(Table_Controls_Input[[#This Row],[Per-unit incentive]]*Table_Controls_Input[[#This Row],[Quantity (Sensors/controller units)]],"")</f>
        <v/>
      </c>
      <c r="M75"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75"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75" s="67" t="str">
        <f t="shared" si="1"/>
        <v/>
      </c>
      <c r="P75" s="67" t="str">
        <f>IF(Table_Controls_Input[[#This Row],[Per-unit incentive]]="","",Table_Controls_Input[[#This Row],[Total equipment cost]]+Table_Controls_Input[[#This Row],[Total labor cost]])</f>
        <v/>
      </c>
      <c r="Q75" s="67" t="str">
        <f>IFERROR(Table_Controls_Input[[#This Row],[Gross measure cost]]-Table_Controls_Input[[#This Row],[Estimated incentive]], "")</f>
        <v/>
      </c>
      <c r="R75" s="69" t="str">
        <f>IFERROR(Table_Controls_Input[[#This Row],[Net measure cost]]/Table_Controls_Input[[#This Row],[Cost savings]],"")</f>
        <v/>
      </c>
      <c r="S75" s="74" t="e">
        <f>INDEX(Table_Control_PAF[PAF], MATCH(Table_Controls_Input[[#This Row],[Existing lighting controls]], Table_Control_PAF[List_Control_Types], 0))</f>
        <v>#N/A</v>
      </c>
      <c r="T75" s="74" t="e">
        <f>INDEX(Table_Measure_PAF[Proposed PAF], MATCH(Table_Controls_Input[[#This Row],[Prescriptive control measure]], Table_Measure_PAF[List_Control_Measure], 0))</f>
        <v>#N/A</v>
      </c>
      <c r="U75" s="74" t="e">
        <f>INDEX(Table_Prescript_Meas[AOH Type], MATCH(Table_Controls_Input[[#This Row],[Measure number]],Table_Prescript_Meas[Measure Number], 0))</f>
        <v>#N/A</v>
      </c>
      <c r="V75" s="74" t="e">
        <f>INDEX(Table_Prescript_Meas[AOH Type], MATCH(Table_Controls_Input[[#This Row],[Measure number]], Table_Prescript_Meas[Measure Number],0))</f>
        <v>#N/A</v>
      </c>
      <c r="W75"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75" s="4"/>
      <c r="Y75" s="4"/>
      <c r="Z75" s="4"/>
      <c r="AA75" s="4"/>
      <c r="AB75" s="4"/>
      <c r="AC75" s="4"/>
      <c r="AD75" s="4"/>
      <c r="AE75" s="4"/>
      <c r="AF75" s="4"/>
      <c r="AG75" s="4"/>
      <c r="AH75" s="4"/>
      <c r="AI75" s="4"/>
      <c r="AJ75" s="4"/>
      <c r="AK75" s="4"/>
      <c r="AL75" s="4"/>
      <c r="AM75" s="4"/>
      <c r="AN75" s="4"/>
      <c r="AO75" s="4"/>
      <c r="AP75" s="4"/>
      <c r="AQ75" s="4"/>
      <c r="AR75" s="4"/>
      <c r="AS75" s="4"/>
    </row>
    <row r="76" spans="1:45" x14ac:dyDescent="0.2">
      <c r="A76" s="4"/>
      <c r="B76" s="63">
        <v>72</v>
      </c>
      <c r="C76" s="61" t="str">
        <f>IFERROR(INDEX(Table_Prescript_Meas[Measure Number], MATCH(E76, Table_Prescript_Meas[Measure Description], 0)), "")</f>
        <v/>
      </c>
      <c r="D76" s="192"/>
      <c r="E76" s="179"/>
      <c r="F76" s="197"/>
      <c r="G76" s="179"/>
      <c r="H76" s="179"/>
      <c r="I76" s="181"/>
      <c r="J76" s="181"/>
      <c r="K76"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76" s="67" t="str">
        <f>IFERROR(Table_Controls_Input[[#This Row],[Per-unit incentive]]*Table_Controls_Input[[#This Row],[Quantity (Sensors/controller units)]],"")</f>
        <v/>
      </c>
      <c r="M76"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76"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76" s="67" t="str">
        <f t="shared" si="1"/>
        <v/>
      </c>
      <c r="P76" s="67" t="str">
        <f>IF(Table_Controls_Input[[#This Row],[Per-unit incentive]]="","",Table_Controls_Input[[#This Row],[Total equipment cost]]+Table_Controls_Input[[#This Row],[Total labor cost]])</f>
        <v/>
      </c>
      <c r="Q76" s="67" t="str">
        <f>IFERROR(Table_Controls_Input[[#This Row],[Gross measure cost]]-Table_Controls_Input[[#This Row],[Estimated incentive]], "")</f>
        <v/>
      </c>
      <c r="R76" s="69" t="str">
        <f>IFERROR(Table_Controls_Input[[#This Row],[Net measure cost]]/Table_Controls_Input[[#This Row],[Cost savings]],"")</f>
        <v/>
      </c>
      <c r="S76" s="74" t="e">
        <f>INDEX(Table_Control_PAF[PAF], MATCH(Table_Controls_Input[[#This Row],[Existing lighting controls]], Table_Control_PAF[List_Control_Types], 0))</f>
        <v>#N/A</v>
      </c>
      <c r="T76" s="74" t="e">
        <f>INDEX(Table_Measure_PAF[Proposed PAF], MATCH(Table_Controls_Input[[#This Row],[Prescriptive control measure]], Table_Measure_PAF[List_Control_Measure], 0))</f>
        <v>#N/A</v>
      </c>
      <c r="U76" s="74" t="e">
        <f>INDEX(Table_Prescript_Meas[AOH Type], MATCH(Table_Controls_Input[[#This Row],[Measure number]],Table_Prescript_Meas[Measure Number], 0))</f>
        <v>#N/A</v>
      </c>
      <c r="V76" s="74" t="e">
        <f>INDEX(Table_Prescript_Meas[AOH Type], MATCH(Table_Controls_Input[[#This Row],[Measure number]], Table_Prescript_Meas[Measure Number],0))</f>
        <v>#N/A</v>
      </c>
      <c r="W76"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76" s="4"/>
      <c r="Y76" s="4"/>
      <c r="Z76" s="4"/>
      <c r="AA76" s="4"/>
      <c r="AB76" s="4"/>
      <c r="AC76" s="4"/>
      <c r="AD76" s="4"/>
      <c r="AE76" s="4"/>
      <c r="AF76" s="4"/>
      <c r="AG76" s="4"/>
      <c r="AH76" s="4"/>
      <c r="AI76" s="4"/>
      <c r="AJ76" s="4"/>
      <c r="AK76" s="4"/>
      <c r="AL76" s="4"/>
      <c r="AM76" s="4"/>
      <c r="AN76" s="4"/>
      <c r="AO76" s="4"/>
      <c r="AP76" s="4"/>
      <c r="AQ76" s="4"/>
      <c r="AR76" s="4"/>
      <c r="AS76" s="4"/>
    </row>
    <row r="77" spans="1:45" x14ac:dyDescent="0.2">
      <c r="A77" s="4"/>
      <c r="B77" s="63">
        <v>73</v>
      </c>
      <c r="C77" s="61" t="str">
        <f>IFERROR(INDEX(Table_Prescript_Meas[Measure Number], MATCH(E77, Table_Prescript_Meas[Measure Description], 0)), "")</f>
        <v/>
      </c>
      <c r="D77" s="192"/>
      <c r="E77" s="179"/>
      <c r="F77" s="197"/>
      <c r="G77" s="179"/>
      <c r="H77" s="179"/>
      <c r="I77" s="181"/>
      <c r="J77" s="181"/>
      <c r="K77"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77" s="67" t="str">
        <f>IFERROR(Table_Controls_Input[[#This Row],[Per-unit incentive]]*Table_Controls_Input[[#This Row],[Quantity (Sensors/controller units)]],"")</f>
        <v/>
      </c>
      <c r="M77"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77"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77" s="67" t="str">
        <f t="shared" si="1"/>
        <v/>
      </c>
      <c r="P77" s="67" t="str">
        <f>IF(Table_Controls_Input[[#This Row],[Per-unit incentive]]="","",Table_Controls_Input[[#This Row],[Total equipment cost]]+Table_Controls_Input[[#This Row],[Total labor cost]])</f>
        <v/>
      </c>
      <c r="Q77" s="67" t="str">
        <f>IFERROR(Table_Controls_Input[[#This Row],[Gross measure cost]]-Table_Controls_Input[[#This Row],[Estimated incentive]], "")</f>
        <v/>
      </c>
      <c r="R77" s="69" t="str">
        <f>IFERROR(Table_Controls_Input[[#This Row],[Net measure cost]]/Table_Controls_Input[[#This Row],[Cost savings]],"")</f>
        <v/>
      </c>
      <c r="S77" s="74" t="e">
        <f>INDEX(Table_Control_PAF[PAF], MATCH(Table_Controls_Input[[#This Row],[Existing lighting controls]], Table_Control_PAF[List_Control_Types], 0))</f>
        <v>#N/A</v>
      </c>
      <c r="T77" s="74" t="e">
        <f>INDEX(Table_Measure_PAF[Proposed PAF], MATCH(Table_Controls_Input[[#This Row],[Prescriptive control measure]], Table_Measure_PAF[List_Control_Measure], 0))</f>
        <v>#N/A</v>
      </c>
      <c r="U77" s="74" t="e">
        <f>INDEX(Table_Prescript_Meas[AOH Type], MATCH(Table_Controls_Input[[#This Row],[Measure number]],Table_Prescript_Meas[Measure Number], 0))</f>
        <v>#N/A</v>
      </c>
      <c r="V77" s="74" t="e">
        <f>INDEX(Table_Prescript_Meas[AOH Type], MATCH(Table_Controls_Input[[#This Row],[Measure number]], Table_Prescript_Meas[Measure Number],0))</f>
        <v>#N/A</v>
      </c>
      <c r="W77"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77" s="4"/>
      <c r="Y77" s="4"/>
      <c r="Z77" s="4"/>
      <c r="AA77" s="4"/>
      <c r="AB77" s="4"/>
      <c r="AC77" s="4"/>
      <c r="AD77" s="4"/>
      <c r="AE77" s="4"/>
      <c r="AF77" s="4"/>
      <c r="AG77" s="4"/>
      <c r="AH77" s="4"/>
      <c r="AI77" s="4"/>
      <c r="AJ77" s="4"/>
      <c r="AK77" s="4"/>
      <c r="AL77" s="4"/>
      <c r="AM77" s="4"/>
      <c r="AN77" s="4"/>
      <c r="AO77" s="4"/>
      <c r="AP77" s="4"/>
      <c r="AQ77" s="4"/>
      <c r="AR77" s="4"/>
      <c r="AS77" s="4"/>
    </row>
    <row r="78" spans="1:45" x14ac:dyDescent="0.2">
      <c r="A78" s="4"/>
      <c r="B78" s="63">
        <v>74</v>
      </c>
      <c r="C78" s="61" t="str">
        <f>IFERROR(INDEX(Table_Prescript_Meas[Measure Number], MATCH(E78, Table_Prescript_Meas[Measure Description], 0)), "")</f>
        <v/>
      </c>
      <c r="D78" s="192"/>
      <c r="E78" s="179"/>
      <c r="F78" s="197"/>
      <c r="G78" s="179"/>
      <c r="H78" s="179"/>
      <c r="I78" s="181"/>
      <c r="J78" s="181"/>
      <c r="K78"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78" s="67" t="str">
        <f>IFERROR(Table_Controls_Input[[#This Row],[Per-unit incentive]]*Table_Controls_Input[[#This Row],[Quantity (Sensors/controller units)]],"")</f>
        <v/>
      </c>
      <c r="M78"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78"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78" s="67" t="str">
        <f t="shared" si="1"/>
        <v/>
      </c>
      <c r="P78" s="67" t="str">
        <f>IF(Table_Controls_Input[[#This Row],[Per-unit incentive]]="","",Table_Controls_Input[[#This Row],[Total equipment cost]]+Table_Controls_Input[[#This Row],[Total labor cost]])</f>
        <v/>
      </c>
      <c r="Q78" s="67" t="str">
        <f>IFERROR(Table_Controls_Input[[#This Row],[Gross measure cost]]-Table_Controls_Input[[#This Row],[Estimated incentive]], "")</f>
        <v/>
      </c>
      <c r="R78" s="69" t="str">
        <f>IFERROR(Table_Controls_Input[[#This Row],[Net measure cost]]/Table_Controls_Input[[#This Row],[Cost savings]],"")</f>
        <v/>
      </c>
      <c r="S78" s="74" t="e">
        <f>INDEX(Table_Control_PAF[PAF], MATCH(Table_Controls_Input[[#This Row],[Existing lighting controls]], Table_Control_PAF[List_Control_Types], 0))</f>
        <v>#N/A</v>
      </c>
      <c r="T78" s="74" t="e">
        <f>INDEX(Table_Measure_PAF[Proposed PAF], MATCH(Table_Controls_Input[[#This Row],[Prescriptive control measure]], Table_Measure_PAF[List_Control_Measure], 0))</f>
        <v>#N/A</v>
      </c>
      <c r="U78" s="74" t="e">
        <f>INDEX(Table_Prescript_Meas[AOH Type], MATCH(Table_Controls_Input[[#This Row],[Measure number]],Table_Prescript_Meas[Measure Number], 0))</f>
        <v>#N/A</v>
      </c>
      <c r="V78" s="74" t="e">
        <f>INDEX(Table_Prescript_Meas[AOH Type], MATCH(Table_Controls_Input[[#This Row],[Measure number]], Table_Prescript_Meas[Measure Number],0))</f>
        <v>#N/A</v>
      </c>
      <c r="W78"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78" s="4"/>
      <c r="Y78" s="4"/>
      <c r="Z78" s="4"/>
      <c r="AA78" s="4"/>
      <c r="AB78" s="4"/>
      <c r="AC78" s="4"/>
      <c r="AD78" s="4"/>
      <c r="AE78" s="4"/>
      <c r="AF78" s="4"/>
      <c r="AG78" s="4"/>
      <c r="AH78" s="4"/>
      <c r="AI78" s="4"/>
      <c r="AJ78" s="4"/>
      <c r="AK78" s="4"/>
      <c r="AL78" s="4"/>
      <c r="AM78" s="4"/>
      <c r="AN78" s="4"/>
      <c r="AO78" s="4"/>
      <c r="AP78" s="4"/>
      <c r="AQ78" s="4"/>
      <c r="AR78" s="4"/>
      <c r="AS78" s="4"/>
    </row>
    <row r="79" spans="1:45" x14ac:dyDescent="0.2">
      <c r="A79" s="4"/>
      <c r="B79" s="63">
        <v>75</v>
      </c>
      <c r="C79" s="61" t="str">
        <f>IFERROR(INDEX(Table_Prescript_Meas[Measure Number], MATCH(E79, Table_Prescript_Meas[Measure Description], 0)), "")</f>
        <v/>
      </c>
      <c r="D79" s="192"/>
      <c r="E79" s="179"/>
      <c r="F79" s="197"/>
      <c r="G79" s="179"/>
      <c r="H79" s="179"/>
      <c r="I79" s="181"/>
      <c r="J79" s="181"/>
      <c r="K79"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79" s="67" t="str">
        <f>IFERROR(Table_Controls_Input[[#This Row],[Per-unit incentive]]*Table_Controls_Input[[#This Row],[Quantity (Sensors/controller units)]],"")</f>
        <v/>
      </c>
      <c r="M79"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79"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79" s="67" t="str">
        <f t="shared" si="1"/>
        <v/>
      </c>
      <c r="P79" s="67" t="str">
        <f>IF(Table_Controls_Input[[#This Row],[Per-unit incentive]]="","",Table_Controls_Input[[#This Row],[Total equipment cost]]+Table_Controls_Input[[#This Row],[Total labor cost]])</f>
        <v/>
      </c>
      <c r="Q79" s="67" t="str">
        <f>IFERROR(Table_Controls_Input[[#This Row],[Gross measure cost]]-Table_Controls_Input[[#This Row],[Estimated incentive]], "")</f>
        <v/>
      </c>
      <c r="R79" s="69" t="str">
        <f>IFERROR(Table_Controls_Input[[#This Row],[Net measure cost]]/Table_Controls_Input[[#This Row],[Cost savings]],"")</f>
        <v/>
      </c>
      <c r="S79" s="74" t="e">
        <f>INDEX(Table_Control_PAF[PAF], MATCH(Table_Controls_Input[[#This Row],[Existing lighting controls]], Table_Control_PAF[List_Control_Types], 0))</f>
        <v>#N/A</v>
      </c>
      <c r="T79" s="74" t="e">
        <f>INDEX(Table_Measure_PAF[Proposed PAF], MATCH(Table_Controls_Input[[#This Row],[Prescriptive control measure]], Table_Measure_PAF[List_Control_Measure], 0))</f>
        <v>#N/A</v>
      </c>
      <c r="U79" s="74" t="e">
        <f>INDEX(Table_Prescript_Meas[AOH Type], MATCH(Table_Controls_Input[[#This Row],[Measure number]],Table_Prescript_Meas[Measure Number], 0))</f>
        <v>#N/A</v>
      </c>
      <c r="V79" s="74" t="e">
        <f>INDEX(Table_Prescript_Meas[AOH Type], MATCH(Table_Controls_Input[[#This Row],[Measure number]], Table_Prescript_Meas[Measure Number],0))</f>
        <v>#N/A</v>
      </c>
      <c r="W79"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79" s="4"/>
      <c r="Y79" s="4"/>
      <c r="Z79" s="4"/>
      <c r="AA79" s="4"/>
      <c r="AB79" s="4"/>
      <c r="AC79" s="4"/>
      <c r="AD79" s="4"/>
      <c r="AE79" s="4"/>
      <c r="AF79" s="4"/>
      <c r="AG79" s="4"/>
      <c r="AH79" s="4"/>
      <c r="AI79" s="4"/>
      <c r="AJ79" s="4"/>
      <c r="AK79" s="4"/>
      <c r="AL79" s="4"/>
      <c r="AM79" s="4"/>
      <c r="AN79" s="4"/>
      <c r="AO79" s="4"/>
      <c r="AP79" s="4"/>
      <c r="AQ79" s="4"/>
      <c r="AR79" s="4"/>
      <c r="AS79" s="4"/>
    </row>
    <row r="80" spans="1:45" x14ac:dyDescent="0.2">
      <c r="A80" s="4"/>
      <c r="B80" s="63">
        <v>76</v>
      </c>
      <c r="C80" s="61" t="str">
        <f>IFERROR(INDEX(Table_Prescript_Meas[Measure Number], MATCH(E80, Table_Prescript_Meas[Measure Description], 0)), "")</f>
        <v/>
      </c>
      <c r="D80" s="192"/>
      <c r="E80" s="179"/>
      <c r="F80" s="197"/>
      <c r="G80" s="179"/>
      <c r="H80" s="179"/>
      <c r="I80" s="181"/>
      <c r="J80" s="181"/>
      <c r="K80"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80" s="67" t="str">
        <f>IFERROR(Table_Controls_Input[[#This Row],[Per-unit incentive]]*Table_Controls_Input[[#This Row],[Quantity (Sensors/controller units)]],"")</f>
        <v/>
      </c>
      <c r="M80"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80"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80" s="67" t="str">
        <f t="shared" si="1"/>
        <v/>
      </c>
      <c r="P80" s="67" t="str">
        <f>IF(Table_Controls_Input[[#This Row],[Per-unit incentive]]="","",Table_Controls_Input[[#This Row],[Total equipment cost]]+Table_Controls_Input[[#This Row],[Total labor cost]])</f>
        <v/>
      </c>
      <c r="Q80" s="67" t="str">
        <f>IFERROR(Table_Controls_Input[[#This Row],[Gross measure cost]]-Table_Controls_Input[[#This Row],[Estimated incentive]], "")</f>
        <v/>
      </c>
      <c r="R80" s="69" t="str">
        <f>IFERROR(Table_Controls_Input[[#This Row],[Net measure cost]]/Table_Controls_Input[[#This Row],[Cost savings]],"")</f>
        <v/>
      </c>
      <c r="S80" s="74" t="e">
        <f>INDEX(Table_Control_PAF[PAF], MATCH(Table_Controls_Input[[#This Row],[Existing lighting controls]], Table_Control_PAF[List_Control_Types], 0))</f>
        <v>#N/A</v>
      </c>
      <c r="T80" s="74" t="e">
        <f>INDEX(Table_Measure_PAF[Proposed PAF], MATCH(Table_Controls_Input[[#This Row],[Prescriptive control measure]], Table_Measure_PAF[List_Control_Measure], 0))</f>
        <v>#N/A</v>
      </c>
      <c r="U80" s="74" t="e">
        <f>INDEX(Table_Prescript_Meas[AOH Type], MATCH(Table_Controls_Input[[#This Row],[Measure number]],Table_Prescript_Meas[Measure Number], 0))</f>
        <v>#N/A</v>
      </c>
      <c r="V80" s="74" t="e">
        <f>INDEX(Table_Prescript_Meas[AOH Type], MATCH(Table_Controls_Input[[#This Row],[Measure number]], Table_Prescript_Meas[Measure Number],0))</f>
        <v>#N/A</v>
      </c>
      <c r="W80"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80" s="4"/>
      <c r="Y80" s="4"/>
      <c r="Z80" s="4"/>
      <c r="AA80" s="4"/>
      <c r="AB80" s="4"/>
      <c r="AC80" s="4"/>
      <c r="AD80" s="4"/>
      <c r="AE80" s="4"/>
      <c r="AF80" s="4"/>
      <c r="AG80" s="4"/>
      <c r="AH80" s="4"/>
      <c r="AI80" s="4"/>
      <c r="AJ80" s="4"/>
      <c r="AK80" s="4"/>
      <c r="AL80" s="4"/>
      <c r="AM80" s="4"/>
      <c r="AN80" s="4"/>
      <c r="AO80" s="4"/>
      <c r="AP80" s="4"/>
      <c r="AQ80" s="4"/>
      <c r="AR80" s="4"/>
      <c r="AS80" s="4"/>
    </row>
    <row r="81" spans="1:45" x14ac:dyDescent="0.2">
      <c r="A81" s="4"/>
      <c r="B81" s="63">
        <v>77</v>
      </c>
      <c r="C81" s="61" t="str">
        <f>IFERROR(INDEX(Table_Prescript_Meas[Measure Number], MATCH(E81, Table_Prescript_Meas[Measure Description], 0)), "")</f>
        <v/>
      </c>
      <c r="D81" s="192"/>
      <c r="E81" s="179"/>
      <c r="F81" s="197"/>
      <c r="G81" s="179"/>
      <c r="H81" s="179"/>
      <c r="I81" s="181"/>
      <c r="J81" s="181"/>
      <c r="K81"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81" s="67" t="str">
        <f>IFERROR(Table_Controls_Input[[#This Row],[Per-unit incentive]]*Table_Controls_Input[[#This Row],[Quantity (Sensors/controller units)]],"")</f>
        <v/>
      </c>
      <c r="M81"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81"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81" s="67" t="str">
        <f t="shared" si="1"/>
        <v/>
      </c>
      <c r="P81" s="67" t="str">
        <f>IF(Table_Controls_Input[[#This Row],[Per-unit incentive]]="","",Table_Controls_Input[[#This Row],[Total equipment cost]]+Table_Controls_Input[[#This Row],[Total labor cost]])</f>
        <v/>
      </c>
      <c r="Q81" s="67" t="str">
        <f>IFERROR(Table_Controls_Input[[#This Row],[Gross measure cost]]-Table_Controls_Input[[#This Row],[Estimated incentive]], "")</f>
        <v/>
      </c>
      <c r="R81" s="69" t="str">
        <f>IFERROR(Table_Controls_Input[[#This Row],[Net measure cost]]/Table_Controls_Input[[#This Row],[Cost savings]],"")</f>
        <v/>
      </c>
      <c r="S81" s="74" t="e">
        <f>INDEX(Table_Control_PAF[PAF], MATCH(Table_Controls_Input[[#This Row],[Existing lighting controls]], Table_Control_PAF[List_Control_Types], 0))</f>
        <v>#N/A</v>
      </c>
      <c r="T81" s="74" t="e">
        <f>INDEX(Table_Measure_PAF[Proposed PAF], MATCH(Table_Controls_Input[[#This Row],[Prescriptive control measure]], Table_Measure_PAF[List_Control_Measure], 0))</f>
        <v>#N/A</v>
      </c>
      <c r="U81" s="74" t="e">
        <f>INDEX(Table_Prescript_Meas[AOH Type], MATCH(Table_Controls_Input[[#This Row],[Measure number]],Table_Prescript_Meas[Measure Number], 0))</f>
        <v>#N/A</v>
      </c>
      <c r="V81" s="74" t="e">
        <f>INDEX(Table_Prescript_Meas[AOH Type], MATCH(Table_Controls_Input[[#This Row],[Measure number]], Table_Prescript_Meas[Measure Number],0))</f>
        <v>#N/A</v>
      </c>
      <c r="W81"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81" s="4"/>
      <c r="Y81" s="4"/>
      <c r="Z81" s="4"/>
      <c r="AA81" s="4"/>
      <c r="AB81" s="4"/>
      <c r="AC81" s="4"/>
      <c r="AD81" s="4"/>
      <c r="AE81" s="4"/>
      <c r="AF81" s="4"/>
      <c r="AG81" s="4"/>
      <c r="AH81" s="4"/>
      <c r="AI81" s="4"/>
      <c r="AJ81" s="4"/>
      <c r="AK81" s="4"/>
      <c r="AL81" s="4"/>
      <c r="AM81" s="4"/>
      <c r="AN81" s="4"/>
      <c r="AO81" s="4"/>
      <c r="AP81" s="4"/>
      <c r="AQ81" s="4"/>
      <c r="AR81" s="4"/>
      <c r="AS81" s="4"/>
    </row>
    <row r="82" spans="1:45" x14ac:dyDescent="0.2">
      <c r="A82" s="4"/>
      <c r="B82" s="63">
        <v>78</v>
      </c>
      <c r="C82" s="61" t="str">
        <f>IFERROR(INDEX(Table_Prescript_Meas[Measure Number], MATCH(E82, Table_Prescript_Meas[Measure Description], 0)), "")</f>
        <v/>
      </c>
      <c r="D82" s="192"/>
      <c r="E82" s="179"/>
      <c r="F82" s="197"/>
      <c r="G82" s="179"/>
      <c r="H82" s="179"/>
      <c r="I82" s="181"/>
      <c r="J82" s="181"/>
      <c r="K82"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82" s="67" t="str">
        <f>IFERROR(Table_Controls_Input[[#This Row],[Per-unit incentive]]*Table_Controls_Input[[#This Row],[Quantity (Sensors/controller units)]],"")</f>
        <v/>
      </c>
      <c r="M82"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82"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82" s="67" t="str">
        <f t="shared" si="1"/>
        <v/>
      </c>
      <c r="P82" s="67" t="str">
        <f>IF(Table_Controls_Input[[#This Row],[Per-unit incentive]]="","",Table_Controls_Input[[#This Row],[Total equipment cost]]+Table_Controls_Input[[#This Row],[Total labor cost]])</f>
        <v/>
      </c>
      <c r="Q82" s="67" t="str">
        <f>IFERROR(Table_Controls_Input[[#This Row],[Gross measure cost]]-Table_Controls_Input[[#This Row],[Estimated incentive]], "")</f>
        <v/>
      </c>
      <c r="R82" s="69" t="str">
        <f>IFERROR(Table_Controls_Input[[#This Row],[Net measure cost]]/Table_Controls_Input[[#This Row],[Cost savings]],"")</f>
        <v/>
      </c>
      <c r="S82" s="74" t="e">
        <f>INDEX(Table_Control_PAF[PAF], MATCH(Table_Controls_Input[[#This Row],[Existing lighting controls]], Table_Control_PAF[List_Control_Types], 0))</f>
        <v>#N/A</v>
      </c>
      <c r="T82" s="74" t="e">
        <f>INDEX(Table_Measure_PAF[Proposed PAF], MATCH(Table_Controls_Input[[#This Row],[Prescriptive control measure]], Table_Measure_PAF[List_Control_Measure], 0))</f>
        <v>#N/A</v>
      </c>
      <c r="U82" s="74" t="e">
        <f>INDEX(Table_Prescript_Meas[AOH Type], MATCH(Table_Controls_Input[[#This Row],[Measure number]],Table_Prescript_Meas[Measure Number], 0))</f>
        <v>#N/A</v>
      </c>
      <c r="V82" s="74" t="e">
        <f>INDEX(Table_Prescript_Meas[AOH Type], MATCH(Table_Controls_Input[[#This Row],[Measure number]], Table_Prescript_Meas[Measure Number],0))</f>
        <v>#N/A</v>
      </c>
      <c r="W82"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82" s="4"/>
      <c r="Y82" s="4"/>
      <c r="Z82" s="4"/>
      <c r="AA82" s="4"/>
      <c r="AB82" s="4"/>
      <c r="AC82" s="4"/>
      <c r="AD82" s="4"/>
      <c r="AE82" s="4"/>
      <c r="AF82" s="4"/>
      <c r="AG82" s="4"/>
      <c r="AH82" s="4"/>
      <c r="AI82" s="4"/>
      <c r="AJ82" s="4"/>
      <c r="AK82" s="4"/>
      <c r="AL82" s="4"/>
      <c r="AM82" s="4"/>
      <c r="AN82" s="4"/>
      <c r="AO82" s="4"/>
      <c r="AP82" s="4"/>
      <c r="AQ82" s="4"/>
      <c r="AR82" s="4"/>
      <c r="AS82" s="4"/>
    </row>
    <row r="83" spans="1:45" x14ac:dyDescent="0.2">
      <c r="A83" s="4"/>
      <c r="B83" s="63">
        <v>79</v>
      </c>
      <c r="C83" s="61" t="str">
        <f>IFERROR(INDEX(Table_Prescript_Meas[Measure Number], MATCH(E83, Table_Prescript_Meas[Measure Description], 0)), "")</f>
        <v/>
      </c>
      <c r="D83" s="192"/>
      <c r="E83" s="179"/>
      <c r="F83" s="197"/>
      <c r="G83" s="179"/>
      <c r="H83" s="179"/>
      <c r="I83" s="181"/>
      <c r="J83" s="181"/>
      <c r="K83"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83" s="67" t="str">
        <f>IFERROR(Table_Controls_Input[[#This Row],[Per-unit incentive]]*Table_Controls_Input[[#This Row],[Quantity (Sensors/controller units)]],"")</f>
        <v/>
      </c>
      <c r="M83"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83"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83" s="67" t="str">
        <f t="shared" si="1"/>
        <v/>
      </c>
      <c r="P83" s="67" t="str">
        <f>IF(Table_Controls_Input[[#This Row],[Per-unit incentive]]="","",Table_Controls_Input[[#This Row],[Total equipment cost]]+Table_Controls_Input[[#This Row],[Total labor cost]])</f>
        <v/>
      </c>
      <c r="Q83" s="67" t="str">
        <f>IFERROR(Table_Controls_Input[[#This Row],[Gross measure cost]]-Table_Controls_Input[[#This Row],[Estimated incentive]], "")</f>
        <v/>
      </c>
      <c r="R83" s="69" t="str">
        <f>IFERROR(Table_Controls_Input[[#This Row],[Net measure cost]]/Table_Controls_Input[[#This Row],[Cost savings]],"")</f>
        <v/>
      </c>
      <c r="S83" s="74" t="e">
        <f>INDEX(Table_Control_PAF[PAF], MATCH(Table_Controls_Input[[#This Row],[Existing lighting controls]], Table_Control_PAF[List_Control_Types], 0))</f>
        <v>#N/A</v>
      </c>
      <c r="T83" s="74" t="e">
        <f>INDEX(Table_Measure_PAF[Proposed PAF], MATCH(Table_Controls_Input[[#This Row],[Prescriptive control measure]], Table_Measure_PAF[List_Control_Measure], 0))</f>
        <v>#N/A</v>
      </c>
      <c r="U83" s="74" t="e">
        <f>INDEX(Table_Prescript_Meas[AOH Type], MATCH(Table_Controls_Input[[#This Row],[Measure number]],Table_Prescript_Meas[Measure Number], 0))</f>
        <v>#N/A</v>
      </c>
      <c r="V83" s="74" t="e">
        <f>INDEX(Table_Prescript_Meas[AOH Type], MATCH(Table_Controls_Input[[#This Row],[Measure number]], Table_Prescript_Meas[Measure Number],0))</f>
        <v>#N/A</v>
      </c>
      <c r="W83"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83" s="4"/>
      <c r="Y83" s="4"/>
      <c r="Z83" s="4"/>
      <c r="AA83" s="4"/>
      <c r="AB83" s="4"/>
      <c r="AC83" s="4"/>
      <c r="AD83" s="4"/>
      <c r="AE83" s="4"/>
      <c r="AF83" s="4"/>
      <c r="AG83" s="4"/>
      <c r="AH83" s="4"/>
      <c r="AI83" s="4"/>
      <c r="AJ83" s="4"/>
      <c r="AK83" s="4"/>
      <c r="AL83" s="4"/>
      <c r="AM83" s="4"/>
      <c r="AN83" s="4"/>
      <c r="AO83" s="4"/>
      <c r="AP83" s="4"/>
      <c r="AQ83" s="4"/>
      <c r="AR83" s="4"/>
      <c r="AS83" s="4"/>
    </row>
    <row r="84" spans="1:45" x14ac:dyDescent="0.2">
      <c r="A84" s="4"/>
      <c r="B84" s="63">
        <v>80</v>
      </c>
      <c r="C84" s="61" t="str">
        <f>IFERROR(INDEX(Table_Prescript_Meas[Measure Number], MATCH(E84, Table_Prescript_Meas[Measure Description], 0)), "")</f>
        <v/>
      </c>
      <c r="D84" s="192"/>
      <c r="E84" s="179"/>
      <c r="F84" s="197"/>
      <c r="G84" s="179"/>
      <c r="H84" s="179"/>
      <c r="I84" s="181"/>
      <c r="J84" s="181"/>
      <c r="K84"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84" s="67" t="str">
        <f>IFERROR(Table_Controls_Input[[#This Row],[Per-unit incentive]]*Table_Controls_Input[[#This Row],[Quantity (Sensors/controller units)]],"")</f>
        <v/>
      </c>
      <c r="M84"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84"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84" s="67" t="str">
        <f t="shared" si="1"/>
        <v/>
      </c>
      <c r="P84" s="67" t="str">
        <f>IF(Table_Controls_Input[[#This Row],[Per-unit incentive]]="","",Table_Controls_Input[[#This Row],[Total equipment cost]]+Table_Controls_Input[[#This Row],[Total labor cost]])</f>
        <v/>
      </c>
      <c r="Q84" s="67" t="str">
        <f>IFERROR(Table_Controls_Input[[#This Row],[Gross measure cost]]-Table_Controls_Input[[#This Row],[Estimated incentive]], "")</f>
        <v/>
      </c>
      <c r="R84" s="69" t="str">
        <f>IFERROR(Table_Controls_Input[[#This Row],[Net measure cost]]/Table_Controls_Input[[#This Row],[Cost savings]],"")</f>
        <v/>
      </c>
      <c r="S84" s="74" t="e">
        <f>INDEX(Table_Control_PAF[PAF], MATCH(Table_Controls_Input[[#This Row],[Existing lighting controls]], Table_Control_PAF[List_Control_Types], 0))</f>
        <v>#N/A</v>
      </c>
      <c r="T84" s="74" t="e">
        <f>INDEX(Table_Measure_PAF[Proposed PAF], MATCH(Table_Controls_Input[[#This Row],[Prescriptive control measure]], Table_Measure_PAF[List_Control_Measure], 0))</f>
        <v>#N/A</v>
      </c>
      <c r="U84" s="74" t="e">
        <f>INDEX(Table_Prescript_Meas[AOH Type], MATCH(Table_Controls_Input[[#This Row],[Measure number]],Table_Prescript_Meas[Measure Number], 0))</f>
        <v>#N/A</v>
      </c>
      <c r="V84" s="74" t="e">
        <f>INDEX(Table_Prescript_Meas[AOH Type], MATCH(Table_Controls_Input[[#This Row],[Measure number]], Table_Prescript_Meas[Measure Number],0))</f>
        <v>#N/A</v>
      </c>
      <c r="W84"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84" s="4"/>
      <c r="Y84" s="4"/>
      <c r="Z84" s="4"/>
      <c r="AA84" s="4"/>
      <c r="AB84" s="4"/>
      <c r="AC84" s="4"/>
      <c r="AD84" s="4"/>
      <c r="AE84" s="4"/>
      <c r="AF84" s="4"/>
      <c r="AG84" s="4"/>
      <c r="AH84" s="4"/>
      <c r="AI84" s="4"/>
      <c r="AJ84" s="4"/>
      <c r="AK84" s="4"/>
      <c r="AL84" s="4"/>
      <c r="AM84" s="4"/>
      <c r="AN84" s="4"/>
      <c r="AO84" s="4"/>
      <c r="AP84" s="4"/>
      <c r="AQ84" s="4"/>
      <c r="AR84" s="4"/>
      <c r="AS84" s="4"/>
    </row>
    <row r="85" spans="1:45" x14ac:dyDescent="0.2">
      <c r="A85" s="4"/>
      <c r="B85" s="63">
        <v>81</v>
      </c>
      <c r="C85" s="61" t="str">
        <f>IFERROR(INDEX(Table_Prescript_Meas[Measure Number], MATCH(E85, Table_Prescript_Meas[Measure Description], 0)), "")</f>
        <v/>
      </c>
      <c r="D85" s="192"/>
      <c r="E85" s="179"/>
      <c r="F85" s="197"/>
      <c r="G85" s="179"/>
      <c r="H85" s="179"/>
      <c r="I85" s="181"/>
      <c r="J85" s="181"/>
      <c r="K85"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85" s="67" t="str">
        <f>IFERROR(Table_Controls_Input[[#This Row],[Per-unit incentive]]*Table_Controls_Input[[#This Row],[Quantity (Sensors/controller units)]],"")</f>
        <v/>
      </c>
      <c r="M85"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85"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85" s="67" t="str">
        <f t="shared" si="1"/>
        <v/>
      </c>
      <c r="P85" s="67" t="str">
        <f>IF(Table_Controls_Input[[#This Row],[Per-unit incentive]]="","",Table_Controls_Input[[#This Row],[Total equipment cost]]+Table_Controls_Input[[#This Row],[Total labor cost]])</f>
        <v/>
      </c>
      <c r="Q85" s="67" t="str">
        <f>IFERROR(Table_Controls_Input[[#This Row],[Gross measure cost]]-Table_Controls_Input[[#This Row],[Estimated incentive]], "")</f>
        <v/>
      </c>
      <c r="R85" s="69" t="str">
        <f>IFERROR(Table_Controls_Input[[#This Row],[Net measure cost]]/Table_Controls_Input[[#This Row],[Cost savings]],"")</f>
        <v/>
      </c>
      <c r="S85" s="74" t="e">
        <f>INDEX(Table_Control_PAF[PAF], MATCH(Table_Controls_Input[[#This Row],[Existing lighting controls]], Table_Control_PAF[List_Control_Types], 0))</f>
        <v>#N/A</v>
      </c>
      <c r="T85" s="74" t="e">
        <f>INDEX(Table_Measure_PAF[Proposed PAF], MATCH(Table_Controls_Input[[#This Row],[Prescriptive control measure]], Table_Measure_PAF[List_Control_Measure], 0))</f>
        <v>#N/A</v>
      </c>
      <c r="U85" s="74" t="e">
        <f>INDEX(Table_Prescript_Meas[AOH Type], MATCH(Table_Controls_Input[[#This Row],[Measure number]],Table_Prescript_Meas[Measure Number], 0))</f>
        <v>#N/A</v>
      </c>
      <c r="V85" s="74" t="e">
        <f>INDEX(Table_Prescript_Meas[AOH Type], MATCH(Table_Controls_Input[[#This Row],[Measure number]], Table_Prescript_Meas[Measure Number],0))</f>
        <v>#N/A</v>
      </c>
      <c r="W85"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85" s="4"/>
      <c r="Y85" s="4"/>
      <c r="Z85" s="4"/>
      <c r="AA85" s="4"/>
      <c r="AB85" s="4"/>
      <c r="AC85" s="4"/>
      <c r="AD85" s="4"/>
      <c r="AE85" s="4"/>
      <c r="AF85" s="4"/>
      <c r="AG85" s="4"/>
      <c r="AH85" s="4"/>
      <c r="AI85" s="4"/>
      <c r="AJ85" s="4"/>
      <c r="AK85" s="4"/>
      <c r="AL85" s="4"/>
      <c r="AM85" s="4"/>
      <c r="AN85" s="4"/>
      <c r="AO85" s="4"/>
      <c r="AP85" s="4"/>
      <c r="AQ85" s="4"/>
      <c r="AR85" s="4"/>
      <c r="AS85" s="4"/>
    </row>
    <row r="86" spans="1:45" x14ac:dyDescent="0.2">
      <c r="A86" s="4"/>
      <c r="B86" s="63">
        <v>82</v>
      </c>
      <c r="C86" s="61" t="str">
        <f>IFERROR(INDEX(Table_Prescript_Meas[Measure Number], MATCH(E86, Table_Prescript_Meas[Measure Description], 0)), "")</f>
        <v/>
      </c>
      <c r="D86" s="192"/>
      <c r="E86" s="179"/>
      <c r="F86" s="197"/>
      <c r="G86" s="179"/>
      <c r="H86" s="179"/>
      <c r="I86" s="181"/>
      <c r="J86" s="181"/>
      <c r="K86"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86" s="67" t="str">
        <f>IFERROR(Table_Controls_Input[[#This Row],[Per-unit incentive]]*Table_Controls_Input[[#This Row],[Quantity (Sensors/controller units)]],"")</f>
        <v/>
      </c>
      <c r="M86"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86"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86" s="67" t="str">
        <f t="shared" si="1"/>
        <v/>
      </c>
      <c r="P86" s="67" t="str">
        <f>IF(Table_Controls_Input[[#This Row],[Per-unit incentive]]="","",Table_Controls_Input[[#This Row],[Total equipment cost]]+Table_Controls_Input[[#This Row],[Total labor cost]])</f>
        <v/>
      </c>
      <c r="Q86" s="67" t="str">
        <f>IFERROR(Table_Controls_Input[[#This Row],[Gross measure cost]]-Table_Controls_Input[[#This Row],[Estimated incentive]], "")</f>
        <v/>
      </c>
      <c r="R86" s="69" t="str">
        <f>IFERROR(Table_Controls_Input[[#This Row],[Net measure cost]]/Table_Controls_Input[[#This Row],[Cost savings]],"")</f>
        <v/>
      </c>
      <c r="S86" s="74" t="e">
        <f>INDEX(Table_Control_PAF[PAF], MATCH(Table_Controls_Input[[#This Row],[Existing lighting controls]], Table_Control_PAF[List_Control_Types], 0))</f>
        <v>#N/A</v>
      </c>
      <c r="T86" s="74" t="e">
        <f>INDEX(Table_Measure_PAF[Proposed PAF], MATCH(Table_Controls_Input[[#This Row],[Prescriptive control measure]], Table_Measure_PAF[List_Control_Measure], 0))</f>
        <v>#N/A</v>
      </c>
      <c r="U86" s="74" t="e">
        <f>INDEX(Table_Prescript_Meas[AOH Type], MATCH(Table_Controls_Input[[#This Row],[Measure number]],Table_Prescript_Meas[Measure Number], 0))</f>
        <v>#N/A</v>
      </c>
      <c r="V86" s="74" t="e">
        <f>INDEX(Table_Prescript_Meas[AOH Type], MATCH(Table_Controls_Input[[#This Row],[Measure number]], Table_Prescript_Meas[Measure Number],0))</f>
        <v>#N/A</v>
      </c>
      <c r="W86"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86" s="4"/>
      <c r="Y86" s="4"/>
      <c r="Z86" s="4"/>
      <c r="AA86" s="4"/>
      <c r="AB86" s="4"/>
      <c r="AC86" s="4"/>
      <c r="AD86" s="4"/>
      <c r="AE86" s="4"/>
      <c r="AF86" s="4"/>
      <c r="AG86" s="4"/>
      <c r="AH86" s="4"/>
      <c r="AI86" s="4"/>
      <c r="AJ86" s="4"/>
      <c r="AK86" s="4"/>
      <c r="AL86" s="4"/>
      <c r="AM86" s="4"/>
      <c r="AN86" s="4"/>
      <c r="AO86" s="4"/>
      <c r="AP86" s="4"/>
      <c r="AQ86" s="4"/>
      <c r="AR86" s="4"/>
      <c r="AS86" s="4"/>
    </row>
    <row r="87" spans="1:45" x14ac:dyDescent="0.2">
      <c r="A87" s="4"/>
      <c r="B87" s="63">
        <v>83</v>
      </c>
      <c r="C87" s="61" t="str">
        <f>IFERROR(INDEX(Table_Prescript_Meas[Measure Number], MATCH(E87, Table_Prescript_Meas[Measure Description], 0)), "")</f>
        <v/>
      </c>
      <c r="D87" s="192"/>
      <c r="E87" s="179"/>
      <c r="F87" s="197"/>
      <c r="G87" s="179"/>
      <c r="H87" s="179"/>
      <c r="I87" s="181"/>
      <c r="J87" s="181"/>
      <c r="K87"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87" s="67" t="str">
        <f>IFERROR(Table_Controls_Input[[#This Row],[Per-unit incentive]]*Table_Controls_Input[[#This Row],[Quantity (Sensors/controller units)]],"")</f>
        <v/>
      </c>
      <c r="M87"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87"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87" s="67" t="str">
        <f t="shared" si="1"/>
        <v/>
      </c>
      <c r="P87" s="67" t="str">
        <f>IF(Table_Controls_Input[[#This Row],[Per-unit incentive]]="","",Table_Controls_Input[[#This Row],[Total equipment cost]]+Table_Controls_Input[[#This Row],[Total labor cost]])</f>
        <v/>
      </c>
      <c r="Q87" s="67" t="str">
        <f>IFERROR(Table_Controls_Input[[#This Row],[Gross measure cost]]-Table_Controls_Input[[#This Row],[Estimated incentive]], "")</f>
        <v/>
      </c>
      <c r="R87" s="69" t="str">
        <f>IFERROR(Table_Controls_Input[[#This Row],[Net measure cost]]/Table_Controls_Input[[#This Row],[Cost savings]],"")</f>
        <v/>
      </c>
      <c r="S87" s="74" t="e">
        <f>INDEX(Table_Control_PAF[PAF], MATCH(Table_Controls_Input[[#This Row],[Existing lighting controls]], Table_Control_PAF[List_Control_Types], 0))</f>
        <v>#N/A</v>
      </c>
      <c r="T87" s="74" t="e">
        <f>INDEX(Table_Measure_PAF[Proposed PAF], MATCH(Table_Controls_Input[[#This Row],[Prescriptive control measure]], Table_Measure_PAF[List_Control_Measure], 0))</f>
        <v>#N/A</v>
      </c>
      <c r="U87" s="74" t="e">
        <f>INDEX(Table_Prescript_Meas[AOH Type], MATCH(Table_Controls_Input[[#This Row],[Measure number]],Table_Prescript_Meas[Measure Number], 0))</f>
        <v>#N/A</v>
      </c>
      <c r="V87" s="74" t="e">
        <f>INDEX(Table_Prescript_Meas[AOH Type], MATCH(Table_Controls_Input[[#This Row],[Measure number]], Table_Prescript_Meas[Measure Number],0))</f>
        <v>#N/A</v>
      </c>
      <c r="W87"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87" s="4"/>
      <c r="Y87" s="4"/>
      <c r="Z87" s="4"/>
      <c r="AA87" s="4"/>
      <c r="AB87" s="4"/>
      <c r="AC87" s="4"/>
      <c r="AD87" s="4"/>
      <c r="AE87" s="4"/>
      <c r="AF87" s="4"/>
      <c r="AG87" s="4"/>
      <c r="AH87" s="4"/>
      <c r="AI87" s="4"/>
      <c r="AJ87" s="4"/>
      <c r="AK87" s="4"/>
      <c r="AL87" s="4"/>
      <c r="AM87" s="4"/>
      <c r="AN87" s="4"/>
      <c r="AO87" s="4"/>
      <c r="AP87" s="4"/>
      <c r="AQ87" s="4"/>
      <c r="AR87" s="4"/>
      <c r="AS87" s="4"/>
    </row>
    <row r="88" spans="1:45" x14ac:dyDescent="0.2">
      <c r="A88" s="4"/>
      <c r="B88" s="63">
        <v>84</v>
      </c>
      <c r="C88" s="61" t="str">
        <f>IFERROR(INDEX(Table_Prescript_Meas[Measure Number], MATCH(E88, Table_Prescript_Meas[Measure Description], 0)), "")</f>
        <v/>
      </c>
      <c r="D88" s="192"/>
      <c r="E88" s="179"/>
      <c r="F88" s="197"/>
      <c r="G88" s="179"/>
      <c r="H88" s="179"/>
      <c r="I88" s="181"/>
      <c r="J88" s="181"/>
      <c r="K88"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88" s="67" t="str">
        <f>IFERROR(Table_Controls_Input[[#This Row],[Per-unit incentive]]*Table_Controls_Input[[#This Row],[Quantity (Sensors/controller units)]],"")</f>
        <v/>
      </c>
      <c r="M88"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88"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88" s="67" t="str">
        <f t="shared" si="1"/>
        <v/>
      </c>
      <c r="P88" s="67" t="str">
        <f>IF(Table_Controls_Input[[#This Row],[Per-unit incentive]]="","",Table_Controls_Input[[#This Row],[Total equipment cost]]+Table_Controls_Input[[#This Row],[Total labor cost]])</f>
        <v/>
      </c>
      <c r="Q88" s="67" t="str">
        <f>IFERROR(Table_Controls_Input[[#This Row],[Gross measure cost]]-Table_Controls_Input[[#This Row],[Estimated incentive]], "")</f>
        <v/>
      </c>
      <c r="R88" s="69" t="str">
        <f>IFERROR(Table_Controls_Input[[#This Row],[Net measure cost]]/Table_Controls_Input[[#This Row],[Cost savings]],"")</f>
        <v/>
      </c>
      <c r="S88" s="74" t="e">
        <f>INDEX(Table_Control_PAF[PAF], MATCH(Table_Controls_Input[[#This Row],[Existing lighting controls]], Table_Control_PAF[List_Control_Types], 0))</f>
        <v>#N/A</v>
      </c>
      <c r="T88" s="74" t="e">
        <f>INDEX(Table_Measure_PAF[Proposed PAF], MATCH(Table_Controls_Input[[#This Row],[Prescriptive control measure]], Table_Measure_PAF[List_Control_Measure], 0))</f>
        <v>#N/A</v>
      </c>
      <c r="U88" s="74" t="e">
        <f>INDEX(Table_Prescript_Meas[AOH Type], MATCH(Table_Controls_Input[[#This Row],[Measure number]],Table_Prescript_Meas[Measure Number], 0))</f>
        <v>#N/A</v>
      </c>
      <c r="V88" s="74" t="e">
        <f>INDEX(Table_Prescript_Meas[AOH Type], MATCH(Table_Controls_Input[[#This Row],[Measure number]], Table_Prescript_Meas[Measure Number],0))</f>
        <v>#N/A</v>
      </c>
      <c r="W88"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88" s="4"/>
      <c r="Y88" s="4"/>
      <c r="Z88" s="4"/>
      <c r="AA88" s="4"/>
      <c r="AB88" s="4"/>
      <c r="AC88" s="4"/>
      <c r="AD88" s="4"/>
      <c r="AE88" s="4"/>
      <c r="AF88" s="4"/>
      <c r="AG88" s="4"/>
      <c r="AH88" s="4"/>
      <c r="AI88" s="4"/>
      <c r="AJ88" s="4"/>
      <c r="AK88" s="4"/>
      <c r="AL88" s="4"/>
      <c r="AM88" s="4"/>
      <c r="AN88" s="4"/>
      <c r="AO88" s="4"/>
      <c r="AP88" s="4"/>
      <c r="AQ88" s="4"/>
      <c r="AR88" s="4"/>
      <c r="AS88" s="4"/>
    </row>
    <row r="89" spans="1:45" x14ac:dyDescent="0.2">
      <c r="A89" s="4"/>
      <c r="B89" s="63">
        <v>85</v>
      </c>
      <c r="C89" s="61" t="str">
        <f>IFERROR(INDEX(Table_Prescript_Meas[Measure Number], MATCH(E89, Table_Prescript_Meas[Measure Description], 0)), "")</f>
        <v/>
      </c>
      <c r="D89" s="192"/>
      <c r="E89" s="179"/>
      <c r="F89" s="197"/>
      <c r="G89" s="179"/>
      <c r="H89" s="179"/>
      <c r="I89" s="181"/>
      <c r="J89" s="181"/>
      <c r="K89"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89" s="67" t="str">
        <f>IFERROR(Table_Controls_Input[[#This Row],[Per-unit incentive]]*Table_Controls_Input[[#This Row],[Quantity (Sensors/controller units)]],"")</f>
        <v/>
      </c>
      <c r="M89"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89"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89" s="67" t="str">
        <f t="shared" si="1"/>
        <v/>
      </c>
      <c r="P89" s="67" t="str">
        <f>IF(Table_Controls_Input[[#This Row],[Per-unit incentive]]="","",Table_Controls_Input[[#This Row],[Total equipment cost]]+Table_Controls_Input[[#This Row],[Total labor cost]])</f>
        <v/>
      </c>
      <c r="Q89" s="67" t="str">
        <f>IFERROR(Table_Controls_Input[[#This Row],[Gross measure cost]]-Table_Controls_Input[[#This Row],[Estimated incentive]], "")</f>
        <v/>
      </c>
      <c r="R89" s="69" t="str">
        <f>IFERROR(Table_Controls_Input[[#This Row],[Net measure cost]]/Table_Controls_Input[[#This Row],[Cost savings]],"")</f>
        <v/>
      </c>
      <c r="S89" s="74" t="e">
        <f>INDEX(Table_Control_PAF[PAF], MATCH(Table_Controls_Input[[#This Row],[Existing lighting controls]], Table_Control_PAF[List_Control_Types], 0))</f>
        <v>#N/A</v>
      </c>
      <c r="T89" s="74" t="e">
        <f>INDEX(Table_Measure_PAF[Proposed PAF], MATCH(Table_Controls_Input[[#This Row],[Prescriptive control measure]], Table_Measure_PAF[List_Control_Measure], 0))</f>
        <v>#N/A</v>
      </c>
      <c r="U89" s="74" t="e">
        <f>INDEX(Table_Prescript_Meas[AOH Type], MATCH(Table_Controls_Input[[#This Row],[Measure number]],Table_Prescript_Meas[Measure Number], 0))</f>
        <v>#N/A</v>
      </c>
      <c r="V89" s="74" t="e">
        <f>INDEX(Table_Prescript_Meas[AOH Type], MATCH(Table_Controls_Input[[#This Row],[Measure number]], Table_Prescript_Meas[Measure Number],0))</f>
        <v>#N/A</v>
      </c>
      <c r="W89"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89" s="4"/>
      <c r="Y89" s="4"/>
      <c r="Z89" s="4"/>
      <c r="AA89" s="4"/>
      <c r="AB89" s="4"/>
      <c r="AC89" s="4"/>
      <c r="AD89" s="4"/>
      <c r="AE89" s="4"/>
      <c r="AF89" s="4"/>
      <c r="AG89" s="4"/>
      <c r="AH89" s="4"/>
      <c r="AI89" s="4"/>
      <c r="AJ89" s="4"/>
      <c r="AK89" s="4"/>
      <c r="AL89" s="4"/>
      <c r="AM89" s="4"/>
      <c r="AN89" s="4"/>
      <c r="AO89" s="4"/>
      <c r="AP89" s="4"/>
      <c r="AQ89" s="4"/>
      <c r="AR89" s="4"/>
      <c r="AS89" s="4"/>
    </row>
    <row r="90" spans="1:45" x14ac:dyDescent="0.2">
      <c r="A90" s="4"/>
      <c r="B90" s="63">
        <v>86</v>
      </c>
      <c r="C90" s="61" t="str">
        <f>IFERROR(INDEX(Table_Prescript_Meas[Measure Number], MATCH(E90, Table_Prescript_Meas[Measure Description], 0)), "")</f>
        <v/>
      </c>
      <c r="D90" s="192"/>
      <c r="E90" s="179"/>
      <c r="F90" s="197"/>
      <c r="G90" s="179"/>
      <c r="H90" s="179"/>
      <c r="I90" s="181"/>
      <c r="J90" s="181"/>
      <c r="K90"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90" s="67" t="str">
        <f>IFERROR(Table_Controls_Input[[#This Row],[Per-unit incentive]]*Table_Controls_Input[[#This Row],[Quantity (Sensors/controller units)]],"")</f>
        <v/>
      </c>
      <c r="M90"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90"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90" s="67" t="str">
        <f t="shared" si="1"/>
        <v/>
      </c>
      <c r="P90" s="67" t="str">
        <f>IF(Table_Controls_Input[[#This Row],[Per-unit incentive]]="","",Table_Controls_Input[[#This Row],[Total equipment cost]]+Table_Controls_Input[[#This Row],[Total labor cost]])</f>
        <v/>
      </c>
      <c r="Q90" s="67" t="str">
        <f>IFERROR(Table_Controls_Input[[#This Row],[Gross measure cost]]-Table_Controls_Input[[#This Row],[Estimated incentive]], "")</f>
        <v/>
      </c>
      <c r="R90" s="69" t="str">
        <f>IFERROR(Table_Controls_Input[[#This Row],[Net measure cost]]/Table_Controls_Input[[#This Row],[Cost savings]],"")</f>
        <v/>
      </c>
      <c r="S90" s="74" t="e">
        <f>INDEX(Table_Control_PAF[PAF], MATCH(Table_Controls_Input[[#This Row],[Existing lighting controls]], Table_Control_PAF[List_Control_Types], 0))</f>
        <v>#N/A</v>
      </c>
      <c r="T90" s="74" t="e">
        <f>INDEX(Table_Measure_PAF[Proposed PAF], MATCH(Table_Controls_Input[[#This Row],[Prescriptive control measure]], Table_Measure_PAF[List_Control_Measure], 0))</f>
        <v>#N/A</v>
      </c>
      <c r="U90" s="74" t="e">
        <f>INDEX(Table_Prescript_Meas[AOH Type], MATCH(Table_Controls_Input[[#This Row],[Measure number]],Table_Prescript_Meas[Measure Number], 0))</f>
        <v>#N/A</v>
      </c>
      <c r="V90" s="74" t="e">
        <f>INDEX(Table_Prescript_Meas[AOH Type], MATCH(Table_Controls_Input[[#This Row],[Measure number]], Table_Prescript_Meas[Measure Number],0))</f>
        <v>#N/A</v>
      </c>
      <c r="W90"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90" s="4"/>
      <c r="Y90" s="4"/>
      <c r="Z90" s="4"/>
      <c r="AA90" s="4"/>
      <c r="AB90" s="4"/>
      <c r="AC90" s="4"/>
      <c r="AD90" s="4"/>
      <c r="AE90" s="4"/>
      <c r="AF90" s="4"/>
      <c r="AG90" s="4"/>
      <c r="AH90" s="4"/>
      <c r="AI90" s="4"/>
      <c r="AJ90" s="4"/>
      <c r="AK90" s="4"/>
      <c r="AL90" s="4"/>
      <c r="AM90" s="4"/>
      <c r="AN90" s="4"/>
      <c r="AO90" s="4"/>
      <c r="AP90" s="4"/>
      <c r="AQ90" s="4"/>
      <c r="AR90" s="4"/>
      <c r="AS90" s="4"/>
    </row>
    <row r="91" spans="1:45" x14ac:dyDescent="0.2">
      <c r="A91" s="4"/>
      <c r="B91" s="63">
        <v>87</v>
      </c>
      <c r="C91" s="61" t="str">
        <f>IFERROR(INDEX(Table_Prescript_Meas[Measure Number], MATCH(E91, Table_Prescript_Meas[Measure Description], 0)), "")</f>
        <v/>
      </c>
      <c r="D91" s="192"/>
      <c r="E91" s="179"/>
      <c r="F91" s="197"/>
      <c r="G91" s="179"/>
      <c r="H91" s="179"/>
      <c r="I91" s="181"/>
      <c r="J91" s="181"/>
      <c r="K91"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91" s="67" t="str">
        <f>IFERROR(Table_Controls_Input[[#This Row],[Per-unit incentive]]*Table_Controls_Input[[#This Row],[Quantity (Sensors/controller units)]],"")</f>
        <v/>
      </c>
      <c r="M91"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91"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91" s="67" t="str">
        <f t="shared" si="1"/>
        <v/>
      </c>
      <c r="P91" s="67" t="str">
        <f>IF(Table_Controls_Input[[#This Row],[Per-unit incentive]]="","",Table_Controls_Input[[#This Row],[Total equipment cost]]+Table_Controls_Input[[#This Row],[Total labor cost]])</f>
        <v/>
      </c>
      <c r="Q91" s="67" t="str">
        <f>IFERROR(Table_Controls_Input[[#This Row],[Gross measure cost]]-Table_Controls_Input[[#This Row],[Estimated incentive]], "")</f>
        <v/>
      </c>
      <c r="R91" s="69" t="str">
        <f>IFERROR(Table_Controls_Input[[#This Row],[Net measure cost]]/Table_Controls_Input[[#This Row],[Cost savings]],"")</f>
        <v/>
      </c>
      <c r="S91" s="74" t="e">
        <f>INDEX(Table_Control_PAF[PAF], MATCH(Table_Controls_Input[[#This Row],[Existing lighting controls]], Table_Control_PAF[List_Control_Types], 0))</f>
        <v>#N/A</v>
      </c>
      <c r="T91" s="74" t="e">
        <f>INDEX(Table_Measure_PAF[Proposed PAF], MATCH(Table_Controls_Input[[#This Row],[Prescriptive control measure]], Table_Measure_PAF[List_Control_Measure], 0))</f>
        <v>#N/A</v>
      </c>
      <c r="U91" s="74" t="e">
        <f>INDEX(Table_Prescript_Meas[AOH Type], MATCH(Table_Controls_Input[[#This Row],[Measure number]],Table_Prescript_Meas[Measure Number], 0))</f>
        <v>#N/A</v>
      </c>
      <c r="V91" s="74" t="e">
        <f>INDEX(Table_Prescript_Meas[AOH Type], MATCH(Table_Controls_Input[[#This Row],[Measure number]], Table_Prescript_Meas[Measure Number],0))</f>
        <v>#N/A</v>
      </c>
      <c r="W91"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91" s="4"/>
      <c r="Y91" s="4"/>
      <c r="Z91" s="4"/>
      <c r="AA91" s="4"/>
      <c r="AB91" s="4"/>
      <c r="AC91" s="4"/>
      <c r="AD91" s="4"/>
      <c r="AE91" s="4"/>
      <c r="AF91" s="4"/>
      <c r="AG91" s="4"/>
      <c r="AH91" s="4"/>
      <c r="AI91" s="4"/>
      <c r="AJ91" s="4"/>
      <c r="AK91" s="4"/>
      <c r="AL91" s="4"/>
      <c r="AM91" s="4"/>
      <c r="AN91" s="4"/>
      <c r="AO91" s="4"/>
      <c r="AP91" s="4"/>
      <c r="AQ91" s="4"/>
      <c r="AR91" s="4"/>
      <c r="AS91" s="4"/>
    </row>
    <row r="92" spans="1:45" x14ac:dyDescent="0.2">
      <c r="A92" s="4"/>
      <c r="B92" s="63">
        <v>88</v>
      </c>
      <c r="C92" s="61" t="str">
        <f>IFERROR(INDEX(Table_Prescript_Meas[Measure Number], MATCH(E92, Table_Prescript_Meas[Measure Description], 0)), "")</f>
        <v/>
      </c>
      <c r="D92" s="192"/>
      <c r="E92" s="179"/>
      <c r="F92" s="197"/>
      <c r="G92" s="179"/>
      <c r="H92" s="179"/>
      <c r="I92" s="181"/>
      <c r="J92" s="181"/>
      <c r="K92"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92" s="67" t="str">
        <f>IFERROR(Table_Controls_Input[[#This Row],[Per-unit incentive]]*Table_Controls_Input[[#This Row],[Quantity (Sensors/controller units)]],"")</f>
        <v/>
      </c>
      <c r="M92"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92"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92" s="67" t="str">
        <f t="shared" si="1"/>
        <v/>
      </c>
      <c r="P92" s="67" t="str">
        <f>IF(Table_Controls_Input[[#This Row],[Per-unit incentive]]="","",Table_Controls_Input[[#This Row],[Total equipment cost]]+Table_Controls_Input[[#This Row],[Total labor cost]])</f>
        <v/>
      </c>
      <c r="Q92" s="67" t="str">
        <f>IFERROR(Table_Controls_Input[[#This Row],[Gross measure cost]]-Table_Controls_Input[[#This Row],[Estimated incentive]], "")</f>
        <v/>
      </c>
      <c r="R92" s="69" t="str">
        <f>IFERROR(Table_Controls_Input[[#This Row],[Net measure cost]]/Table_Controls_Input[[#This Row],[Cost savings]],"")</f>
        <v/>
      </c>
      <c r="S92" s="74" t="e">
        <f>INDEX(Table_Control_PAF[PAF], MATCH(Table_Controls_Input[[#This Row],[Existing lighting controls]], Table_Control_PAF[List_Control_Types], 0))</f>
        <v>#N/A</v>
      </c>
      <c r="T92" s="74" t="e">
        <f>INDEX(Table_Measure_PAF[Proposed PAF], MATCH(Table_Controls_Input[[#This Row],[Prescriptive control measure]], Table_Measure_PAF[List_Control_Measure], 0))</f>
        <v>#N/A</v>
      </c>
      <c r="U92" s="74" t="e">
        <f>INDEX(Table_Prescript_Meas[AOH Type], MATCH(Table_Controls_Input[[#This Row],[Measure number]],Table_Prescript_Meas[Measure Number], 0))</f>
        <v>#N/A</v>
      </c>
      <c r="V92" s="74" t="e">
        <f>INDEX(Table_Prescript_Meas[AOH Type], MATCH(Table_Controls_Input[[#This Row],[Measure number]], Table_Prescript_Meas[Measure Number],0))</f>
        <v>#N/A</v>
      </c>
      <c r="W92"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92" s="4"/>
      <c r="Y92" s="4"/>
      <c r="Z92" s="4"/>
      <c r="AA92" s="4"/>
      <c r="AB92" s="4"/>
      <c r="AC92" s="4"/>
      <c r="AD92" s="4"/>
      <c r="AE92" s="4"/>
      <c r="AF92" s="4"/>
      <c r="AG92" s="4"/>
      <c r="AH92" s="4"/>
      <c r="AI92" s="4"/>
      <c r="AJ92" s="4"/>
      <c r="AK92" s="4"/>
      <c r="AL92" s="4"/>
      <c r="AM92" s="4"/>
      <c r="AN92" s="4"/>
      <c r="AO92" s="4"/>
      <c r="AP92" s="4"/>
      <c r="AQ92" s="4"/>
      <c r="AR92" s="4"/>
      <c r="AS92" s="4"/>
    </row>
    <row r="93" spans="1:45" x14ac:dyDescent="0.2">
      <c r="A93" s="4"/>
      <c r="B93" s="63">
        <v>89</v>
      </c>
      <c r="C93" s="61" t="str">
        <f>IFERROR(INDEX(Table_Prescript_Meas[Measure Number], MATCH(E93, Table_Prescript_Meas[Measure Description], 0)), "")</f>
        <v/>
      </c>
      <c r="D93" s="192"/>
      <c r="E93" s="179"/>
      <c r="F93" s="197"/>
      <c r="G93" s="179"/>
      <c r="H93" s="179"/>
      <c r="I93" s="181"/>
      <c r="J93" s="181"/>
      <c r="K93"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93" s="67" t="str">
        <f>IFERROR(Table_Controls_Input[[#This Row],[Per-unit incentive]]*Table_Controls_Input[[#This Row],[Quantity (Sensors/controller units)]],"")</f>
        <v/>
      </c>
      <c r="M93"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93"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93" s="67" t="str">
        <f t="shared" si="1"/>
        <v/>
      </c>
      <c r="P93" s="67" t="str">
        <f>IF(Table_Controls_Input[[#This Row],[Per-unit incentive]]="","",Table_Controls_Input[[#This Row],[Total equipment cost]]+Table_Controls_Input[[#This Row],[Total labor cost]])</f>
        <v/>
      </c>
      <c r="Q93" s="67" t="str">
        <f>IFERROR(Table_Controls_Input[[#This Row],[Gross measure cost]]-Table_Controls_Input[[#This Row],[Estimated incentive]], "")</f>
        <v/>
      </c>
      <c r="R93" s="69" t="str">
        <f>IFERROR(Table_Controls_Input[[#This Row],[Net measure cost]]/Table_Controls_Input[[#This Row],[Cost savings]],"")</f>
        <v/>
      </c>
      <c r="S93" s="74" t="e">
        <f>INDEX(Table_Control_PAF[PAF], MATCH(Table_Controls_Input[[#This Row],[Existing lighting controls]], Table_Control_PAF[List_Control_Types], 0))</f>
        <v>#N/A</v>
      </c>
      <c r="T93" s="74" t="e">
        <f>INDEX(Table_Measure_PAF[Proposed PAF], MATCH(Table_Controls_Input[[#This Row],[Prescriptive control measure]], Table_Measure_PAF[List_Control_Measure], 0))</f>
        <v>#N/A</v>
      </c>
      <c r="U93" s="74" t="e">
        <f>INDEX(Table_Prescript_Meas[AOH Type], MATCH(Table_Controls_Input[[#This Row],[Measure number]],Table_Prescript_Meas[Measure Number], 0))</f>
        <v>#N/A</v>
      </c>
      <c r="V93" s="74" t="e">
        <f>INDEX(Table_Prescript_Meas[AOH Type], MATCH(Table_Controls_Input[[#This Row],[Measure number]], Table_Prescript_Meas[Measure Number],0))</f>
        <v>#N/A</v>
      </c>
      <c r="W93"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93" s="4"/>
      <c r="Y93" s="4"/>
      <c r="Z93" s="4"/>
      <c r="AA93" s="4"/>
      <c r="AB93" s="4"/>
      <c r="AC93" s="4"/>
      <c r="AD93" s="4"/>
      <c r="AE93" s="4"/>
      <c r="AF93" s="4"/>
      <c r="AG93" s="4"/>
      <c r="AH93" s="4"/>
      <c r="AI93" s="4"/>
      <c r="AJ93" s="4"/>
      <c r="AK93" s="4"/>
      <c r="AL93" s="4"/>
      <c r="AM93" s="4"/>
      <c r="AN93" s="4"/>
      <c r="AO93" s="4"/>
      <c r="AP93" s="4"/>
      <c r="AQ93" s="4"/>
      <c r="AR93" s="4"/>
      <c r="AS93" s="4"/>
    </row>
    <row r="94" spans="1:45" x14ac:dyDescent="0.2">
      <c r="A94" s="4"/>
      <c r="B94" s="63">
        <v>90</v>
      </c>
      <c r="C94" s="61" t="str">
        <f>IFERROR(INDEX(Table_Prescript_Meas[Measure Number], MATCH(E94, Table_Prescript_Meas[Measure Description], 0)), "")</f>
        <v/>
      </c>
      <c r="D94" s="192"/>
      <c r="E94" s="179"/>
      <c r="F94" s="197"/>
      <c r="G94" s="179"/>
      <c r="H94" s="179"/>
      <c r="I94" s="181"/>
      <c r="J94" s="181"/>
      <c r="K94"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94" s="67" t="str">
        <f>IFERROR(Table_Controls_Input[[#This Row],[Per-unit incentive]]*Table_Controls_Input[[#This Row],[Quantity (Sensors/controller units)]],"")</f>
        <v/>
      </c>
      <c r="M94"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94"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94" s="67" t="str">
        <f t="shared" si="1"/>
        <v/>
      </c>
      <c r="P94" s="67" t="str">
        <f>IF(Table_Controls_Input[[#This Row],[Per-unit incentive]]="","",Table_Controls_Input[[#This Row],[Total equipment cost]]+Table_Controls_Input[[#This Row],[Total labor cost]])</f>
        <v/>
      </c>
      <c r="Q94" s="67" t="str">
        <f>IFERROR(Table_Controls_Input[[#This Row],[Gross measure cost]]-Table_Controls_Input[[#This Row],[Estimated incentive]], "")</f>
        <v/>
      </c>
      <c r="R94" s="69" t="str">
        <f>IFERROR(Table_Controls_Input[[#This Row],[Net measure cost]]/Table_Controls_Input[[#This Row],[Cost savings]],"")</f>
        <v/>
      </c>
      <c r="S94" s="74" t="e">
        <f>INDEX(Table_Control_PAF[PAF], MATCH(Table_Controls_Input[[#This Row],[Existing lighting controls]], Table_Control_PAF[List_Control_Types], 0))</f>
        <v>#N/A</v>
      </c>
      <c r="T94" s="74" t="e">
        <f>INDEX(Table_Measure_PAF[Proposed PAF], MATCH(Table_Controls_Input[[#This Row],[Prescriptive control measure]], Table_Measure_PAF[List_Control_Measure], 0))</f>
        <v>#N/A</v>
      </c>
      <c r="U94" s="74" t="e">
        <f>INDEX(Table_Prescript_Meas[AOH Type], MATCH(Table_Controls_Input[[#This Row],[Measure number]],Table_Prescript_Meas[Measure Number], 0))</f>
        <v>#N/A</v>
      </c>
      <c r="V94" s="74" t="e">
        <f>INDEX(Table_Prescript_Meas[AOH Type], MATCH(Table_Controls_Input[[#This Row],[Measure number]], Table_Prescript_Meas[Measure Number],0))</f>
        <v>#N/A</v>
      </c>
      <c r="W94"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94" s="4"/>
      <c r="Y94" s="4"/>
      <c r="Z94" s="4"/>
      <c r="AA94" s="4"/>
      <c r="AB94" s="4"/>
      <c r="AC94" s="4"/>
      <c r="AD94" s="4"/>
      <c r="AE94" s="4"/>
      <c r="AF94" s="4"/>
      <c r="AG94" s="4"/>
      <c r="AH94" s="4"/>
      <c r="AI94" s="4"/>
      <c r="AJ94" s="4"/>
      <c r="AK94" s="4"/>
      <c r="AL94" s="4"/>
      <c r="AM94" s="4"/>
      <c r="AN94" s="4"/>
      <c r="AO94" s="4"/>
      <c r="AP94" s="4"/>
      <c r="AQ94" s="4"/>
      <c r="AR94" s="4"/>
      <c r="AS94" s="4"/>
    </row>
    <row r="95" spans="1:45" x14ac:dyDescent="0.2">
      <c r="A95" s="4"/>
      <c r="B95" s="63">
        <v>91</v>
      </c>
      <c r="C95" s="61" t="str">
        <f>IFERROR(INDEX(Table_Prescript_Meas[Measure Number], MATCH(E95, Table_Prescript_Meas[Measure Description], 0)), "")</f>
        <v/>
      </c>
      <c r="D95" s="192"/>
      <c r="E95" s="179"/>
      <c r="F95" s="197"/>
      <c r="G95" s="179"/>
      <c r="H95" s="179"/>
      <c r="I95" s="181"/>
      <c r="J95" s="181"/>
      <c r="K95"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95" s="67" t="str">
        <f>IFERROR(Table_Controls_Input[[#This Row],[Per-unit incentive]]*Table_Controls_Input[[#This Row],[Quantity (Sensors/controller units)]],"")</f>
        <v/>
      </c>
      <c r="M95"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95"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95" s="67" t="str">
        <f t="shared" si="1"/>
        <v/>
      </c>
      <c r="P95" s="67" t="str">
        <f>IF(Table_Controls_Input[[#This Row],[Per-unit incentive]]="","",Table_Controls_Input[[#This Row],[Total equipment cost]]+Table_Controls_Input[[#This Row],[Total labor cost]])</f>
        <v/>
      </c>
      <c r="Q95" s="67" t="str">
        <f>IFERROR(Table_Controls_Input[[#This Row],[Gross measure cost]]-Table_Controls_Input[[#This Row],[Estimated incentive]], "")</f>
        <v/>
      </c>
      <c r="R95" s="69" t="str">
        <f>IFERROR(Table_Controls_Input[[#This Row],[Net measure cost]]/Table_Controls_Input[[#This Row],[Cost savings]],"")</f>
        <v/>
      </c>
      <c r="S95" s="74" t="e">
        <f>INDEX(Table_Control_PAF[PAF], MATCH(Table_Controls_Input[[#This Row],[Existing lighting controls]], Table_Control_PAF[List_Control_Types], 0))</f>
        <v>#N/A</v>
      </c>
      <c r="T95" s="74" t="e">
        <f>INDEX(Table_Measure_PAF[Proposed PAF], MATCH(Table_Controls_Input[[#This Row],[Prescriptive control measure]], Table_Measure_PAF[List_Control_Measure], 0))</f>
        <v>#N/A</v>
      </c>
      <c r="U95" s="74" t="e">
        <f>INDEX(Table_Prescript_Meas[AOH Type], MATCH(Table_Controls_Input[[#This Row],[Measure number]],Table_Prescript_Meas[Measure Number], 0))</f>
        <v>#N/A</v>
      </c>
      <c r="V95" s="74" t="e">
        <f>INDEX(Table_Prescript_Meas[AOH Type], MATCH(Table_Controls_Input[[#This Row],[Measure number]], Table_Prescript_Meas[Measure Number],0))</f>
        <v>#N/A</v>
      </c>
      <c r="W95"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95" s="4"/>
      <c r="Y95" s="4"/>
      <c r="Z95" s="4"/>
      <c r="AA95" s="4"/>
      <c r="AB95" s="4"/>
      <c r="AC95" s="4"/>
      <c r="AD95" s="4"/>
      <c r="AE95" s="4"/>
      <c r="AF95" s="4"/>
      <c r="AG95" s="4"/>
      <c r="AH95" s="4"/>
      <c r="AI95" s="4"/>
      <c r="AJ95" s="4"/>
      <c r="AK95" s="4"/>
      <c r="AL95" s="4"/>
      <c r="AM95" s="4"/>
      <c r="AN95" s="4"/>
      <c r="AO95" s="4"/>
      <c r="AP95" s="4"/>
      <c r="AQ95" s="4"/>
      <c r="AR95" s="4"/>
      <c r="AS95" s="4"/>
    </row>
    <row r="96" spans="1:45" x14ac:dyDescent="0.2">
      <c r="A96" s="4"/>
      <c r="B96" s="63">
        <v>92</v>
      </c>
      <c r="C96" s="61" t="str">
        <f>IFERROR(INDEX(Table_Prescript_Meas[Measure Number], MATCH(E96, Table_Prescript_Meas[Measure Description], 0)), "")</f>
        <v/>
      </c>
      <c r="D96" s="192"/>
      <c r="E96" s="179"/>
      <c r="F96" s="197"/>
      <c r="G96" s="179"/>
      <c r="H96" s="179"/>
      <c r="I96" s="181"/>
      <c r="J96" s="181"/>
      <c r="K96"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96" s="67" t="str">
        <f>IFERROR(Table_Controls_Input[[#This Row],[Per-unit incentive]]*Table_Controls_Input[[#This Row],[Quantity (Sensors/controller units)]],"")</f>
        <v/>
      </c>
      <c r="M96"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96"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96" s="67" t="str">
        <f t="shared" si="1"/>
        <v/>
      </c>
      <c r="P96" s="67" t="str">
        <f>IF(Table_Controls_Input[[#This Row],[Per-unit incentive]]="","",Table_Controls_Input[[#This Row],[Total equipment cost]]+Table_Controls_Input[[#This Row],[Total labor cost]])</f>
        <v/>
      </c>
      <c r="Q96" s="67" t="str">
        <f>IFERROR(Table_Controls_Input[[#This Row],[Gross measure cost]]-Table_Controls_Input[[#This Row],[Estimated incentive]], "")</f>
        <v/>
      </c>
      <c r="R96" s="69" t="str">
        <f>IFERROR(Table_Controls_Input[[#This Row],[Net measure cost]]/Table_Controls_Input[[#This Row],[Cost savings]],"")</f>
        <v/>
      </c>
      <c r="S96" s="74" t="e">
        <f>INDEX(Table_Control_PAF[PAF], MATCH(Table_Controls_Input[[#This Row],[Existing lighting controls]], Table_Control_PAF[List_Control_Types], 0))</f>
        <v>#N/A</v>
      </c>
      <c r="T96" s="74" t="e">
        <f>INDEX(Table_Measure_PAF[Proposed PAF], MATCH(Table_Controls_Input[[#This Row],[Prescriptive control measure]], Table_Measure_PAF[List_Control_Measure], 0))</f>
        <v>#N/A</v>
      </c>
      <c r="U96" s="74" t="e">
        <f>INDEX(Table_Prescript_Meas[AOH Type], MATCH(Table_Controls_Input[[#This Row],[Measure number]],Table_Prescript_Meas[Measure Number], 0))</f>
        <v>#N/A</v>
      </c>
      <c r="V96" s="74" t="e">
        <f>INDEX(Table_Prescript_Meas[AOH Type], MATCH(Table_Controls_Input[[#This Row],[Measure number]], Table_Prescript_Meas[Measure Number],0))</f>
        <v>#N/A</v>
      </c>
      <c r="W96"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96" s="4"/>
      <c r="Y96" s="4"/>
      <c r="Z96" s="4"/>
      <c r="AA96" s="4"/>
      <c r="AB96" s="4"/>
      <c r="AC96" s="4"/>
      <c r="AD96" s="4"/>
      <c r="AE96" s="4"/>
      <c r="AF96" s="4"/>
      <c r="AG96" s="4"/>
      <c r="AH96" s="4"/>
      <c r="AI96" s="4"/>
      <c r="AJ96" s="4"/>
      <c r="AK96" s="4"/>
      <c r="AL96" s="4"/>
      <c r="AM96" s="4"/>
      <c r="AN96" s="4"/>
      <c r="AO96" s="4"/>
      <c r="AP96" s="4"/>
      <c r="AQ96" s="4"/>
      <c r="AR96" s="4"/>
      <c r="AS96" s="4"/>
    </row>
    <row r="97" spans="1:45" x14ac:dyDescent="0.2">
      <c r="A97" s="4"/>
      <c r="B97" s="63">
        <v>93</v>
      </c>
      <c r="C97" s="61" t="str">
        <f>IFERROR(INDEX(Table_Prescript_Meas[Measure Number], MATCH(E97, Table_Prescript_Meas[Measure Description], 0)), "")</f>
        <v/>
      </c>
      <c r="D97" s="192"/>
      <c r="E97" s="179"/>
      <c r="F97" s="197"/>
      <c r="G97" s="179"/>
      <c r="H97" s="179"/>
      <c r="I97" s="181"/>
      <c r="J97" s="181"/>
      <c r="K97"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97" s="67" t="str">
        <f>IFERROR(Table_Controls_Input[[#This Row],[Per-unit incentive]]*Table_Controls_Input[[#This Row],[Quantity (Sensors/controller units)]],"")</f>
        <v/>
      </c>
      <c r="M97"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97"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97" s="67" t="str">
        <f t="shared" si="1"/>
        <v/>
      </c>
      <c r="P97" s="67" t="str">
        <f>IF(Table_Controls_Input[[#This Row],[Per-unit incentive]]="","",Table_Controls_Input[[#This Row],[Total equipment cost]]+Table_Controls_Input[[#This Row],[Total labor cost]])</f>
        <v/>
      </c>
      <c r="Q97" s="67" t="str">
        <f>IFERROR(Table_Controls_Input[[#This Row],[Gross measure cost]]-Table_Controls_Input[[#This Row],[Estimated incentive]], "")</f>
        <v/>
      </c>
      <c r="R97" s="69" t="str">
        <f>IFERROR(Table_Controls_Input[[#This Row],[Net measure cost]]/Table_Controls_Input[[#This Row],[Cost savings]],"")</f>
        <v/>
      </c>
      <c r="S97" s="74" t="e">
        <f>INDEX(Table_Control_PAF[PAF], MATCH(Table_Controls_Input[[#This Row],[Existing lighting controls]], Table_Control_PAF[List_Control_Types], 0))</f>
        <v>#N/A</v>
      </c>
      <c r="T97" s="74" t="e">
        <f>INDEX(Table_Measure_PAF[Proposed PAF], MATCH(Table_Controls_Input[[#This Row],[Prescriptive control measure]], Table_Measure_PAF[List_Control_Measure], 0))</f>
        <v>#N/A</v>
      </c>
      <c r="U97" s="74" t="e">
        <f>INDEX(Table_Prescript_Meas[AOH Type], MATCH(Table_Controls_Input[[#This Row],[Measure number]],Table_Prescript_Meas[Measure Number], 0))</f>
        <v>#N/A</v>
      </c>
      <c r="V97" s="74" t="e">
        <f>INDEX(Table_Prescript_Meas[AOH Type], MATCH(Table_Controls_Input[[#This Row],[Measure number]], Table_Prescript_Meas[Measure Number],0))</f>
        <v>#N/A</v>
      </c>
      <c r="W97"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97" s="4"/>
      <c r="Y97" s="4"/>
      <c r="Z97" s="4"/>
      <c r="AA97" s="4"/>
      <c r="AB97" s="4"/>
      <c r="AC97" s="4"/>
      <c r="AD97" s="4"/>
      <c r="AE97" s="4"/>
      <c r="AF97" s="4"/>
      <c r="AG97" s="4"/>
      <c r="AH97" s="4"/>
      <c r="AI97" s="4"/>
      <c r="AJ97" s="4"/>
      <c r="AK97" s="4"/>
      <c r="AL97" s="4"/>
      <c r="AM97" s="4"/>
      <c r="AN97" s="4"/>
      <c r="AO97" s="4"/>
      <c r="AP97" s="4"/>
      <c r="AQ97" s="4"/>
      <c r="AR97" s="4"/>
      <c r="AS97" s="4"/>
    </row>
    <row r="98" spans="1:45" x14ac:dyDescent="0.2">
      <c r="A98" s="4"/>
      <c r="B98" s="63">
        <v>94</v>
      </c>
      <c r="C98" s="61" t="str">
        <f>IFERROR(INDEX(Table_Prescript_Meas[Measure Number], MATCH(E98, Table_Prescript_Meas[Measure Description], 0)), "")</f>
        <v/>
      </c>
      <c r="D98" s="192"/>
      <c r="E98" s="179"/>
      <c r="F98" s="197"/>
      <c r="G98" s="179"/>
      <c r="H98" s="179"/>
      <c r="I98" s="181"/>
      <c r="J98" s="181"/>
      <c r="K98"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98" s="67" t="str">
        <f>IFERROR(Table_Controls_Input[[#This Row],[Per-unit incentive]]*Table_Controls_Input[[#This Row],[Quantity (Sensors/controller units)]],"")</f>
        <v/>
      </c>
      <c r="M98"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98"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98" s="67" t="str">
        <f t="shared" si="1"/>
        <v/>
      </c>
      <c r="P98" s="67" t="str">
        <f>IF(Table_Controls_Input[[#This Row],[Per-unit incentive]]="","",Table_Controls_Input[[#This Row],[Total equipment cost]]+Table_Controls_Input[[#This Row],[Total labor cost]])</f>
        <v/>
      </c>
      <c r="Q98" s="67" t="str">
        <f>IFERROR(Table_Controls_Input[[#This Row],[Gross measure cost]]-Table_Controls_Input[[#This Row],[Estimated incentive]], "")</f>
        <v/>
      </c>
      <c r="R98" s="69" t="str">
        <f>IFERROR(Table_Controls_Input[[#This Row],[Net measure cost]]/Table_Controls_Input[[#This Row],[Cost savings]],"")</f>
        <v/>
      </c>
      <c r="S98" s="74" t="e">
        <f>INDEX(Table_Control_PAF[PAF], MATCH(Table_Controls_Input[[#This Row],[Existing lighting controls]], Table_Control_PAF[List_Control_Types], 0))</f>
        <v>#N/A</v>
      </c>
      <c r="T98" s="74" t="e">
        <f>INDEX(Table_Measure_PAF[Proposed PAF], MATCH(Table_Controls_Input[[#This Row],[Prescriptive control measure]], Table_Measure_PAF[List_Control_Measure], 0))</f>
        <v>#N/A</v>
      </c>
      <c r="U98" s="74" t="e">
        <f>INDEX(Table_Prescript_Meas[AOH Type], MATCH(Table_Controls_Input[[#This Row],[Measure number]],Table_Prescript_Meas[Measure Number], 0))</f>
        <v>#N/A</v>
      </c>
      <c r="V98" s="74" t="e">
        <f>INDEX(Table_Prescript_Meas[AOH Type], MATCH(Table_Controls_Input[[#This Row],[Measure number]], Table_Prescript_Meas[Measure Number],0))</f>
        <v>#N/A</v>
      </c>
      <c r="W98"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98" s="4"/>
      <c r="Y98" s="4"/>
      <c r="Z98" s="4"/>
      <c r="AA98" s="4"/>
      <c r="AB98" s="4"/>
      <c r="AC98" s="4"/>
      <c r="AD98" s="4"/>
      <c r="AE98" s="4"/>
      <c r="AF98" s="4"/>
      <c r="AG98" s="4"/>
      <c r="AH98" s="4"/>
      <c r="AI98" s="4"/>
      <c r="AJ98" s="4"/>
      <c r="AK98" s="4"/>
      <c r="AL98" s="4"/>
      <c r="AM98" s="4"/>
      <c r="AN98" s="4"/>
      <c r="AO98" s="4"/>
      <c r="AP98" s="4"/>
      <c r="AQ98" s="4"/>
      <c r="AR98" s="4"/>
      <c r="AS98" s="4"/>
    </row>
    <row r="99" spans="1:45" x14ac:dyDescent="0.2">
      <c r="A99" s="4"/>
      <c r="B99" s="63">
        <v>95</v>
      </c>
      <c r="C99" s="61" t="str">
        <f>IFERROR(INDEX(Table_Prescript_Meas[Measure Number], MATCH(E99, Table_Prescript_Meas[Measure Description], 0)), "")</f>
        <v/>
      </c>
      <c r="D99" s="192"/>
      <c r="E99" s="179"/>
      <c r="F99" s="197"/>
      <c r="G99" s="179"/>
      <c r="H99" s="179"/>
      <c r="I99" s="181"/>
      <c r="J99" s="181"/>
      <c r="K99"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99" s="67" t="str">
        <f>IFERROR(Table_Controls_Input[[#This Row],[Per-unit incentive]]*Table_Controls_Input[[#This Row],[Quantity (Sensors/controller units)]],"")</f>
        <v/>
      </c>
      <c r="M99"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99"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99" s="67" t="str">
        <f t="shared" si="1"/>
        <v/>
      </c>
      <c r="P99" s="67" t="str">
        <f>IF(Table_Controls_Input[[#This Row],[Per-unit incentive]]="","",Table_Controls_Input[[#This Row],[Total equipment cost]]+Table_Controls_Input[[#This Row],[Total labor cost]])</f>
        <v/>
      </c>
      <c r="Q99" s="67" t="str">
        <f>IFERROR(Table_Controls_Input[[#This Row],[Gross measure cost]]-Table_Controls_Input[[#This Row],[Estimated incentive]], "")</f>
        <v/>
      </c>
      <c r="R99" s="69" t="str">
        <f>IFERROR(Table_Controls_Input[[#This Row],[Net measure cost]]/Table_Controls_Input[[#This Row],[Cost savings]],"")</f>
        <v/>
      </c>
      <c r="S99" s="74" t="e">
        <f>INDEX(Table_Control_PAF[PAF], MATCH(Table_Controls_Input[[#This Row],[Existing lighting controls]], Table_Control_PAF[List_Control_Types], 0))</f>
        <v>#N/A</v>
      </c>
      <c r="T99" s="74" t="e">
        <f>INDEX(Table_Measure_PAF[Proposed PAF], MATCH(Table_Controls_Input[[#This Row],[Prescriptive control measure]], Table_Measure_PAF[List_Control_Measure], 0))</f>
        <v>#N/A</v>
      </c>
      <c r="U99" s="74" t="e">
        <f>INDEX(Table_Prescript_Meas[AOH Type], MATCH(Table_Controls_Input[[#This Row],[Measure number]],Table_Prescript_Meas[Measure Number], 0))</f>
        <v>#N/A</v>
      </c>
      <c r="V99" s="74" t="e">
        <f>INDEX(Table_Prescript_Meas[AOH Type], MATCH(Table_Controls_Input[[#This Row],[Measure number]], Table_Prescript_Meas[Measure Number],0))</f>
        <v>#N/A</v>
      </c>
      <c r="W99"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99" s="4"/>
      <c r="Y99" s="4"/>
      <c r="Z99" s="4"/>
      <c r="AA99" s="4"/>
      <c r="AB99" s="4"/>
      <c r="AC99" s="4"/>
      <c r="AD99" s="4"/>
      <c r="AE99" s="4"/>
      <c r="AF99" s="4"/>
      <c r="AG99" s="4"/>
      <c r="AH99" s="4"/>
      <c r="AI99" s="4"/>
      <c r="AJ99" s="4"/>
      <c r="AK99" s="4"/>
      <c r="AL99" s="4"/>
      <c r="AM99" s="4"/>
      <c r="AN99" s="4"/>
      <c r="AO99" s="4"/>
      <c r="AP99" s="4"/>
      <c r="AQ99" s="4"/>
      <c r="AR99" s="4"/>
      <c r="AS99" s="4"/>
    </row>
    <row r="100" spans="1:45" x14ac:dyDescent="0.2">
      <c r="A100" s="4"/>
      <c r="B100" s="63">
        <v>96</v>
      </c>
      <c r="C100" s="61" t="str">
        <f>IFERROR(INDEX(Table_Prescript_Meas[Measure Number], MATCH(E100, Table_Prescript_Meas[Measure Description], 0)), "")</f>
        <v/>
      </c>
      <c r="D100" s="192"/>
      <c r="E100" s="179"/>
      <c r="F100" s="197"/>
      <c r="G100" s="179"/>
      <c r="H100" s="179"/>
      <c r="I100" s="181"/>
      <c r="J100" s="181"/>
      <c r="K100"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00" s="67" t="str">
        <f>IFERROR(Table_Controls_Input[[#This Row],[Per-unit incentive]]*Table_Controls_Input[[#This Row],[Quantity (Sensors/controller units)]],"")</f>
        <v/>
      </c>
      <c r="M100"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00"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00" s="67" t="str">
        <f t="shared" si="1"/>
        <v/>
      </c>
      <c r="P100" s="67" t="str">
        <f>IF(Table_Controls_Input[[#This Row],[Per-unit incentive]]="","",Table_Controls_Input[[#This Row],[Total equipment cost]]+Table_Controls_Input[[#This Row],[Total labor cost]])</f>
        <v/>
      </c>
      <c r="Q100" s="67" t="str">
        <f>IFERROR(Table_Controls_Input[[#This Row],[Gross measure cost]]-Table_Controls_Input[[#This Row],[Estimated incentive]], "")</f>
        <v/>
      </c>
      <c r="R100" s="69" t="str">
        <f>IFERROR(Table_Controls_Input[[#This Row],[Net measure cost]]/Table_Controls_Input[[#This Row],[Cost savings]],"")</f>
        <v/>
      </c>
      <c r="S100" s="74" t="e">
        <f>INDEX(Table_Control_PAF[PAF], MATCH(Table_Controls_Input[[#This Row],[Existing lighting controls]], Table_Control_PAF[List_Control_Types], 0))</f>
        <v>#N/A</v>
      </c>
      <c r="T100" s="74" t="e">
        <f>INDEX(Table_Measure_PAF[Proposed PAF], MATCH(Table_Controls_Input[[#This Row],[Prescriptive control measure]], Table_Measure_PAF[List_Control_Measure], 0))</f>
        <v>#N/A</v>
      </c>
      <c r="U100" s="74" t="e">
        <f>INDEX(Table_Prescript_Meas[AOH Type], MATCH(Table_Controls_Input[[#This Row],[Measure number]],Table_Prescript_Meas[Measure Number], 0))</f>
        <v>#N/A</v>
      </c>
      <c r="V100" s="74" t="e">
        <f>INDEX(Table_Prescript_Meas[AOH Type], MATCH(Table_Controls_Input[[#This Row],[Measure number]], Table_Prescript_Meas[Measure Number],0))</f>
        <v>#N/A</v>
      </c>
      <c r="W100"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00" s="4"/>
      <c r="Y100" s="4"/>
      <c r="Z100" s="4"/>
      <c r="AA100" s="4"/>
      <c r="AB100" s="4"/>
      <c r="AC100" s="4"/>
      <c r="AD100" s="4"/>
      <c r="AE100" s="4"/>
      <c r="AF100" s="4"/>
      <c r="AG100" s="4"/>
      <c r="AH100" s="4"/>
      <c r="AI100" s="4"/>
      <c r="AJ100" s="4"/>
      <c r="AK100" s="4"/>
      <c r="AL100" s="4"/>
      <c r="AM100" s="4"/>
      <c r="AN100" s="4"/>
      <c r="AO100" s="4"/>
      <c r="AP100" s="4"/>
      <c r="AQ100" s="4"/>
      <c r="AR100" s="4"/>
      <c r="AS100" s="4"/>
    </row>
    <row r="101" spans="1:45" x14ac:dyDescent="0.2">
      <c r="A101" s="4"/>
      <c r="B101" s="63">
        <v>97</v>
      </c>
      <c r="C101" s="61" t="str">
        <f>IFERROR(INDEX(Table_Prescript_Meas[Measure Number], MATCH(E101, Table_Prescript_Meas[Measure Description], 0)), "")</f>
        <v/>
      </c>
      <c r="D101" s="192"/>
      <c r="E101" s="179"/>
      <c r="F101" s="197"/>
      <c r="G101" s="179"/>
      <c r="H101" s="179"/>
      <c r="I101" s="181"/>
      <c r="J101" s="181"/>
      <c r="K101"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01" s="67" t="str">
        <f>IFERROR(Table_Controls_Input[[#This Row],[Per-unit incentive]]*Table_Controls_Input[[#This Row],[Quantity (Sensors/controller units)]],"")</f>
        <v/>
      </c>
      <c r="M101"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01"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01" s="67" t="str">
        <f t="shared" si="1"/>
        <v/>
      </c>
      <c r="P101" s="67" t="str">
        <f>IF(Table_Controls_Input[[#This Row],[Per-unit incentive]]="","",Table_Controls_Input[[#This Row],[Total equipment cost]]+Table_Controls_Input[[#This Row],[Total labor cost]])</f>
        <v/>
      </c>
      <c r="Q101" s="67" t="str">
        <f>IFERROR(Table_Controls_Input[[#This Row],[Gross measure cost]]-Table_Controls_Input[[#This Row],[Estimated incentive]], "")</f>
        <v/>
      </c>
      <c r="R101" s="69" t="str">
        <f>IFERROR(Table_Controls_Input[[#This Row],[Net measure cost]]/Table_Controls_Input[[#This Row],[Cost savings]],"")</f>
        <v/>
      </c>
      <c r="S101" s="74" t="e">
        <f>INDEX(Table_Control_PAF[PAF], MATCH(Table_Controls_Input[[#This Row],[Existing lighting controls]], Table_Control_PAF[List_Control_Types], 0))</f>
        <v>#N/A</v>
      </c>
      <c r="T101" s="74" t="e">
        <f>INDEX(Table_Measure_PAF[Proposed PAF], MATCH(Table_Controls_Input[[#This Row],[Prescriptive control measure]], Table_Measure_PAF[List_Control_Measure], 0))</f>
        <v>#N/A</v>
      </c>
      <c r="U101" s="74" t="e">
        <f>INDEX(Table_Prescript_Meas[AOH Type], MATCH(Table_Controls_Input[[#This Row],[Measure number]],Table_Prescript_Meas[Measure Number], 0))</f>
        <v>#N/A</v>
      </c>
      <c r="V101" s="74" t="e">
        <f>INDEX(Table_Prescript_Meas[AOH Type], MATCH(Table_Controls_Input[[#This Row],[Measure number]], Table_Prescript_Meas[Measure Number],0))</f>
        <v>#N/A</v>
      </c>
      <c r="W101"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01" s="4"/>
      <c r="Y101" s="4"/>
      <c r="Z101" s="4"/>
      <c r="AA101" s="4"/>
      <c r="AB101" s="4"/>
      <c r="AC101" s="4"/>
      <c r="AD101" s="4"/>
      <c r="AE101" s="4"/>
      <c r="AF101" s="4"/>
      <c r="AG101" s="4"/>
      <c r="AH101" s="4"/>
      <c r="AI101" s="4"/>
      <c r="AJ101" s="4"/>
      <c r="AK101" s="4"/>
      <c r="AL101" s="4"/>
      <c r="AM101" s="4"/>
      <c r="AN101" s="4"/>
      <c r="AO101" s="4"/>
      <c r="AP101" s="4"/>
      <c r="AQ101" s="4"/>
      <c r="AR101" s="4"/>
      <c r="AS101" s="4"/>
    </row>
    <row r="102" spans="1:45" x14ac:dyDescent="0.2">
      <c r="A102" s="4"/>
      <c r="B102" s="63">
        <v>98</v>
      </c>
      <c r="C102" s="61" t="str">
        <f>IFERROR(INDEX(Table_Prescript_Meas[Measure Number], MATCH(E102, Table_Prescript_Meas[Measure Description], 0)), "")</f>
        <v/>
      </c>
      <c r="D102" s="192"/>
      <c r="E102" s="179"/>
      <c r="F102" s="197"/>
      <c r="G102" s="179"/>
      <c r="H102" s="179"/>
      <c r="I102" s="181"/>
      <c r="J102" s="181"/>
      <c r="K102"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02" s="67" t="str">
        <f>IFERROR(Table_Controls_Input[[#This Row],[Per-unit incentive]]*Table_Controls_Input[[#This Row],[Quantity (Sensors/controller units)]],"")</f>
        <v/>
      </c>
      <c r="M102"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02"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02" s="67" t="str">
        <f t="shared" si="1"/>
        <v/>
      </c>
      <c r="P102" s="67" t="str">
        <f>IF(Table_Controls_Input[[#This Row],[Per-unit incentive]]="","",Table_Controls_Input[[#This Row],[Total equipment cost]]+Table_Controls_Input[[#This Row],[Total labor cost]])</f>
        <v/>
      </c>
      <c r="Q102" s="67" t="str">
        <f>IFERROR(Table_Controls_Input[[#This Row],[Gross measure cost]]-Table_Controls_Input[[#This Row],[Estimated incentive]], "")</f>
        <v/>
      </c>
      <c r="R102" s="69" t="str">
        <f>IFERROR(Table_Controls_Input[[#This Row],[Net measure cost]]/Table_Controls_Input[[#This Row],[Cost savings]],"")</f>
        <v/>
      </c>
      <c r="S102" s="74" t="e">
        <f>INDEX(Table_Control_PAF[PAF], MATCH(Table_Controls_Input[[#This Row],[Existing lighting controls]], Table_Control_PAF[List_Control_Types], 0))</f>
        <v>#N/A</v>
      </c>
      <c r="T102" s="74" t="e">
        <f>INDEX(Table_Measure_PAF[Proposed PAF], MATCH(Table_Controls_Input[[#This Row],[Prescriptive control measure]], Table_Measure_PAF[List_Control_Measure], 0))</f>
        <v>#N/A</v>
      </c>
      <c r="U102" s="74" t="e">
        <f>INDEX(Table_Prescript_Meas[AOH Type], MATCH(Table_Controls_Input[[#This Row],[Measure number]],Table_Prescript_Meas[Measure Number], 0))</f>
        <v>#N/A</v>
      </c>
      <c r="V102" s="74" t="e">
        <f>INDEX(Table_Prescript_Meas[AOH Type], MATCH(Table_Controls_Input[[#This Row],[Measure number]], Table_Prescript_Meas[Measure Number],0))</f>
        <v>#N/A</v>
      </c>
      <c r="W102"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02" s="4"/>
      <c r="Y102" s="4"/>
      <c r="Z102" s="4"/>
      <c r="AA102" s="4"/>
      <c r="AB102" s="4"/>
      <c r="AC102" s="4"/>
      <c r="AD102" s="4"/>
      <c r="AE102" s="4"/>
      <c r="AF102" s="4"/>
      <c r="AG102" s="4"/>
      <c r="AH102" s="4"/>
      <c r="AI102" s="4"/>
      <c r="AJ102" s="4"/>
      <c r="AK102" s="4"/>
      <c r="AL102" s="4"/>
      <c r="AM102" s="4"/>
      <c r="AN102" s="4"/>
      <c r="AO102" s="4"/>
      <c r="AP102" s="4"/>
      <c r="AQ102" s="4"/>
      <c r="AR102" s="4"/>
      <c r="AS102" s="4"/>
    </row>
    <row r="103" spans="1:45" x14ac:dyDescent="0.2">
      <c r="A103" s="4"/>
      <c r="B103" s="63">
        <v>99</v>
      </c>
      <c r="C103" s="61" t="str">
        <f>IFERROR(INDEX(Table_Prescript_Meas[Measure Number], MATCH(E103, Table_Prescript_Meas[Measure Description], 0)), "")</f>
        <v/>
      </c>
      <c r="D103" s="192"/>
      <c r="E103" s="179"/>
      <c r="F103" s="197"/>
      <c r="G103" s="179"/>
      <c r="H103" s="179"/>
      <c r="I103" s="181"/>
      <c r="J103" s="181"/>
      <c r="K103"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03" s="67" t="str">
        <f>IFERROR(Table_Controls_Input[[#This Row],[Per-unit incentive]]*Table_Controls_Input[[#This Row],[Quantity (Sensors/controller units)]],"")</f>
        <v/>
      </c>
      <c r="M103"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03"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03" s="67" t="str">
        <f t="shared" si="1"/>
        <v/>
      </c>
      <c r="P103" s="67" t="str">
        <f>IF(Table_Controls_Input[[#This Row],[Per-unit incentive]]="","",Table_Controls_Input[[#This Row],[Total equipment cost]]+Table_Controls_Input[[#This Row],[Total labor cost]])</f>
        <v/>
      </c>
      <c r="Q103" s="67" t="str">
        <f>IFERROR(Table_Controls_Input[[#This Row],[Gross measure cost]]-Table_Controls_Input[[#This Row],[Estimated incentive]], "")</f>
        <v/>
      </c>
      <c r="R103" s="69" t="str">
        <f>IFERROR(Table_Controls_Input[[#This Row],[Net measure cost]]/Table_Controls_Input[[#This Row],[Cost savings]],"")</f>
        <v/>
      </c>
      <c r="S103" s="74" t="e">
        <f>INDEX(Table_Control_PAF[PAF], MATCH(Table_Controls_Input[[#This Row],[Existing lighting controls]], Table_Control_PAF[List_Control_Types], 0))</f>
        <v>#N/A</v>
      </c>
      <c r="T103" s="74" t="e">
        <f>INDEX(Table_Measure_PAF[Proposed PAF], MATCH(Table_Controls_Input[[#This Row],[Prescriptive control measure]], Table_Measure_PAF[List_Control_Measure], 0))</f>
        <v>#N/A</v>
      </c>
      <c r="U103" s="74" t="e">
        <f>INDEX(Table_Prescript_Meas[AOH Type], MATCH(Table_Controls_Input[[#This Row],[Measure number]],Table_Prescript_Meas[Measure Number], 0))</f>
        <v>#N/A</v>
      </c>
      <c r="V103" s="74" t="e">
        <f>INDEX(Table_Prescript_Meas[AOH Type], MATCH(Table_Controls_Input[[#This Row],[Measure number]], Table_Prescript_Meas[Measure Number],0))</f>
        <v>#N/A</v>
      </c>
      <c r="W103"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03" s="4"/>
      <c r="Y103" s="4"/>
      <c r="Z103" s="4"/>
      <c r="AA103" s="4"/>
      <c r="AB103" s="4"/>
      <c r="AC103" s="4"/>
      <c r="AD103" s="4"/>
      <c r="AE103" s="4"/>
      <c r="AF103" s="4"/>
      <c r="AG103" s="4"/>
      <c r="AH103" s="4"/>
      <c r="AI103" s="4"/>
      <c r="AJ103" s="4"/>
      <c r="AK103" s="4"/>
      <c r="AL103" s="4"/>
      <c r="AM103" s="4"/>
      <c r="AN103" s="4"/>
      <c r="AO103" s="4"/>
      <c r="AP103" s="4"/>
      <c r="AQ103" s="4"/>
      <c r="AR103" s="4"/>
      <c r="AS103" s="4"/>
    </row>
    <row r="104" spans="1:45" x14ac:dyDescent="0.2">
      <c r="A104" s="4"/>
      <c r="B104" s="63">
        <v>100</v>
      </c>
      <c r="C104" s="61" t="str">
        <f>IFERROR(INDEX(Table_Prescript_Meas[Measure Number], MATCH(E104, Table_Prescript_Meas[Measure Description], 0)), "")</f>
        <v/>
      </c>
      <c r="D104" s="192"/>
      <c r="E104" s="179"/>
      <c r="F104" s="197"/>
      <c r="G104" s="179"/>
      <c r="H104" s="179"/>
      <c r="I104" s="181"/>
      <c r="J104" s="181"/>
      <c r="K104"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04" s="67" t="str">
        <f>IFERROR(Table_Controls_Input[[#This Row],[Per-unit incentive]]*Table_Controls_Input[[#This Row],[Quantity (Sensors/controller units)]],"")</f>
        <v/>
      </c>
      <c r="M104"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04"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04" s="67" t="str">
        <f t="shared" si="1"/>
        <v/>
      </c>
      <c r="P104" s="67" t="str">
        <f>IF(Table_Controls_Input[[#This Row],[Per-unit incentive]]="","",Table_Controls_Input[[#This Row],[Total equipment cost]]+Table_Controls_Input[[#This Row],[Total labor cost]])</f>
        <v/>
      </c>
      <c r="Q104" s="67" t="str">
        <f>IFERROR(Table_Controls_Input[[#This Row],[Gross measure cost]]-Table_Controls_Input[[#This Row],[Estimated incentive]], "")</f>
        <v/>
      </c>
      <c r="R104" s="69" t="str">
        <f>IFERROR(Table_Controls_Input[[#This Row],[Net measure cost]]/Table_Controls_Input[[#This Row],[Cost savings]],"")</f>
        <v/>
      </c>
      <c r="S104" s="74" t="e">
        <f>INDEX(Table_Control_PAF[PAF], MATCH(Table_Controls_Input[[#This Row],[Existing lighting controls]], Table_Control_PAF[List_Control_Types], 0))</f>
        <v>#N/A</v>
      </c>
      <c r="T104" s="74" t="e">
        <f>INDEX(Table_Measure_PAF[Proposed PAF], MATCH(Table_Controls_Input[[#This Row],[Prescriptive control measure]], Table_Measure_PAF[List_Control_Measure], 0))</f>
        <v>#N/A</v>
      </c>
      <c r="U104" s="74" t="e">
        <f>INDEX(Table_Prescript_Meas[AOH Type], MATCH(Table_Controls_Input[[#This Row],[Measure number]],Table_Prescript_Meas[Measure Number], 0))</f>
        <v>#N/A</v>
      </c>
      <c r="V104" s="74" t="e">
        <f>INDEX(Table_Prescript_Meas[AOH Type], MATCH(Table_Controls_Input[[#This Row],[Measure number]], Table_Prescript_Meas[Measure Number],0))</f>
        <v>#N/A</v>
      </c>
      <c r="W104"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04" s="4"/>
      <c r="Y104" s="4"/>
      <c r="Z104" s="4"/>
      <c r="AA104" s="4"/>
      <c r="AB104" s="4"/>
      <c r="AC104" s="4"/>
      <c r="AD104" s="4"/>
      <c r="AE104" s="4"/>
      <c r="AF104" s="4"/>
      <c r="AG104" s="4"/>
      <c r="AH104" s="4"/>
      <c r="AI104" s="4"/>
      <c r="AJ104" s="4"/>
      <c r="AK104" s="4"/>
      <c r="AL104" s="4"/>
      <c r="AM104" s="4"/>
      <c r="AN104" s="4"/>
      <c r="AO104" s="4"/>
      <c r="AP104" s="4"/>
      <c r="AQ104" s="4"/>
      <c r="AR104" s="4"/>
      <c r="AS104" s="4"/>
    </row>
    <row r="105" spans="1:45" x14ac:dyDescent="0.2">
      <c r="A105" s="4"/>
      <c r="B105" s="63">
        <v>101</v>
      </c>
      <c r="C105" s="61" t="str">
        <f>IFERROR(INDEX(Table_Prescript_Meas[Measure Number], MATCH(E105, Table_Prescript_Meas[Measure Description], 0)), "")</f>
        <v/>
      </c>
      <c r="D105" s="192"/>
      <c r="E105" s="179"/>
      <c r="F105" s="197"/>
      <c r="G105" s="179"/>
      <c r="H105" s="179"/>
      <c r="I105" s="181"/>
      <c r="J105" s="181"/>
      <c r="K105"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05" s="67" t="str">
        <f>IFERROR(Table_Controls_Input[[#This Row],[Per-unit incentive]]*Table_Controls_Input[[#This Row],[Quantity (Sensors/controller units)]],"")</f>
        <v/>
      </c>
      <c r="M105"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05"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05" s="67" t="str">
        <f t="shared" si="1"/>
        <v/>
      </c>
      <c r="P105" s="67" t="str">
        <f>IF(Table_Controls_Input[[#This Row],[Per-unit incentive]]="","",Table_Controls_Input[[#This Row],[Total equipment cost]]+Table_Controls_Input[[#This Row],[Total labor cost]])</f>
        <v/>
      </c>
      <c r="Q105" s="67" t="str">
        <f>IFERROR(Table_Controls_Input[[#This Row],[Gross measure cost]]-Table_Controls_Input[[#This Row],[Estimated incentive]], "")</f>
        <v/>
      </c>
      <c r="R105" s="69" t="str">
        <f>IFERROR(Table_Controls_Input[[#This Row],[Net measure cost]]/Table_Controls_Input[[#This Row],[Cost savings]],"")</f>
        <v/>
      </c>
      <c r="S105" s="74" t="e">
        <f>INDEX(Table_Control_PAF[PAF], MATCH(Table_Controls_Input[[#This Row],[Existing lighting controls]], Table_Control_PAF[List_Control_Types], 0))</f>
        <v>#N/A</v>
      </c>
      <c r="T105" s="74" t="e">
        <f>INDEX(Table_Measure_PAF[Proposed PAF], MATCH(Table_Controls_Input[[#This Row],[Prescriptive control measure]], Table_Measure_PAF[List_Control_Measure], 0))</f>
        <v>#N/A</v>
      </c>
      <c r="U105" s="74" t="e">
        <f>INDEX(Table_Prescript_Meas[AOH Type], MATCH(Table_Controls_Input[[#This Row],[Measure number]],Table_Prescript_Meas[Measure Number], 0))</f>
        <v>#N/A</v>
      </c>
      <c r="V105" s="74" t="e">
        <f>INDEX(Table_Prescript_Meas[AOH Type], MATCH(Table_Controls_Input[[#This Row],[Measure number]], Table_Prescript_Meas[Measure Number],0))</f>
        <v>#N/A</v>
      </c>
      <c r="W105"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05" s="4"/>
      <c r="Y105" s="4"/>
      <c r="Z105" s="4"/>
      <c r="AA105" s="4"/>
      <c r="AB105" s="4"/>
      <c r="AC105" s="4"/>
      <c r="AD105" s="4"/>
      <c r="AE105" s="4"/>
      <c r="AF105" s="4"/>
      <c r="AG105" s="4"/>
      <c r="AH105" s="4"/>
      <c r="AI105" s="4"/>
      <c r="AJ105" s="4"/>
      <c r="AK105" s="4"/>
      <c r="AL105" s="4"/>
      <c r="AM105" s="4"/>
      <c r="AN105" s="4"/>
      <c r="AO105" s="4"/>
      <c r="AP105" s="4"/>
      <c r="AQ105" s="4"/>
      <c r="AR105" s="4"/>
      <c r="AS105" s="4"/>
    </row>
    <row r="106" spans="1:45" x14ac:dyDescent="0.2">
      <c r="A106" s="4"/>
      <c r="B106" s="63">
        <v>102</v>
      </c>
      <c r="C106" s="61" t="str">
        <f>IFERROR(INDEX(Table_Prescript_Meas[Measure Number], MATCH(E106, Table_Prescript_Meas[Measure Description], 0)), "")</f>
        <v/>
      </c>
      <c r="D106" s="192"/>
      <c r="E106" s="179"/>
      <c r="F106" s="197"/>
      <c r="G106" s="179"/>
      <c r="H106" s="179"/>
      <c r="I106" s="181"/>
      <c r="J106" s="181"/>
      <c r="K106"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06" s="67" t="str">
        <f>IFERROR(Table_Controls_Input[[#This Row],[Per-unit incentive]]*Table_Controls_Input[[#This Row],[Quantity (Sensors/controller units)]],"")</f>
        <v/>
      </c>
      <c r="M106"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06"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06" s="67" t="str">
        <f t="shared" si="1"/>
        <v/>
      </c>
      <c r="P106" s="67" t="str">
        <f>IF(Table_Controls_Input[[#This Row],[Per-unit incentive]]="","",Table_Controls_Input[[#This Row],[Total equipment cost]]+Table_Controls_Input[[#This Row],[Total labor cost]])</f>
        <v/>
      </c>
      <c r="Q106" s="67" t="str">
        <f>IFERROR(Table_Controls_Input[[#This Row],[Gross measure cost]]-Table_Controls_Input[[#This Row],[Estimated incentive]], "")</f>
        <v/>
      </c>
      <c r="R106" s="69" t="str">
        <f>IFERROR(Table_Controls_Input[[#This Row],[Net measure cost]]/Table_Controls_Input[[#This Row],[Cost savings]],"")</f>
        <v/>
      </c>
      <c r="S106" s="74" t="e">
        <f>INDEX(Table_Control_PAF[PAF], MATCH(Table_Controls_Input[[#This Row],[Existing lighting controls]], Table_Control_PAF[List_Control_Types], 0))</f>
        <v>#N/A</v>
      </c>
      <c r="T106" s="74" t="e">
        <f>INDEX(Table_Measure_PAF[Proposed PAF], MATCH(Table_Controls_Input[[#This Row],[Prescriptive control measure]], Table_Measure_PAF[List_Control_Measure], 0))</f>
        <v>#N/A</v>
      </c>
      <c r="U106" s="74" t="e">
        <f>INDEX(Table_Prescript_Meas[AOH Type], MATCH(Table_Controls_Input[[#This Row],[Measure number]],Table_Prescript_Meas[Measure Number], 0))</f>
        <v>#N/A</v>
      </c>
      <c r="V106" s="74" t="e">
        <f>INDEX(Table_Prescript_Meas[AOH Type], MATCH(Table_Controls_Input[[#This Row],[Measure number]], Table_Prescript_Meas[Measure Number],0))</f>
        <v>#N/A</v>
      </c>
      <c r="W106"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06" s="4"/>
      <c r="Y106" s="4"/>
      <c r="Z106" s="4"/>
      <c r="AA106" s="4"/>
      <c r="AB106" s="4"/>
      <c r="AC106" s="4"/>
      <c r="AD106" s="4"/>
      <c r="AE106" s="4"/>
      <c r="AF106" s="4"/>
      <c r="AG106" s="4"/>
      <c r="AH106" s="4"/>
      <c r="AI106" s="4"/>
      <c r="AJ106" s="4"/>
      <c r="AK106" s="4"/>
      <c r="AL106" s="4"/>
      <c r="AM106" s="4"/>
      <c r="AN106" s="4"/>
      <c r="AO106" s="4"/>
      <c r="AP106" s="4"/>
      <c r="AQ106" s="4"/>
      <c r="AR106" s="4"/>
      <c r="AS106" s="4"/>
    </row>
    <row r="107" spans="1:45" x14ac:dyDescent="0.2">
      <c r="A107" s="4"/>
      <c r="B107" s="63">
        <v>103</v>
      </c>
      <c r="C107" s="61" t="str">
        <f>IFERROR(INDEX(Table_Prescript_Meas[Measure Number], MATCH(E107, Table_Prescript_Meas[Measure Description], 0)), "")</f>
        <v/>
      </c>
      <c r="D107" s="192"/>
      <c r="E107" s="179"/>
      <c r="F107" s="197"/>
      <c r="G107" s="179"/>
      <c r="H107" s="179"/>
      <c r="I107" s="181"/>
      <c r="J107" s="181"/>
      <c r="K107"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07" s="67" t="str">
        <f>IFERROR(Table_Controls_Input[[#This Row],[Per-unit incentive]]*Table_Controls_Input[[#This Row],[Quantity (Sensors/controller units)]],"")</f>
        <v/>
      </c>
      <c r="M107"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07"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07" s="67" t="str">
        <f t="shared" si="1"/>
        <v/>
      </c>
      <c r="P107" s="67" t="str">
        <f>IF(Table_Controls_Input[[#This Row],[Per-unit incentive]]="","",Table_Controls_Input[[#This Row],[Total equipment cost]]+Table_Controls_Input[[#This Row],[Total labor cost]])</f>
        <v/>
      </c>
      <c r="Q107" s="67" t="str">
        <f>IFERROR(Table_Controls_Input[[#This Row],[Gross measure cost]]-Table_Controls_Input[[#This Row],[Estimated incentive]], "")</f>
        <v/>
      </c>
      <c r="R107" s="69" t="str">
        <f>IFERROR(Table_Controls_Input[[#This Row],[Net measure cost]]/Table_Controls_Input[[#This Row],[Cost savings]],"")</f>
        <v/>
      </c>
      <c r="S107" s="74" t="e">
        <f>INDEX(Table_Control_PAF[PAF], MATCH(Table_Controls_Input[[#This Row],[Existing lighting controls]], Table_Control_PAF[List_Control_Types], 0))</f>
        <v>#N/A</v>
      </c>
      <c r="T107" s="74" t="e">
        <f>INDEX(Table_Measure_PAF[Proposed PAF], MATCH(Table_Controls_Input[[#This Row],[Prescriptive control measure]], Table_Measure_PAF[List_Control_Measure], 0))</f>
        <v>#N/A</v>
      </c>
      <c r="U107" s="74" t="e">
        <f>INDEX(Table_Prescript_Meas[AOH Type], MATCH(Table_Controls_Input[[#This Row],[Measure number]],Table_Prescript_Meas[Measure Number], 0))</f>
        <v>#N/A</v>
      </c>
      <c r="V107" s="74" t="e">
        <f>INDEX(Table_Prescript_Meas[AOH Type], MATCH(Table_Controls_Input[[#This Row],[Measure number]], Table_Prescript_Meas[Measure Number],0))</f>
        <v>#N/A</v>
      </c>
      <c r="W107"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07" s="4"/>
      <c r="Y107" s="4"/>
      <c r="Z107" s="4"/>
      <c r="AA107" s="4"/>
      <c r="AB107" s="4"/>
      <c r="AC107" s="4"/>
      <c r="AD107" s="4"/>
      <c r="AE107" s="4"/>
      <c r="AF107" s="4"/>
      <c r="AG107" s="4"/>
      <c r="AH107" s="4"/>
      <c r="AI107" s="4"/>
      <c r="AJ107" s="4"/>
      <c r="AK107" s="4"/>
      <c r="AL107" s="4"/>
      <c r="AM107" s="4"/>
      <c r="AN107" s="4"/>
      <c r="AO107" s="4"/>
      <c r="AP107" s="4"/>
      <c r="AQ107" s="4"/>
      <c r="AR107" s="4"/>
      <c r="AS107" s="4"/>
    </row>
    <row r="108" spans="1:45" x14ac:dyDescent="0.2">
      <c r="A108" s="4"/>
      <c r="B108" s="63">
        <v>104</v>
      </c>
      <c r="C108" s="61" t="str">
        <f>IFERROR(INDEX(Table_Prescript_Meas[Measure Number], MATCH(E108, Table_Prescript_Meas[Measure Description], 0)), "")</f>
        <v/>
      </c>
      <c r="D108" s="192"/>
      <c r="E108" s="179"/>
      <c r="F108" s="197"/>
      <c r="G108" s="179"/>
      <c r="H108" s="179"/>
      <c r="I108" s="181"/>
      <c r="J108" s="181"/>
      <c r="K108"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08" s="67" t="str">
        <f>IFERROR(Table_Controls_Input[[#This Row],[Per-unit incentive]]*Table_Controls_Input[[#This Row],[Quantity (Sensors/controller units)]],"")</f>
        <v/>
      </c>
      <c r="M108"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08"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08" s="67" t="str">
        <f t="shared" si="1"/>
        <v/>
      </c>
      <c r="P108" s="67" t="str">
        <f>IF(Table_Controls_Input[[#This Row],[Per-unit incentive]]="","",Table_Controls_Input[[#This Row],[Total equipment cost]]+Table_Controls_Input[[#This Row],[Total labor cost]])</f>
        <v/>
      </c>
      <c r="Q108" s="67" t="str">
        <f>IFERROR(Table_Controls_Input[[#This Row],[Gross measure cost]]-Table_Controls_Input[[#This Row],[Estimated incentive]], "")</f>
        <v/>
      </c>
      <c r="R108" s="69" t="str">
        <f>IFERROR(Table_Controls_Input[[#This Row],[Net measure cost]]/Table_Controls_Input[[#This Row],[Cost savings]],"")</f>
        <v/>
      </c>
      <c r="S108" s="74" t="e">
        <f>INDEX(Table_Control_PAF[PAF], MATCH(Table_Controls_Input[[#This Row],[Existing lighting controls]], Table_Control_PAF[List_Control_Types], 0))</f>
        <v>#N/A</v>
      </c>
      <c r="T108" s="74" t="e">
        <f>INDEX(Table_Measure_PAF[Proposed PAF], MATCH(Table_Controls_Input[[#This Row],[Prescriptive control measure]], Table_Measure_PAF[List_Control_Measure], 0))</f>
        <v>#N/A</v>
      </c>
      <c r="U108" s="74" t="e">
        <f>INDEX(Table_Prescript_Meas[AOH Type], MATCH(Table_Controls_Input[[#This Row],[Measure number]],Table_Prescript_Meas[Measure Number], 0))</f>
        <v>#N/A</v>
      </c>
      <c r="V108" s="74" t="e">
        <f>INDEX(Table_Prescript_Meas[AOH Type], MATCH(Table_Controls_Input[[#This Row],[Measure number]], Table_Prescript_Meas[Measure Number],0))</f>
        <v>#N/A</v>
      </c>
      <c r="W108"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08" s="4"/>
      <c r="Y108" s="4"/>
      <c r="Z108" s="4"/>
      <c r="AA108" s="4"/>
      <c r="AB108" s="4"/>
      <c r="AC108" s="4"/>
      <c r="AD108" s="4"/>
      <c r="AE108" s="4"/>
      <c r="AF108" s="4"/>
      <c r="AG108" s="4"/>
      <c r="AH108" s="4"/>
      <c r="AI108" s="4"/>
      <c r="AJ108" s="4"/>
      <c r="AK108" s="4"/>
      <c r="AL108" s="4"/>
      <c r="AM108" s="4"/>
      <c r="AN108" s="4"/>
      <c r="AO108" s="4"/>
      <c r="AP108" s="4"/>
      <c r="AQ108" s="4"/>
      <c r="AR108" s="4"/>
      <c r="AS108" s="4"/>
    </row>
    <row r="109" spans="1:45" x14ac:dyDescent="0.2">
      <c r="A109" s="4"/>
      <c r="B109" s="63">
        <v>105</v>
      </c>
      <c r="C109" s="61" t="str">
        <f>IFERROR(INDEX(Table_Prescript_Meas[Measure Number], MATCH(E109, Table_Prescript_Meas[Measure Description], 0)), "")</f>
        <v/>
      </c>
      <c r="D109" s="192"/>
      <c r="E109" s="179"/>
      <c r="F109" s="197"/>
      <c r="G109" s="179"/>
      <c r="H109" s="179"/>
      <c r="I109" s="181"/>
      <c r="J109" s="181"/>
      <c r="K109"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09" s="67" t="str">
        <f>IFERROR(Table_Controls_Input[[#This Row],[Per-unit incentive]]*Table_Controls_Input[[#This Row],[Quantity (Sensors/controller units)]],"")</f>
        <v/>
      </c>
      <c r="M109"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09"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09" s="67" t="str">
        <f t="shared" si="1"/>
        <v/>
      </c>
      <c r="P109" s="67" t="str">
        <f>IF(Table_Controls_Input[[#This Row],[Per-unit incentive]]="","",Table_Controls_Input[[#This Row],[Total equipment cost]]+Table_Controls_Input[[#This Row],[Total labor cost]])</f>
        <v/>
      </c>
      <c r="Q109" s="67" t="str">
        <f>IFERROR(Table_Controls_Input[[#This Row],[Gross measure cost]]-Table_Controls_Input[[#This Row],[Estimated incentive]], "")</f>
        <v/>
      </c>
      <c r="R109" s="69" t="str">
        <f>IFERROR(Table_Controls_Input[[#This Row],[Net measure cost]]/Table_Controls_Input[[#This Row],[Cost savings]],"")</f>
        <v/>
      </c>
      <c r="S109" s="74" t="e">
        <f>INDEX(Table_Control_PAF[PAF], MATCH(Table_Controls_Input[[#This Row],[Existing lighting controls]], Table_Control_PAF[List_Control_Types], 0))</f>
        <v>#N/A</v>
      </c>
      <c r="T109" s="74" t="e">
        <f>INDEX(Table_Measure_PAF[Proposed PAF], MATCH(Table_Controls_Input[[#This Row],[Prescriptive control measure]], Table_Measure_PAF[List_Control_Measure], 0))</f>
        <v>#N/A</v>
      </c>
      <c r="U109" s="74" t="e">
        <f>INDEX(Table_Prescript_Meas[AOH Type], MATCH(Table_Controls_Input[[#This Row],[Measure number]],Table_Prescript_Meas[Measure Number], 0))</f>
        <v>#N/A</v>
      </c>
      <c r="V109" s="74" t="e">
        <f>INDEX(Table_Prescript_Meas[AOH Type], MATCH(Table_Controls_Input[[#This Row],[Measure number]], Table_Prescript_Meas[Measure Number],0))</f>
        <v>#N/A</v>
      </c>
      <c r="W109"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09" s="4"/>
      <c r="Y109" s="4"/>
      <c r="Z109" s="4"/>
      <c r="AA109" s="4"/>
      <c r="AB109" s="4"/>
      <c r="AC109" s="4"/>
      <c r="AD109" s="4"/>
      <c r="AE109" s="4"/>
      <c r="AF109" s="4"/>
      <c r="AG109" s="4"/>
      <c r="AH109" s="4"/>
      <c r="AI109" s="4"/>
      <c r="AJ109" s="4"/>
      <c r="AK109" s="4"/>
      <c r="AL109" s="4"/>
      <c r="AM109" s="4"/>
      <c r="AN109" s="4"/>
      <c r="AO109" s="4"/>
      <c r="AP109" s="4"/>
      <c r="AQ109" s="4"/>
      <c r="AR109" s="4"/>
      <c r="AS109" s="4"/>
    </row>
    <row r="110" spans="1:45" x14ac:dyDescent="0.2">
      <c r="A110" s="4"/>
      <c r="B110" s="63">
        <v>106</v>
      </c>
      <c r="C110" s="61" t="str">
        <f>IFERROR(INDEX(Table_Prescript_Meas[Measure Number], MATCH(E110, Table_Prescript_Meas[Measure Description], 0)), "")</f>
        <v/>
      </c>
      <c r="D110" s="192"/>
      <c r="E110" s="179"/>
      <c r="F110" s="197"/>
      <c r="G110" s="179"/>
      <c r="H110" s="179"/>
      <c r="I110" s="181"/>
      <c r="J110" s="181"/>
      <c r="K110"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10" s="67" t="str">
        <f>IFERROR(Table_Controls_Input[[#This Row],[Per-unit incentive]]*Table_Controls_Input[[#This Row],[Quantity (Sensors/controller units)]],"")</f>
        <v/>
      </c>
      <c r="M110"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10"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10" s="67" t="str">
        <f t="shared" si="1"/>
        <v/>
      </c>
      <c r="P110" s="67" t="str">
        <f>IF(Table_Controls_Input[[#This Row],[Per-unit incentive]]="","",Table_Controls_Input[[#This Row],[Total equipment cost]]+Table_Controls_Input[[#This Row],[Total labor cost]])</f>
        <v/>
      </c>
      <c r="Q110" s="67" t="str">
        <f>IFERROR(Table_Controls_Input[[#This Row],[Gross measure cost]]-Table_Controls_Input[[#This Row],[Estimated incentive]], "")</f>
        <v/>
      </c>
      <c r="R110" s="69" t="str">
        <f>IFERROR(Table_Controls_Input[[#This Row],[Net measure cost]]/Table_Controls_Input[[#This Row],[Cost savings]],"")</f>
        <v/>
      </c>
      <c r="S110" s="74" t="e">
        <f>INDEX(Table_Control_PAF[PAF], MATCH(Table_Controls_Input[[#This Row],[Existing lighting controls]], Table_Control_PAF[List_Control_Types], 0))</f>
        <v>#N/A</v>
      </c>
      <c r="T110" s="74" t="e">
        <f>INDEX(Table_Measure_PAF[Proposed PAF], MATCH(Table_Controls_Input[[#This Row],[Prescriptive control measure]], Table_Measure_PAF[List_Control_Measure], 0))</f>
        <v>#N/A</v>
      </c>
      <c r="U110" s="74" t="e">
        <f>INDEX(Table_Prescript_Meas[AOH Type], MATCH(Table_Controls_Input[[#This Row],[Measure number]],Table_Prescript_Meas[Measure Number], 0))</f>
        <v>#N/A</v>
      </c>
      <c r="V110" s="74" t="e">
        <f>INDEX(Table_Prescript_Meas[AOH Type], MATCH(Table_Controls_Input[[#This Row],[Measure number]], Table_Prescript_Meas[Measure Number],0))</f>
        <v>#N/A</v>
      </c>
      <c r="W110"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10" s="4"/>
      <c r="Y110" s="4"/>
      <c r="Z110" s="4"/>
      <c r="AA110" s="4"/>
      <c r="AB110" s="4"/>
      <c r="AC110" s="4"/>
      <c r="AD110" s="4"/>
      <c r="AE110" s="4"/>
      <c r="AF110" s="4"/>
      <c r="AG110" s="4"/>
      <c r="AH110" s="4"/>
      <c r="AI110" s="4"/>
      <c r="AJ110" s="4"/>
      <c r="AK110" s="4"/>
      <c r="AL110" s="4"/>
      <c r="AM110" s="4"/>
      <c r="AN110" s="4"/>
      <c r="AO110" s="4"/>
      <c r="AP110" s="4"/>
      <c r="AQ110" s="4"/>
      <c r="AR110" s="4"/>
      <c r="AS110" s="4"/>
    </row>
    <row r="111" spans="1:45" x14ac:dyDescent="0.2">
      <c r="A111" s="4"/>
      <c r="B111" s="63">
        <v>107</v>
      </c>
      <c r="C111" s="61" t="str">
        <f>IFERROR(INDEX(Table_Prescript_Meas[Measure Number], MATCH(E111, Table_Prescript_Meas[Measure Description], 0)), "")</f>
        <v/>
      </c>
      <c r="D111" s="192"/>
      <c r="E111" s="179"/>
      <c r="F111" s="197"/>
      <c r="G111" s="179"/>
      <c r="H111" s="179"/>
      <c r="I111" s="181"/>
      <c r="J111" s="181"/>
      <c r="K111"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11" s="67" t="str">
        <f>IFERROR(Table_Controls_Input[[#This Row],[Per-unit incentive]]*Table_Controls_Input[[#This Row],[Quantity (Sensors/controller units)]],"")</f>
        <v/>
      </c>
      <c r="M111"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11"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11" s="67" t="str">
        <f t="shared" si="1"/>
        <v/>
      </c>
      <c r="P111" s="67" t="str">
        <f>IF(Table_Controls_Input[[#This Row],[Per-unit incentive]]="","",Table_Controls_Input[[#This Row],[Total equipment cost]]+Table_Controls_Input[[#This Row],[Total labor cost]])</f>
        <v/>
      </c>
      <c r="Q111" s="67" t="str">
        <f>IFERROR(Table_Controls_Input[[#This Row],[Gross measure cost]]-Table_Controls_Input[[#This Row],[Estimated incentive]], "")</f>
        <v/>
      </c>
      <c r="R111" s="69" t="str">
        <f>IFERROR(Table_Controls_Input[[#This Row],[Net measure cost]]/Table_Controls_Input[[#This Row],[Cost savings]],"")</f>
        <v/>
      </c>
      <c r="S111" s="74" t="e">
        <f>INDEX(Table_Control_PAF[PAF], MATCH(Table_Controls_Input[[#This Row],[Existing lighting controls]], Table_Control_PAF[List_Control_Types], 0))</f>
        <v>#N/A</v>
      </c>
      <c r="T111" s="74" t="e">
        <f>INDEX(Table_Measure_PAF[Proposed PAF], MATCH(Table_Controls_Input[[#This Row],[Prescriptive control measure]], Table_Measure_PAF[List_Control_Measure], 0))</f>
        <v>#N/A</v>
      </c>
      <c r="U111" s="74" t="e">
        <f>INDEX(Table_Prescript_Meas[AOH Type], MATCH(Table_Controls_Input[[#This Row],[Measure number]],Table_Prescript_Meas[Measure Number], 0))</f>
        <v>#N/A</v>
      </c>
      <c r="V111" s="74" t="e">
        <f>INDEX(Table_Prescript_Meas[AOH Type], MATCH(Table_Controls_Input[[#This Row],[Measure number]], Table_Prescript_Meas[Measure Number],0))</f>
        <v>#N/A</v>
      </c>
      <c r="W111"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11" s="4"/>
      <c r="Y111" s="4"/>
      <c r="Z111" s="4"/>
      <c r="AA111" s="4"/>
      <c r="AB111" s="4"/>
      <c r="AC111" s="4"/>
      <c r="AD111" s="4"/>
      <c r="AE111" s="4"/>
      <c r="AF111" s="4"/>
      <c r="AG111" s="4"/>
      <c r="AH111" s="4"/>
      <c r="AI111" s="4"/>
      <c r="AJ111" s="4"/>
      <c r="AK111" s="4"/>
      <c r="AL111" s="4"/>
      <c r="AM111" s="4"/>
      <c r="AN111" s="4"/>
      <c r="AO111" s="4"/>
      <c r="AP111" s="4"/>
      <c r="AQ111" s="4"/>
      <c r="AR111" s="4"/>
      <c r="AS111" s="4"/>
    </row>
    <row r="112" spans="1:45" x14ac:dyDescent="0.2">
      <c r="A112" s="4"/>
      <c r="B112" s="63">
        <v>108</v>
      </c>
      <c r="C112" s="61" t="str">
        <f>IFERROR(INDEX(Table_Prescript_Meas[Measure Number], MATCH(E112, Table_Prescript_Meas[Measure Description], 0)), "")</f>
        <v/>
      </c>
      <c r="D112" s="192"/>
      <c r="E112" s="179"/>
      <c r="F112" s="197"/>
      <c r="G112" s="179"/>
      <c r="H112" s="179"/>
      <c r="I112" s="181"/>
      <c r="J112" s="181"/>
      <c r="K112"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12" s="67" t="str">
        <f>IFERROR(Table_Controls_Input[[#This Row],[Per-unit incentive]]*Table_Controls_Input[[#This Row],[Quantity (Sensors/controller units)]],"")</f>
        <v/>
      </c>
      <c r="M112"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12"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12" s="67" t="str">
        <f t="shared" si="1"/>
        <v/>
      </c>
      <c r="P112" s="67" t="str">
        <f>IF(Table_Controls_Input[[#This Row],[Per-unit incentive]]="","",Table_Controls_Input[[#This Row],[Total equipment cost]]+Table_Controls_Input[[#This Row],[Total labor cost]])</f>
        <v/>
      </c>
      <c r="Q112" s="67" t="str">
        <f>IFERROR(Table_Controls_Input[[#This Row],[Gross measure cost]]-Table_Controls_Input[[#This Row],[Estimated incentive]], "")</f>
        <v/>
      </c>
      <c r="R112" s="69" t="str">
        <f>IFERROR(Table_Controls_Input[[#This Row],[Net measure cost]]/Table_Controls_Input[[#This Row],[Cost savings]],"")</f>
        <v/>
      </c>
      <c r="S112" s="74" t="e">
        <f>INDEX(Table_Control_PAF[PAF], MATCH(Table_Controls_Input[[#This Row],[Existing lighting controls]], Table_Control_PAF[List_Control_Types], 0))</f>
        <v>#N/A</v>
      </c>
      <c r="T112" s="74" t="e">
        <f>INDEX(Table_Measure_PAF[Proposed PAF], MATCH(Table_Controls_Input[[#This Row],[Prescriptive control measure]], Table_Measure_PAF[List_Control_Measure], 0))</f>
        <v>#N/A</v>
      </c>
      <c r="U112" s="74" t="e">
        <f>INDEX(Table_Prescript_Meas[AOH Type], MATCH(Table_Controls_Input[[#This Row],[Measure number]],Table_Prescript_Meas[Measure Number], 0))</f>
        <v>#N/A</v>
      </c>
      <c r="V112" s="74" t="e">
        <f>INDEX(Table_Prescript_Meas[AOH Type], MATCH(Table_Controls_Input[[#This Row],[Measure number]], Table_Prescript_Meas[Measure Number],0))</f>
        <v>#N/A</v>
      </c>
      <c r="W112"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12" s="4"/>
      <c r="Y112" s="4"/>
      <c r="Z112" s="4"/>
      <c r="AA112" s="4"/>
      <c r="AB112" s="4"/>
      <c r="AC112" s="4"/>
      <c r="AD112" s="4"/>
      <c r="AE112" s="4"/>
      <c r="AF112" s="4"/>
      <c r="AG112" s="4"/>
      <c r="AH112" s="4"/>
      <c r="AI112" s="4"/>
      <c r="AJ112" s="4"/>
      <c r="AK112" s="4"/>
      <c r="AL112" s="4"/>
      <c r="AM112" s="4"/>
      <c r="AN112" s="4"/>
      <c r="AO112" s="4"/>
      <c r="AP112" s="4"/>
      <c r="AQ112" s="4"/>
      <c r="AR112" s="4"/>
      <c r="AS112" s="4"/>
    </row>
    <row r="113" spans="1:45" x14ac:dyDescent="0.2">
      <c r="A113" s="4"/>
      <c r="B113" s="63">
        <v>109</v>
      </c>
      <c r="C113" s="61" t="str">
        <f>IFERROR(INDEX(Table_Prescript_Meas[Measure Number], MATCH(E113, Table_Prescript_Meas[Measure Description], 0)), "")</f>
        <v/>
      </c>
      <c r="D113" s="192"/>
      <c r="E113" s="179"/>
      <c r="F113" s="197"/>
      <c r="G113" s="179"/>
      <c r="H113" s="179"/>
      <c r="I113" s="181"/>
      <c r="J113" s="181"/>
      <c r="K113"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13" s="67" t="str">
        <f>IFERROR(Table_Controls_Input[[#This Row],[Per-unit incentive]]*Table_Controls_Input[[#This Row],[Quantity (Sensors/controller units)]],"")</f>
        <v/>
      </c>
      <c r="M113"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13"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13" s="67" t="str">
        <f t="shared" si="1"/>
        <v/>
      </c>
      <c r="P113" s="67" t="str">
        <f>IF(Table_Controls_Input[[#This Row],[Per-unit incentive]]="","",Table_Controls_Input[[#This Row],[Total equipment cost]]+Table_Controls_Input[[#This Row],[Total labor cost]])</f>
        <v/>
      </c>
      <c r="Q113" s="67" t="str">
        <f>IFERROR(Table_Controls_Input[[#This Row],[Gross measure cost]]-Table_Controls_Input[[#This Row],[Estimated incentive]], "")</f>
        <v/>
      </c>
      <c r="R113" s="69" t="str">
        <f>IFERROR(Table_Controls_Input[[#This Row],[Net measure cost]]/Table_Controls_Input[[#This Row],[Cost savings]],"")</f>
        <v/>
      </c>
      <c r="S113" s="74" t="e">
        <f>INDEX(Table_Control_PAF[PAF], MATCH(Table_Controls_Input[[#This Row],[Existing lighting controls]], Table_Control_PAF[List_Control_Types], 0))</f>
        <v>#N/A</v>
      </c>
      <c r="T113" s="74" t="e">
        <f>INDEX(Table_Measure_PAF[Proposed PAF], MATCH(Table_Controls_Input[[#This Row],[Prescriptive control measure]], Table_Measure_PAF[List_Control_Measure], 0))</f>
        <v>#N/A</v>
      </c>
      <c r="U113" s="74" t="e">
        <f>INDEX(Table_Prescript_Meas[AOH Type], MATCH(Table_Controls_Input[[#This Row],[Measure number]],Table_Prescript_Meas[Measure Number], 0))</f>
        <v>#N/A</v>
      </c>
      <c r="V113" s="74" t="e">
        <f>INDEX(Table_Prescript_Meas[AOH Type], MATCH(Table_Controls_Input[[#This Row],[Measure number]], Table_Prescript_Meas[Measure Number],0))</f>
        <v>#N/A</v>
      </c>
      <c r="W113"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13" s="4"/>
      <c r="Y113" s="4"/>
      <c r="Z113" s="4"/>
      <c r="AA113" s="4"/>
      <c r="AB113" s="4"/>
      <c r="AC113" s="4"/>
      <c r="AD113" s="4"/>
      <c r="AE113" s="4"/>
      <c r="AF113" s="4"/>
      <c r="AG113" s="4"/>
      <c r="AH113" s="4"/>
      <c r="AI113" s="4"/>
      <c r="AJ113" s="4"/>
      <c r="AK113" s="4"/>
      <c r="AL113" s="4"/>
      <c r="AM113" s="4"/>
      <c r="AN113" s="4"/>
      <c r="AO113" s="4"/>
      <c r="AP113" s="4"/>
      <c r="AQ113" s="4"/>
      <c r="AR113" s="4"/>
      <c r="AS113" s="4"/>
    </row>
    <row r="114" spans="1:45" x14ac:dyDescent="0.2">
      <c r="A114" s="4"/>
      <c r="B114" s="63">
        <v>110</v>
      </c>
      <c r="C114" s="61" t="str">
        <f>IFERROR(INDEX(Table_Prescript_Meas[Measure Number], MATCH(E114, Table_Prescript_Meas[Measure Description], 0)), "")</f>
        <v/>
      </c>
      <c r="D114" s="192"/>
      <c r="E114" s="179"/>
      <c r="F114" s="197"/>
      <c r="G114" s="179"/>
      <c r="H114" s="179"/>
      <c r="I114" s="181"/>
      <c r="J114" s="181"/>
      <c r="K114"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14" s="67" t="str">
        <f>IFERROR(Table_Controls_Input[[#This Row],[Per-unit incentive]]*Table_Controls_Input[[#This Row],[Quantity (Sensors/controller units)]],"")</f>
        <v/>
      </c>
      <c r="M114"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14"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14" s="67" t="str">
        <f t="shared" si="1"/>
        <v/>
      </c>
      <c r="P114" s="67" t="str">
        <f>IF(Table_Controls_Input[[#This Row],[Per-unit incentive]]="","",Table_Controls_Input[[#This Row],[Total equipment cost]]+Table_Controls_Input[[#This Row],[Total labor cost]])</f>
        <v/>
      </c>
      <c r="Q114" s="67" t="str">
        <f>IFERROR(Table_Controls_Input[[#This Row],[Gross measure cost]]-Table_Controls_Input[[#This Row],[Estimated incentive]], "")</f>
        <v/>
      </c>
      <c r="R114" s="69" t="str">
        <f>IFERROR(Table_Controls_Input[[#This Row],[Net measure cost]]/Table_Controls_Input[[#This Row],[Cost savings]],"")</f>
        <v/>
      </c>
      <c r="S114" s="74" t="e">
        <f>INDEX(Table_Control_PAF[PAF], MATCH(Table_Controls_Input[[#This Row],[Existing lighting controls]], Table_Control_PAF[List_Control_Types], 0))</f>
        <v>#N/A</v>
      </c>
      <c r="T114" s="74" t="e">
        <f>INDEX(Table_Measure_PAF[Proposed PAF], MATCH(Table_Controls_Input[[#This Row],[Prescriptive control measure]], Table_Measure_PAF[List_Control_Measure], 0))</f>
        <v>#N/A</v>
      </c>
      <c r="U114" s="74" t="e">
        <f>INDEX(Table_Prescript_Meas[AOH Type], MATCH(Table_Controls_Input[[#This Row],[Measure number]],Table_Prescript_Meas[Measure Number], 0))</f>
        <v>#N/A</v>
      </c>
      <c r="V114" s="74" t="e">
        <f>INDEX(Table_Prescript_Meas[AOH Type], MATCH(Table_Controls_Input[[#This Row],[Measure number]], Table_Prescript_Meas[Measure Number],0))</f>
        <v>#N/A</v>
      </c>
      <c r="W114"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14" s="4"/>
      <c r="Y114" s="4"/>
      <c r="Z114" s="4"/>
      <c r="AA114" s="4"/>
      <c r="AB114" s="4"/>
      <c r="AC114" s="4"/>
      <c r="AD114" s="4"/>
      <c r="AE114" s="4"/>
      <c r="AF114" s="4"/>
      <c r="AG114" s="4"/>
      <c r="AH114" s="4"/>
      <c r="AI114" s="4"/>
      <c r="AJ114" s="4"/>
      <c r="AK114" s="4"/>
      <c r="AL114" s="4"/>
      <c r="AM114" s="4"/>
      <c r="AN114" s="4"/>
      <c r="AO114" s="4"/>
      <c r="AP114" s="4"/>
      <c r="AQ114" s="4"/>
      <c r="AR114" s="4"/>
      <c r="AS114" s="4"/>
    </row>
    <row r="115" spans="1:45" x14ac:dyDescent="0.2">
      <c r="A115" s="4"/>
      <c r="B115" s="63">
        <v>111</v>
      </c>
      <c r="C115" s="61" t="str">
        <f>IFERROR(INDEX(Table_Prescript_Meas[Measure Number], MATCH(E115, Table_Prescript_Meas[Measure Description], 0)), "")</f>
        <v/>
      </c>
      <c r="D115" s="192"/>
      <c r="E115" s="179"/>
      <c r="F115" s="197"/>
      <c r="G115" s="179"/>
      <c r="H115" s="179"/>
      <c r="I115" s="181"/>
      <c r="J115" s="181"/>
      <c r="K115"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15" s="67" t="str">
        <f>IFERROR(Table_Controls_Input[[#This Row],[Per-unit incentive]]*Table_Controls_Input[[#This Row],[Quantity (Sensors/controller units)]],"")</f>
        <v/>
      </c>
      <c r="M115"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15"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15" s="67" t="str">
        <f t="shared" si="1"/>
        <v/>
      </c>
      <c r="P115" s="67" t="str">
        <f>IF(Table_Controls_Input[[#This Row],[Per-unit incentive]]="","",Table_Controls_Input[[#This Row],[Total equipment cost]]+Table_Controls_Input[[#This Row],[Total labor cost]])</f>
        <v/>
      </c>
      <c r="Q115" s="67" t="str">
        <f>IFERROR(Table_Controls_Input[[#This Row],[Gross measure cost]]-Table_Controls_Input[[#This Row],[Estimated incentive]], "")</f>
        <v/>
      </c>
      <c r="R115" s="69" t="str">
        <f>IFERROR(Table_Controls_Input[[#This Row],[Net measure cost]]/Table_Controls_Input[[#This Row],[Cost savings]],"")</f>
        <v/>
      </c>
      <c r="S115" s="74" t="e">
        <f>INDEX(Table_Control_PAF[PAF], MATCH(Table_Controls_Input[[#This Row],[Existing lighting controls]], Table_Control_PAF[List_Control_Types], 0))</f>
        <v>#N/A</v>
      </c>
      <c r="T115" s="74" t="e">
        <f>INDEX(Table_Measure_PAF[Proposed PAF], MATCH(Table_Controls_Input[[#This Row],[Prescriptive control measure]], Table_Measure_PAF[List_Control_Measure], 0))</f>
        <v>#N/A</v>
      </c>
      <c r="U115" s="74" t="e">
        <f>INDEX(Table_Prescript_Meas[AOH Type], MATCH(Table_Controls_Input[[#This Row],[Measure number]],Table_Prescript_Meas[Measure Number], 0))</f>
        <v>#N/A</v>
      </c>
      <c r="V115" s="74" t="e">
        <f>INDEX(Table_Prescript_Meas[AOH Type], MATCH(Table_Controls_Input[[#This Row],[Measure number]], Table_Prescript_Meas[Measure Number],0))</f>
        <v>#N/A</v>
      </c>
      <c r="W115"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15" s="4"/>
      <c r="Y115" s="4"/>
      <c r="Z115" s="4"/>
      <c r="AA115" s="4"/>
      <c r="AB115" s="4"/>
      <c r="AC115" s="4"/>
      <c r="AD115" s="4"/>
      <c r="AE115" s="4"/>
      <c r="AF115" s="4"/>
      <c r="AG115" s="4"/>
      <c r="AH115" s="4"/>
      <c r="AI115" s="4"/>
      <c r="AJ115" s="4"/>
      <c r="AK115" s="4"/>
      <c r="AL115" s="4"/>
      <c r="AM115" s="4"/>
      <c r="AN115" s="4"/>
      <c r="AO115" s="4"/>
      <c r="AP115" s="4"/>
      <c r="AQ115" s="4"/>
      <c r="AR115" s="4"/>
      <c r="AS115" s="4"/>
    </row>
    <row r="116" spans="1:45" x14ac:dyDescent="0.2">
      <c r="A116" s="4"/>
      <c r="B116" s="63">
        <v>112</v>
      </c>
      <c r="C116" s="61" t="str">
        <f>IFERROR(INDEX(Table_Prescript_Meas[Measure Number], MATCH(E116, Table_Prescript_Meas[Measure Description], 0)), "")</f>
        <v/>
      </c>
      <c r="D116" s="192"/>
      <c r="E116" s="179"/>
      <c r="F116" s="197"/>
      <c r="G116" s="179"/>
      <c r="H116" s="179"/>
      <c r="I116" s="181"/>
      <c r="J116" s="181"/>
      <c r="K116"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16" s="67" t="str">
        <f>IFERROR(Table_Controls_Input[[#This Row],[Per-unit incentive]]*Table_Controls_Input[[#This Row],[Quantity (Sensors/controller units)]],"")</f>
        <v/>
      </c>
      <c r="M116"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16"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16" s="67" t="str">
        <f t="shared" si="1"/>
        <v/>
      </c>
      <c r="P116" s="67" t="str">
        <f>IF(Table_Controls_Input[[#This Row],[Per-unit incentive]]="","",Table_Controls_Input[[#This Row],[Total equipment cost]]+Table_Controls_Input[[#This Row],[Total labor cost]])</f>
        <v/>
      </c>
      <c r="Q116" s="67" t="str">
        <f>IFERROR(Table_Controls_Input[[#This Row],[Gross measure cost]]-Table_Controls_Input[[#This Row],[Estimated incentive]], "")</f>
        <v/>
      </c>
      <c r="R116" s="69" t="str">
        <f>IFERROR(Table_Controls_Input[[#This Row],[Net measure cost]]/Table_Controls_Input[[#This Row],[Cost savings]],"")</f>
        <v/>
      </c>
      <c r="S116" s="74" t="e">
        <f>INDEX(Table_Control_PAF[PAF], MATCH(Table_Controls_Input[[#This Row],[Existing lighting controls]], Table_Control_PAF[List_Control_Types], 0))</f>
        <v>#N/A</v>
      </c>
      <c r="T116" s="74" t="e">
        <f>INDEX(Table_Measure_PAF[Proposed PAF], MATCH(Table_Controls_Input[[#This Row],[Prescriptive control measure]], Table_Measure_PAF[List_Control_Measure], 0))</f>
        <v>#N/A</v>
      </c>
      <c r="U116" s="74" t="e">
        <f>INDEX(Table_Prescript_Meas[AOH Type], MATCH(Table_Controls_Input[[#This Row],[Measure number]],Table_Prescript_Meas[Measure Number], 0))</f>
        <v>#N/A</v>
      </c>
      <c r="V116" s="74" t="e">
        <f>INDEX(Table_Prescript_Meas[AOH Type], MATCH(Table_Controls_Input[[#This Row],[Measure number]], Table_Prescript_Meas[Measure Number],0))</f>
        <v>#N/A</v>
      </c>
      <c r="W116"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16" s="4"/>
      <c r="Y116" s="4"/>
      <c r="Z116" s="4"/>
      <c r="AA116" s="4"/>
      <c r="AB116" s="4"/>
      <c r="AC116" s="4"/>
      <c r="AD116" s="4"/>
      <c r="AE116" s="4"/>
      <c r="AF116" s="4"/>
      <c r="AG116" s="4"/>
      <c r="AH116" s="4"/>
      <c r="AI116" s="4"/>
      <c r="AJ116" s="4"/>
      <c r="AK116" s="4"/>
      <c r="AL116" s="4"/>
      <c r="AM116" s="4"/>
      <c r="AN116" s="4"/>
      <c r="AO116" s="4"/>
      <c r="AP116" s="4"/>
      <c r="AQ116" s="4"/>
      <c r="AR116" s="4"/>
      <c r="AS116" s="4"/>
    </row>
    <row r="117" spans="1:45" x14ac:dyDescent="0.2">
      <c r="A117" s="4"/>
      <c r="B117" s="63">
        <v>113</v>
      </c>
      <c r="C117" s="61" t="str">
        <f>IFERROR(INDEX(Table_Prescript_Meas[Measure Number], MATCH(E117, Table_Prescript_Meas[Measure Description], 0)), "")</f>
        <v/>
      </c>
      <c r="D117" s="192"/>
      <c r="E117" s="179"/>
      <c r="F117" s="197"/>
      <c r="G117" s="179"/>
      <c r="H117" s="179"/>
      <c r="I117" s="181"/>
      <c r="J117" s="181"/>
      <c r="K117"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17" s="67" t="str">
        <f>IFERROR(Table_Controls_Input[[#This Row],[Per-unit incentive]]*Table_Controls_Input[[#This Row],[Quantity (Sensors/controller units)]],"")</f>
        <v/>
      </c>
      <c r="M117"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17"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17" s="67" t="str">
        <f t="shared" si="1"/>
        <v/>
      </c>
      <c r="P117" s="67" t="str">
        <f>IF(Table_Controls_Input[[#This Row],[Per-unit incentive]]="","",Table_Controls_Input[[#This Row],[Total equipment cost]]+Table_Controls_Input[[#This Row],[Total labor cost]])</f>
        <v/>
      </c>
      <c r="Q117" s="67" t="str">
        <f>IFERROR(Table_Controls_Input[[#This Row],[Gross measure cost]]-Table_Controls_Input[[#This Row],[Estimated incentive]], "")</f>
        <v/>
      </c>
      <c r="R117" s="69" t="str">
        <f>IFERROR(Table_Controls_Input[[#This Row],[Net measure cost]]/Table_Controls_Input[[#This Row],[Cost savings]],"")</f>
        <v/>
      </c>
      <c r="S117" s="74" t="e">
        <f>INDEX(Table_Control_PAF[PAF], MATCH(Table_Controls_Input[[#This Row],[Existing lighting controls]], Table_Control_PAF[List_Control_Types], 0))</f>
        <v>#N/A</v>
      </c>
      <c r="T117" s="74" t="e">
        <f>INDEX(Table_Measure_PAF[Proposed PAF], MATCH(Table_Controls_Input[[#This Row],[Prescriptive control measure]], Table_Measure_PAF[List_Control_Measure], 0))</f>
        <v>#N/A</v>
      </c>
      <c r="U117" s="74" t="e">
        <f>INDEX(Table_Prescript_Meas[AOH Type], MATCH(Table_Controls_Input[[#This Row],[Measure number]],Table_Prescript_Meas[Measure Number], 0))</f>
        <v>#N/A</v>
      </c>
      <c r="V117" s="74" t="e">
        <f>INDEX(Table_Prescript_Meas[AOH Type], MATCH(Table_Controls_Input[[#This Row],[Measure number]], Table_Prescript_Meas[Measure Number],0))</f>
        <v>#N/A</v>
      </c>
      <c r="W117"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17" s="4"/>
      <c r="Y117" s="4"/>
      <c r="Z117" s="4"/>
      <c r="AA117" s="4"/>
      <c r="AB117" s="4"/>
      <c r="AC117" s="4"/>
      <c r="AD117" s="4"/>
      <c r="AE117" s="4"/>
      <c r="AF117" s="4"/>
      <c r="AG117" s="4"/>
      <c r="AH117" s="4"/>
      <c r="AI117" s="4"/>
      <c r="AJ117" s="4"/>
      <c r="AK117" s="4"/>
      <c r="AL117" s="4"/>
      <c r="AM117" s="4"/>
      <c r="AN117" s="4"/>
      <c r="AO117" s="4"/>
      <c r="AP117" s="4"/>
      <c r="AQ117" s="4"/>
      <c r="AR117" s="4"/>
      <c r="AS117" s="4"/>
    </row>
    <row r="118" spans="1:45" x14ac:dyDescent="0.2">
      <c r="A118" s="4"/>
      <c r="B118" s="63">
        <v>114</v>
      </c>
      <c r="C118" s="61" t="str">
        <f>IFERROR(INDEX(Table_Prescript_Meas[Measure Number], MATCH(E118, Table_Prescript_Meas[Measure Description], 0)), "")</f>
        <v/>
      </c>
      <c r="D118" s="192"/>
      <c r="E118" s="179"/>
      <c r="F118" s="197"/>
      <c r="G118" s="179"/>
      <c r="H118" s="179"/>
      <c r="I118" s="181"/>
      <c r="J118" s="181"/>
      <c r="K118"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18" s="67" t="str">
        <f>IFERROR(Table_Controls_Input[[#This Row],[Per-unit incentive]]*Table_Controls_Input[[#This Row],[Quantity (Sensors/controller units)]],"")</f>
        <v/>
      </c>
      <c r="M118"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18"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18" s="67" t="str">
        <f t="shared" si="1"/>
        <v/>
      </c>
      <c r="P118" s="67" t="str">
        <f>IF(Table_Controls_Input[[#This Row],[Per-unit incentive]]="","",Table_Controls_Input[[#This Row],[Total equipment cost]]+Table_Controls_Input[[#This Row],[Total labor cost]])</f>
        <v/>
      </c>
      <c r="Q118" s="67" t="str">
        <f>IFERROR(Table_Controls_Input[[#This Row],[Gross measure cost]]-Table_Controls_Input[[#This Row],[Estimated incentive]], "")</f>
        <v/>
      </c>
      <c r="R118" s="69" t="str">
        <f>IFERROR(Table_Controls_Input[[#This Row],[Net measure cost]]/Table_Controls_Input[[#This Row],[Cost savings]],"")</f>
        <v/>
      </c>
      <c r="S118" s="74" t="e">
        <f>INDEX(Table_Control_PAF[PAF], MATCH(Table_Controls_Input[[#This Row],[Existing lighting controls]], Table_Control_PAF[List_Control_Types], 0))</f>
        <v>#N/A</v>
      </c>
      <c r="T118" s="74" t="e">
        <f>INDEX(Table_Measure_PAF[Proposed PAF], MATCH(Table_Controls_Input[[#This Row],[Prescriptive control measure]], Table_Measure_PAF[List_Control_Measure], 0))</f>
        <v>#N/A</v>
      </c>
      <c r="U118" s="74" t="e">
        <f>INDEX(Table_Prescript_Meas[AOH Type], MATCH(Table_Controls_Input[[#This Row],[Measure number]],Table_Prescript_Meas[Measure Number], 0))</f>
        <v>#N/A</v>
      </c>
      <c r="V118" s="74" t="e">
        <f>INDEX(Table_Prescript_Meas[AOH Type], MATCH(Table_Controls_Input[[#This Row],[Measure number]], Table_Prescript_Meas[Measure Number],0))</f>
        <v>#N/A</v>
      </c>
      <c r="W118"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18" s="4"/>
      <c r="Y118" s="4"/>
      <c r="Z118" s="4"/>
      <c r="AA118" s="4"/>
      <c r="AB118" s="4"/>
      <c r="AC118" s="4"/>
      <c r="AD118" s="4"/>
      <c r="AE118" s="4"/>
      <c r="AF118" s="4"/>
      <c r="AG118" s="4"/>
      <c r="AH118" s="4"/>
      <c r="AI118" s="4"/>
      <c r="AJ118" s="4"/>
      <c r="AK118" s="4"/>
      <c r="AL118" s="4"/>
      <c r="AM118" s="4"/>
      <c r="AN118" s="4"/>
      <c r="AO118" s="4"/>
      <c r="AP118" s="4"/>
      <c r="AQ118" s="4"/>
      <c r="AR118" s="4"/>
      <c r="AS118" s="4"/>
    </row>
    <row r="119" spans="1:45" x14ac:dyDescent="0.2">
      <c r="A119" s="4"/>
      <c r="B119" s="63">
        <v>115</v>
      </c>
      <c r="C119" s="61" t="str">
        <f>IFERROR(INDEX(Table_Prescript_Meas[Measure Number], MATCH(E119, Table_Prescript_Meas[Measure Description], 0)), "")</f>
        <v/>
      </c>
      <c r="D119" s="192"/>
      <c r="E119" s="179"/>
      <c r="F119" s="197"/>
      <c r="G119" s="179"/>
      <c r="H119" s="179"/>
      <c r="I119" s="181"/>
      <c r="J119" s="181"/>
      <c r="K119"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19" s="67" t="str">
        <f>IFERROR(Table_Controls_Input[[#This Row],[Per-unit incentive]]*Table_Controls_Input[[#This Row],[Quantity (Sensors/controller units)]],"")</f>
        <v/>
      </c>
      <c r="M119"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19"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19" s="67" t="str">
        <f t="shared" si="1"/>
        <v/>
      </c>
      <c r="P119" s="67" t="str">
        <f>IF(Table_Controls_Input[[#This Row],[Per-unit incentive]]="","",Table_Controls_Input[[#This Row],[Total equipment cost]]+Table_Controls_Input[[#This Row],[Total labor cost]])</f>
        <v/>
      </c>
      <c r="Q119" s="67" t="str">
        <f>IFERROR(Table_Controls_Input[[#This Row],[Gross measure cost]]-Table_Controls_Input[[#This Row],[Estimated incentive]], "")</f>
        <v/>
      </c>
      <c r="R119" s="69" t="str">
        <f>IFERROR(Table_Controls_Input[[#This Row],[Net measure cost]]/Table_Controls_Input[[#This Row],[Cost savings]],"")</f>
        <v/>
      </c>
      <c r="S119" s="74" t="e">
        <f>INDEX(Table_Control_PAF[PAF], MATCH(Table_Controls_Input[[#This Row],[Existing lighting controls]], Table_Control_PAF[List_Control_Types], 0))</f>
        <v>#N/A</v>
      </c>
      <c r="T119" s="74" t="e">
        <f>INDEX(Table_Measure_PAF[Proposed PAF], MATCH(Table_Controls_Input[[#This Row],[Prescriptive control measure]], Table_Measure_PAF[List_Control_Measure], 0))</f>
        <v>#N/A</v>
      </c>
      <c r="U119" s="74" t="e">
        <f>INDEX(Table_Prescript_Meas[AOH Type], MATCH(Table_Controls_Input[[#This Row],[Measure number]],Table_Prescript_Meas[Measure Number], 0))</f>
        <v>#N/A</v>
      </c>
      <c r="V119" s="74" t="e">
        <f>INDEX(Table_Prescript_Meas[AOH Type], MATCH(Table_Controls_Input[[#This Row],[Measure number]], Table_Prescript_Meas[Measure Number],0))</f>
        <v>#N/A</v>
      </c>
      <c r="W119"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19" s="4"/>
      <c r="Y119" s="4"/>
      <c r="Z119" s="4"/>
      <c r="AA119" s="4"/>
      <c r="AB119" s="4"/>
      <c r="AC119" s="4"/>
      <c r="AD119" s="4"/>
      <c r="AE119" s="4"/>
      <c r="AF119" s="4"/>
      <c r="AG119" s="4"/>
      <c r="AH119" s="4"/>
      <c r="AI119" s="4"/>
      <c r="AJ119" s="4"/>
      <c r="AK119" s="4"/>
      <c r="AL119" s="4"/>
      <c r="AM119" s="4"/>
      <c r="AN119" s="4"/>
      <c r="AO119" s="4"/>
      <c r="AP119" s="4"/>
      <c r="AQ119" s="4"/>
      <c r="AR119" s="4"/>
      <c r="AS119" s="4"/>
    </row>
    <row r="120" spans="1:45" x14ac:dyDescent="0.2">
      <c r="A120" s="4"/>
      <c r="B120" s="63">
        <v>116</v>
      </c>
      <c r="C120" s="61" t="str">
        <f>IFERROR(INDEX(Table_Prescript_Meas[Measure Number], MATCH(E120, Table_Prescript_Meas[Measure Description], 0)), "")</f>
        <v/>
      </c>
      <c r="D120" s="192"/>
      <c r="E120" s="179"/>
      <c r="F120" s="197"/>
      <c r="G120" s="179"/>
      <c r="H120" s="179"/>
      <c r="I120" s="181"/>
      <c r="J120" s="181"/>
      <c r="K120"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20" s="67" t="str">
        <f>IFERROR(Table_Controls_Input[[#This Row],[Per-unit incentive]]*Table_Controls_Input[[#This Row],[Quantity (Sensors/controller units)]],"")</f>
        <v/>
      </c>
      <c r="M120"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20"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20" s="67" t="str">
        <f t="shared" si="1"/>
        <v/>
      </c>
      <c r="P120" s="67" t="str">
        <f>IF(Table_Controls_Input[[#This Row],[Per-unit incentive]]="","",Table_Controls_Input[[#This Row],[Total equipment cost]]+Table_Controls_Input[[#This Row],[Total labor cost]])</f>
        <v/>
      </c>
      <c r="Q120" s="67" t="str">
        <f>IFERROR(Table_Controls_Input[[#This Row],[Gross measure cost]]-Table_Controls_Input[[#This Row],[Estimated incentive]], "")</f>
        <v/>
      </c>
      <c r="R120" s="69" t="str">
        <f>IFERROR(Table_Controls_Input[[#This Row],[Net measure cost]]/Table_Controls_Input[[#This Row],[Cost savings]],"")</f>
        <v/>
      </c>
      <c r="S120" s="74" t="e">
        <f>INDEX(Table_Control_PAF[PAF], MATCH(Table_Controls_Input[[#This Row],[Existing lighting controls]], Table_Control_PAF[List_Control_Types], 0))</f>
        <v>#N/A</v>
      </c>
      <c r="T120" s="74" t="e">
        <f>INDEX(Table_Measure_PAF[Proposed PAF], MATCH(Table_Controls_Input[[#This Row],[Prescriptive control measure]], Table_Measure_PAF[List_Control_Measure], 0))</f>
        <v>#N/A</v>
      </c>
      <c r="U120" s="74" t="e">
        <f>INDEX(Table_Prescript_Meas[AOH Type], MATCH(Table_Controls_Input[[#This Row],[Measure number]],Table_Prescript_Meas[Measure Number], 0))</f>
        <v>#N/A</v>
      </c>
      <c r="V120" s="74" t="e">
        <f>INDEX(Table_Prescript_Meas[AOH Type], MATCH(Table_Controls_Input[[#This Row],[Measure number]], Table_Prescript_Meas[Measure Number],0))</f>
        <v>#N/A</v>
      </c>
      <c r="W120"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20" s="4"/>
      <c r="Y120" s="4"/>
      <c r="Z120" s="4"/>
      <c r="AA120" s="4"/>
      <c r="AB120" s="4"/>
      <c r="AC120" s="4"/>
      <c r="AD120" s="4"/>
      <c r="AE120" s="4"/>
      <c r="AF120" s="4"/>
      <c r="AG120" s="4"/>
      <c r="AH120" s="4"/>
      <c r="AI120" s="4"/>
      <c r="AJ120" s="4"/>
      <c r="AK120" s="4"/>
      <c r="AL120" s="4"/>
      <c r="AM120" s="4"/>
      <c r="AN120" s="4"/>
      <c r="AO120" s="4"/>
      <c r="AP120" s="4"/>
      <c r="AQ120" s="4"/>
      <c r="AR120" s="4"/>
      <c r="AS120" s="4"/>
    </row>
    <row r="121" spans="1:45" x14ac:dyDescent="0.2">
      <c r="A121" s="4"/>
      <c r="B121" s="63">
        <v>117</v>
      </c>
      <c r="C121" s="61" t="str">
        <f>IFERROR(INDEX(Table_Prescript_Meas[Measure Number], MATCH(E121, Table_Prescript_Meas[Measure Description], 0)), "")</f>
        <v/>
      </c>
      <c r="D121" s="192"/>
      <c r="E121" s="179"/>
      <c r="F121" s="197"/>
      <c r="G121" s="179"/>
      <c r="H121" s="179"/>
      <c r="I121" s="181"/>
      <c r="J121" s="181"/>
      <c r="K121"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21" s="67" t="str">
        <f>IFERROR(Table_Controls_Input[[#This Row],[Per-unit incentive]]*Table_Controls_Input[[#This Row],[Quantity (Sensors/controller units)]],"")</f>
        <v/>
      </c>
      <c r="M121"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21"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21" s="67" t="str">
        <f t="shared" si="1"/>
        <v/>
      </c>
      <c r="P121" s="67" t="str">
        <f>IF(Table_Controls_Input[[#This Row],[Per-unit incentive]]="","",Table_Controls_Input[[#This Row],[Total equipment cost]]+Table_Controls_Input[[#This Row],[Total labor cost]])</f>
        <v/>
      </c>
      <c r="Q121" s="67" t="str">
        <f>IFERROR(Table_Controls_Input[[#This Row],[Gross measure cost]]-Table_Controls_Input[[#This Row],[Estimated incentive]], "")</f>
        <v/>
      </c>
      <c r="R121" s="69" t="str">
        <f>IFERROR(Table_Controls_Input[[#This Row],[Net measure cost]]/Table_Controls_Input[[#This Row],[Cost savings]],"")</f>
        <v/>
      </c>
      <c r="S121" s="74" t="e">
        <f>INDEX(Table_Control_PAF[PAF], MATCH(Table_Controls_Input[[#This Row],[Existing lighting controls]], Table_Control_PAF[List_Control_Types], 0))</f>
        <v>#N/A</v>
      </c>
      <c r="T121" s="74" t="e">
        <f>INDEX(Table_Measure_PAF[Proposed PAF], MATCH(Table_Controls_Input[[#This Row],[Prescriptive control measure]], Table_Measure_PAF[List_Control_Measure], 0))</f>
        <v>#N/A</v>
      </c>
      <c r="U121" s="74" t="e">
        <f>INDEX(Table_Prescript_Meas[AOH Type], MATCH(Table_Controls_Input[[#This Row],[Measure number]],Table_Prescript_Meas[Measure Number], 0))</f>
        <v>#N/A</v>
      </c>
      <c r="V121" s="74" t="e">
        <f>INDEX(Table_Prescript_Meas[AOH Type], MATCH(Table_Controls_Input[[#This Row],[Measure number]], Table_Prescript_Meas[Measure Number],0))</f>
        <v>#N/A</v>
      </c>
      <c r="W121"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21" s="4"/>
      <c r="Y121" s="4"/>
      <c r="Z121" s="4"/>
      <c r="AA121" s="4"/>
      <c r="AB121" s="4"/>
      <c r="AC121" s="4"/>
      <c r="AD121" s="4"/>
      <c r="AE121" s="4"/>
      <c r="AF121" s="4"/>
      <c r="AG121" s="4"/>
      <c r="AH121" s="4"/>
      <c r="AI121" s="4"/>
      <c r="AJ121" s="4"/>
      <c r="AK121" s="4"/>
      <c r="AL121" s="4"/>
      <c r="AM121" s="4"/>
      <c r="AN121" s="4"/>
      <c r="AO121" s="4"/>
      <c r="AP121" s="4"/>
      <c r="AQ121" s="4"/>
      <c r="AR121" s="4"/>
      <c r="AS121" s="4"/>
    </row>
    <row r="122" spans="1:45" x14ac:dyDescent="0.2">
      <c r="A122" s="4"/>
      <c r="B122" s="63">
        <v>118</v>
      </c>
      <c r="C122" s="61" t="str">
        <f>IFERROR(INDEX(Table_Prescript_Meas[Measure Number], MATCH(E122, Table_Prescript_Meas[Measure Description], 0)), "")</f>
        <v/>
      </c>
      <c r="D122" s="192"/>
      <c r="E122" s="179"/>
      <c r="F122" s="197"/>
      <c r="G122" s="179"/>
      <c r="H122" s="179"/>
      <c r="I122" s="181"/>
      <c r="J122" s="181"/>
      <c r="K122"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22" s="67" t="str">
        <f>IFERROR(Table_Controls_Input[[#This Row],[Per-unit incentive]]*Table_Controls_Input[[#This Row],[Quantity (Sensors/controller units)]],"")</f>
        <v/>
      </c>
      <c r="M122"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22"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22" s="67" t="str">
        <f t="shared" si="1"/>
        <v/>
      </c>
      <c r="P122" s="67" t="str">
        <f>IF(Table_Controls_Input[[#This Row],[Per-unit incentive]]="","",Table_Controls_Input[[#This Row],[Total equipment cost]]+Table_Controls_Input[[#This Row],[Total labor cost]])</f>
        <v/>
      </c>
      <c r="Q122" s="67" t="str">
        <f>IFERROR(Table_Controls_Input[[#This Row],[Gross measure cost]]-Table_Controls_Input[[#This Row],[Estimated incentive]], "")</f>
        <v/>
      </c>
      <c r="R122" s="69" t="str">
        <f>IFERROR(Table_Controls_Input[[#This Row],[Net measure cost]]/Table_Controls_Input[[#This Row],[Cost savings]],"")</f>
        <v/>
      </c>
      <c r="S122" s="74" t="e">
        <f>INDEX(Table_Control_PAF[PAF], MATCH(Table_Controls_Input[[#This Row],[Existing lighting controls]], Table_Control_PAF[List_Control_Types], 0))</f>
        <v>#N/A</v>
      </c>
      <c r="T122" s="74" t="e">
        <f>INDEX(Table_Measure_PAF[Proposed PAF], MATCH(Table_Controls_Input[[#This Row],[Prescriptive control measure]], Table_Measure_PAF[List_Control_Measure], 0))</f>
        <v>#N/A</v>
      </c>
      <c r="U122" s="74" t="e">
        <f>INDEX(Table_Prescript_Meas[AOH Type], MATCH(Table_Controls_Input[[#This Row],[Measure number]],Table_Prescript_Meas[Measure Number], 0))</f>
        <v>#N/A</v>
      </c>
      <c r="V122" s="74" t="e">
        <f>INDEX(Table_Prescript_Meas[AOH Type], MATCH(Table_Controls_Input[[#This Row],[Measure number]], Table_Prescript_Meas[Measure Number],0))</f>
        <v>#N/A</v>
      </c>
      <c r="W122"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22" s="4"/>
      <c r="Y122" s="4"/>
      <c r="Z122" s="4"/>
      <c r="AA122" s="4"/>
      <c r="AB122" s="4"/>
      <c r="AC122" s="4"/>
      <c r="AD122" s="4"/>
      <c r="AE122" s="4"/>
      <c r="AF122" s="4"/>
      <c r="AG122" s="4"/>
      <c r="AH122" s="4"/>
      <c r="AI122" s="4"/>
      <c r="AJ122" s="4"/>
      <c r="AK122" s="4"/>
      <c r="AL122" s="4"/>
      <c r="AM122" s="4"/>
      <c r="AN122" s="4"/>
      <c r="AO122" s="4"/>
      <c r="AP122" s="4"/>
      <c r="AQ122" s="4"/>
      <c r="AR122" s="4"/>
      <c r="AS122" s="4"/>
    </row>
    <row r="123" spans="1:45" x14ac:dyDescent="0.2">
      <c r="A123" s="4"/>
      <c r="B123" s="63">
        <v>119</v>
      </c>
      <c r="C123" s="61" t="str">
        <f>IFERROR(INDEX(Table_Prescript_Meas[Measure Number], MATCH(E123, Table_Prescript_Meas[Measure Description], 0)), "")</f>
        <v/>
      </c>
      <c r="D123" s="192"/>
      <c r="E123" s="179"/>
      <c r="F123" s="197"/>
      <c r="G123" s="179"/>
      <c r="H123" s="179"/>
      <c r="I123" s="181"/>
      <c r="J123" s="181"/>
      <c r="K123"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23" s="67" t="str">
        <f>IFERROR(Table_Controls_Input[[#This Row],[Per-unit incentive]]*Table_Controls_Input[[#This Row],[Quantity (Sensors/controller units)]],"")</f>
        <v/>
      </c>
      <c r="M123"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23"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23" s="67" t="str">
        <f t="shared" si="1"/>
        <v/>
      </c>
      <c r="P123" s="67" t="str">
        <f>IF(Table_Controls_Input[[#This Row],[Per-unit incentive]]="","",Table_Controls_Input[[#This Row],[Total equipment cost]]+Table_Controls_Input[[#This Row],[Total labor cost]])</f>
        <v/>
      </c>
      <c r="Q123" s="67" t="str">
        <f>IFERROR(Table_Controls_Input[[#This Row],[Gross measure cost]]-Table_Controls_Input[[#This Row],[Estimated incentive]], "")</f>
        <v/>
      </c>
      <c r="R123" s="69" t="str">
        <f>IFERROR(Table_Controls_Input[[#This Row],[Net measure cost]]/Table_Controls_Input[[#This Row],[Cost savings]],"")</f>
        <v/>
      </c>
      <c r="S123" s="74" t="e">
        <f>INDEX(Table_Control_PAF[PAF], MATCH(Table_Controls_Input[[#This Row],[Existing lighting controls]], Table_Control_PAF[List_Control_Types], 0))</f>
        <v>#N/A</v>
      </c>
      <c r="T123" s="74" t="e">
        <f>INDEX(Table_Measure_PAF[Proposed PAF], MATCH(Table_Controls_Input[[#This Row],[Prescriptive control measure]], Table_Measure_PAF[List_Control_Measure], 0))</f>
        <v>#N/A</v>
      </c>
      <c r="U123" s="74" t="e">
        <f>INDEX(Table_Prescript_Meas[AOH Type], MATCH(Table_Controls_Input[[#This Row],[Measure number]],Table_Prescript_Meas[Measure Number], 0))</f>
        <v>#N/A</v>
      </c>
      <c r="V123" s="74" t="e">
        <f>INDEX(Table_Prescript_Meas[AOH Type], MATCH(Table_Controls_Input[[#This Row],[Measure number]], Table_Prescript_Meas[Measure Number],0))</f>
        <v>#N/A</v>
      </c>
      <c r="W123"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23" s="4"/>
      <c r="Y123" s="4"/>
      <c r="Z123" s="4"/>
      <c r="AA123" s="4"/>
      <c r="AB123" s="4"/>
      <c r="AC123" s="4"/>
      <c r="AD123" s="4"/>
      <c r="AE123" s="4"/>
      <c r="AF123" s="4"/>
      <c r="AG123" s="4"/>
      <c r="AH123" s="4"/>
      <c r="AI123" s="4"/>
      <c r="AJ123" s="4"/>
      <c r="AK123" s="4"/>
      <c r="AL123" s="4"/>
      <c r="AM123" s="4"/>
      <c r="AN123" s="4"/>
      <c r="AO123" s="4"/>
      <c r="AP123" s="4"/>
      <c r="AQ123" s="4"/>
      <c r="AR123" s="4"/>
      <c r="AS123" s="4"/>
    </row>
    <row r="124" spans="1:45" x14ac:dyDescent="0.2">
      <c r="A124" s="4"/>
      <c r="B124" s="63">
        <v>120</v>
      </c>
      <c r="C124" s="61" t="str">
        <f>IFERROR(INDEX(Table_Prescript_Meas[Measure Number], MATCH(E124, Table_Prescript_Meas[Measure Description], 0)), "")</f>
        <v/>
      </c>
      <c r="D124" s="192"/>
      <c r="E124" s="179"/>
      <c r="F124" s="197"/>
      <c r="G124" s="179"/>
      <c r="H124" s="179"/>
      <c r="I124" s="181"/>
      <c r="J124" s="181"/>
      <c r="K124"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24" s="67" t="str">
        <f>IFERROR(Table_Controls_Input[[#This Row],[Per-unit incentive]]*Table_Controls_Input[[#This Row],[Quantity (Sensors/controller units)]],"")</f>
        <v/>
      </c>
      <c r="M124"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24"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24" s="67" t="str">
        <f t="shared" si="1"/>
        <v/>
      </c>
      <c r="P124" s="67" t="str">
        <f>IF(Table_Controls_Input[[#This Row],[Per-unit incentive]]="","",Table_Controls_Input[[#This Row],[Total equipment cost]]+Table_Controls_Input[[#This Row],[Total labor cost]])</f>
        <v/>
      </c>
      <c r="Q124" s="67" t="str">
        <f>IFERROR(Table_Controls_Input[[#This Row],[Gross measure cost]]-Table_Controls_Input[[#This Row],[Estimated incentive]], "")</f>
        <v/>
      </c>
      <c r="R124" s="69" t="str">
        <f>IFERROR(Table_Controls_Input[[#This Row],[Net measure cost]]/Table_Controls_Input[[#This Row],[Cost savings]],"")</f>
        <v/>
      </c>
      <c r="S124" s="74" t="e">
        <f>INDEX(Table_Control_PAF[PAF], MATCH(Table_Controls_Input[[#This Row],[Existing lighting controls]], Table_Control_PAF[List_Control_Types], 0))</f>
        <v>#N/A</v>
      </c>
      <c r="T124" s="74" t="e">
        <f>INDEX(Table_Measure_PAF[Proposed PAF], MATCH(Table_Controls_Input[[#This Row],[Prescriptive control measure]], Table_Measure_PAF[List_Control_Measure], 0))</f>
        <v>#N/A</v>
      </c>
      <c r="U124" s="74" t="e">
        <f>INDEX(Table_Prescript_Meas[AOH Type], MATCH(Table_Controls_Input[[#This Row],[Measure number]],Table_Prescript_Meas[Measure Number], 0))</f>
        <v>#N/A</v>
      </c>
      <c r="V124" s="74" t="e">
        <f>INDEX(Table_Prescript_Meas[AOH Type], MATCH(Table_Controls_Input[[#This Row],[Measure number]], Table_Prescript_Meas[Measure Number],0))</f>
        <v>#N/A</v>
      </c>
      <c r="W124"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24" s="4"/>
      <c r="Y124" s="4"/>
      <c r="Z124" s="4"/>
      <c r="AA124" s="4"/>
      <c r="AB124" s="4"/>
      <c r="AC124" s="4"/>
      <c r="AD124" s="4"/>
      <c r="AE124" s="4"/>
      <c r="AF124" s="4"/>
      <c r="AG124" s="4"/>
      <c r="AH124" s="4"/>
      <c r="AI124" s="4"/>
      <c r="AJ124" s="4"/>
      <c r="AK124" s="4"/>
      <c r="AL124" s="4"/>
      <c r="AM124" s="4"/>
      <c r="AN124" s="4"/>
      <c r="AO124" s="4"/>
      <c r="AP124" s="4"/>
      <c r="AQ124" s="4"/>
      <c r="AR124" s="4"/>
      <c r="AS124" s="4"/>
    </row>
    <row r="125" spans="1:45" x14ac:dyDescent="0.2">
      <c r="A125" s="4"/>
      <c r="B125" s="63">
        <v>121</v>
      </c>
      <c r="C125" s="61" t="str">
        <f>IFERROR(INDEX(Table_Prescript_Meas[Measure Number], MATCH(E125, Table_Prescript_Meas[Measure Description], 0)), "")</f>
        <v/>
      </c>
      <c r="D125" s="192"/>
      <c r="E125" s="179"/>
      <c r="F125" s="197"/>
      <c r="G125" s="179"/>
      <c r="H125" s="179"/>
      <c r="I125" s="181"/>
      <c r="J125" s="181"/>
      <c r="K125"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25" s="67" t="str">
        <f>IFERROR(Table_Controls_Input[[#This Row],[Per-unit incentive]]*Table_Controls_Input[[#This Row],[Quantity (Sensors/controller units)]],"")</f>
        <v/>
      </c>
      <c r="M125"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25"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25" s="67" t="str">
        <f t="shared" si="1"/>
        <v/>
      </c>
      <c r="P125" s="67" t="str">
        <f>IF(Table_Controls_Input[[#This Row],[Per-unit incentive]]="","",Table_Controls_Input[[#This Row],[Total equipment cost]]+Table_Controls_Input[[#This Row],[Total labor cost]])</f>
        <v/>
      </c>
      <c r="Q125" s="67" t="str">
        <f>IFERROR(Table_Controls_Input[[#This Row],[Gross measure cost]]-Table_Controls_Input[[#This Row],[Estimated incentive]], "")</f>
        <v/>
      </c>
      <c r="R125" s="69" t="str">
        <f>IFERROR(Table_Controls_Input[[#This Row],[Net measure cost]]/Table_Controls_Input[[#This Row],[Cost savings]],"")</f>
        <v/>
      </c>
      <c r="S125" s="74" t="e">
        <f>INDEX(Table_Control_PAF[PAF], MATCH(Table_Controls_Input[[#This Row],[Existing lighting controls]], Table_Control_PAF[List_Control_Types], 0))</f>
        <v>#N/A</v>
      </c>
      <c r="T125" s="74" t="e">
        <f>INDEX(Table_Measure_PAF[Proposed PAF], MATCH(Table_Controls_Input[[#This Row],[Prescriptive control measure]], Table_Measure_PAF[List_Control_Measure], 0))</f>
        <v>#N/A</v>
      </c>
      <c r="U125" s="74" t="e">
        <f>INDEX(Table_Prescript_Meas[AOH Type], MATCH(Table_Controls_Input[[#This Row],[Measure number]],Table_Prescript_Meas[Measure Number], 0))</f>
        <v>#N/A</v>
      </c>
      <c r="V125" s="74" t="e">
        <f>INDEX(Table_Prescript_Meas[AOH Type], MATCH(Table_Controls_Input[[#This Row],[Measure number]], Table_Prescript_Meas[Measure Number],0))</f>
        <v>#N/A</v>
      </c>
      <c r="W125"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25" s="4"/>
      <c r="Y125" s="4"/>
      <c r="Z125" s="4"/>
      <c r="AA125" s="4"/>
      <c r="AB125" s="4"/>
      <c r="AC125" s="4"/>
      <c r="AD125" s="4"/>
      <c r="AE125" s="4"/>
      <c r="AF125" s="4"/>
      <c r="AG125" s="4"/>
      <c r="AH125" s="4"/>
      <c r="AI125" s="4"/>
      <c r="AJ125" s="4"/>
      <c r="AK125" s="4"/>
      <c r="AL125" s="4"/>
      <c r="AM125" s="4"/>
      <c r="AN125" s="4"/>
      <c r="AO125" s="4"/>
      <c r="AP125" s="4"/>
      <c r="AQ125" s="4"/>
      <c r="AR125" s="4"/>
      <c r="AS125" s="4"/>
    </row>
    <row r="126" spans="1:45" x14ac:dyDescent="0.2">
      <c r="A126" s="4"/>
      <c r="B126" s="63">
        <v>122</v>
      </c>
      <c r="C126" s="61" t="str">
        <f>IFERROR(INDEX(Table_Prescript_Meas[Measure Number], MATCH(E126, Table_Prescript_Meas[Measure Description], 0)), "")</f>
        <v/>
      </c>
      <c r="D126" s="192"/>
      <c r="E126" s="179"/>
      <c r="F126" s="197"/>
      <c r="G126" s="179"/>
      <c r="H126" s="179"/>
      <c r="I126" s="181"/>
      <c r="J126" s="181"/>
      <c r="K126"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26" s="67" t="str">
        <f>IFERROR(Table_Controls_Input[[#This Row],[Per-unit incentive]]*Table_Controls_Input[[#This Row],[Quantity (Sensors/controller units)]],"")</f>
        <v/>
      </c>
      <c r="M126"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26"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26" s="67" t="str">
        <f t="shared" si="1"/>
        <v/>
      </c>
      <c r="P126" s="67" t="str">
        <f>IF(Table_Controls_Input[[#This Row],[Per-unit incentive]]="","",Table_Controls_Input[[#This Row],[Total equipment cost]]+Table_Controls_Input[[#This Row],[Total labor cost]])</f>
        <v/>
      </c>
      <c r="Q126" s="67" t="str">
        <f>IFERROR(Table_Controls_Input[[#This Row],[Gross measure cost]]-Table_Controls_Input[[#This Row],[Estimated incentive]], "")</f>
        <v/>
      </c>
      <c r="R126" s="69" t="str">
        <f>IFERROR(Table_Controls_Input[[#This Row],[Net measure cost]]/Table_Controls_Input[[#This Row],[Cost savings]],"")</f>
        <v/>
      </c>
      <c r="S126" s="74" t="e">
        <f>INDEX(Table_Control_PAF[PAF], MATCH(Table_Controls_Input[[#This Row],[Existing lighting controls]], Table_Control_PAF[List_Control_Types], 0))</f>
        <v>#N/A</v>
      </c>
      <c r="T126" s="74" t="e">
        <f>INDEX(Table_Measure_PAF[Proposed PAF], MATCH(Table_Controls_Input[[#This Row],[Prescriptive control measure]], Table_Measure_PAF[List_Control_Measure], 0))</f>
        <v>#N/A</v>
      </c>
      <c r="U126" s="74" t="e">
        <f>INDEX(Table_Prescript_Meas[AOH Type], MATCH(Table_Controls_Input[[#This Row],[Measure number]],Table_Prescript_Meas[Measure Number], 0))</f>
        <v>#N/A</v>
      </c>
      <c r="V126" s="74" t="e">
        <f>INDEX(Table_Prescript_Meas[AOH Type], MATCH(Table_Controls_Input[[#This Row],[Measure number]], Table_Prescript_Meas[Measure Number],0))</f>
        <v>#N/A</v>
      </c>
      <c r="W126"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26" s="4"/>
      <c r="Y126" s="4"/>
      <c r="Z126" s="4"/>
      <c r="AA126" s="4"/>
      <c r="AB126" s="4"/>
      <c r="AC126" s="4"/>
      <c r="AD126" s="4"/>
      <c r="AE126" s="4"/>
      <c r="AF126" s="4"/>
      <c r="AG126" s="4"/>
      <c r="AH126" s="4"/>
      <c r="AI126" s="4"/>
      <c r="AJ126" s="4"/>
      <c r="AK126" s="4"/>
      <c r="AL126" s="4"/>
      <c r="AM126" s="4"/>
      <c r="AN126" s="4"/>
      <c r="AO126" s="4"/>
      <c r="AP126" s="4"/>
      <c r="AQ126" s="4"/>
      <c r="AR126" s="4"/>
      <c r="AS126" s="4"/>
    </row>
    <row r="127" spans="1:45" x14ac:dyDescent="0.2">
      <c r="A127" s="4"/>
      <c r="B127" s="63">
        <v>123</v>
      </c>
      <c r="C127" s="61" t="str">
        <f>IFERROR(INDEX(Table_Prescript_Meas[Measure Number], MATCH(E127, Table_Prescript_Meas[Measure Description], 0)), "")</f>
        <v/>
      </c>
      <c r="D127" s="192"/>
      <c r="E127" s="179"/>
      <c r="F127" s="197"/>
      <c r="G127" s="179"/>
      <c r="H127" s="179"/>
      <c r="I127" s="181"/>
      <c r="J127" s="181"/>
      <c r="K127"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27" s="67" t="str">
        <f>IFERROR(Table_Controls_Input[[#This Row],[Per-unit incentive]]*Table_Controls_Input[[#This Row],[Quantity (Sensors/controller units)]],"")</f>
        <v/>
      </c>
      <c r="M127"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27"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27" s="67" t="str">
        <f t="shared" si="1"/>
        <v/>
      </c>
      <c r="P127" s="67" t="str">
        <f>IF(Table_Controls_Input[[#This Row],[Per-unit incentive]]="","",Table_Controls_Input[[#This Row],[Total equipment cost]]+Table_Controls_Input[[#This Row],[Total labor cost]])</f>
        <v/>
      </c>
      <c r="Q127" s="67" t="str">
        <f>IFERROR(Table_Controls_Input[[#This Row],[Gross measure cost]]-Table_Controls_Input[[#This Row],[Estimated incentive]], "")</f>
        <v/>
      </c>
      <c r="R127" s="69" t="str">
        <f>IFERROR(Table_Controls_Input[[#This Row],[Net measure cost]]/Table_Controls_Input[[#This Row],[Cost savings]],"")</f>
        <v/>
      </c>
      <c r="S127" s="74" t="e">
        <f>INDEX(Table_Control_PAF[PAF], MATCH(Table_Controls_Input[[#This Row],[Existing lighting controls]], Table_Control_PAF[List_Control_Types], 0))</f>
        <v>#N/A</v>
      </c>
      <c r="T127" s="74" t="e">
        <f>INDEX(Table_Measure_PAF[Proposed PAF], MATCH(Table_Controls_Input[[#This Row],[Prescriptive control measure]], Table_Measure_PAF[List_Control_Measure], 0))</f>
        <v>#N/A</v>
      </c>
      <c r="U127" s="74" t="e">
        <f>INDEX(Table_Prescript_Meas[AOH Type], MATCH(Table_Controls_Input[[#This Row],[Measure number]],Table_Prescript_Meas[Measure Number], 0))</f>
        <v>#N/A</v>
      </c>
      <c r="V127" s="74" t="e">
        <f>INDEX(Table_Prescript_Meas[AOH Type], MATCH(Table_Controls_Input[[#This Row],[Measure number]], Table_Prescript_Meas[Measure Number],0))</f>
        <v>#N/A</v>
      </c>
      <c r="W127"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27" s="4"/>
      <c r="Y127" s="4"/>
      <c r="Z127" s="4"/>
      <c r="AA127" s="4"/>
      <c r="AB127" s="4"/>
      <c r="AC127" s="4"/>
      <c r="AD127" s="4"/>
      <c r="AE127" s="4"/>
      <c r="AF127" s="4"/>
      <c r="AG127" s="4"/>
      <c r="AH127" s="4"/>
      <c r="AI127" s="4"/>
      <c r="AJ127" s="4"/>
      <c r="AK127" s="4"/>
      <c r="AL127" s="4"/>
      <c r="AM127" s="4"/>
      <c r="AN127" s="4"/>
      <c r="AO127" s="4"/>
      <c r="AP127" s="4"/>
      <c r="AQ127" s="4"/>
      <c r="AR127" s="4"/>
      <c r="AS127" s="4"/>
    </row>
    <row r="128" spans="1:45" x14ac:dyDescent="0.2">
      <c r="A128" s="4"/>
      <c r="B128" s="63">
        <v>124</v>
      </c>
      <c r="C128" s="61" t="str">
        <f>IFERROR(INDEX(Table_Prescript_Meas[Measure Number], MATCH(E128, Table_Prescript_Meas[Measure Description], 0)), "")</f>
        <v/>
      </c>
      <c r="D128" s="192"/>
      <c r="E128" s="179"/>
      <c r="F128" s="197"/>
      <c r="G128" s="179"/>
      <c r="H128" s="179"/>
      <c r="I128" s="181"/>
      <c r="J128" s="181"/>
      <c r="K128"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28" s="67" t="str">
        <f>IFERROR(Table_Controls_Input[[#This Row],[Per-unit incentive]]*Table_Controls_Input[[#This Row],[Quantity (Sensors/controller units)]],"")</f>
        <v/>
      </c>
      <c r="M128"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28"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28" s="67" t="str">
        <f t="shared" si="1"/>
        <v/>
      </c>
      <c r="P128" s="67" t="str">
        <f>IF(Table_Controls_Input[[#This Row],[Per-unit incentive]]="","",Table_Controls_Input[[#This Row],[Total equipment cost]]+Table_Controls_Input[[#This Row],[Total labor cost]])</f>
        <v/>
      </c>
      <c r="Q128" s="67" t="str">
        <f>IFERROR(Table_Controls_Input[[#This Row],[Gross measure cost]]-Table_Controls_Input[[#This Row],[Estimated incentive]], "")</f>
        <v/>
      </c>
      <c r="R128" s="69" t="str">
        <f>IFERROR(Table_Controls_Input[[#This Row],[Net measure cost]]/Table_Controls_Input[[#This Row],[Cost savings]],"")</f>
        <v/>
      </c>
      <c r="S128" s="74" t="e">
        <f>INDEX(Table_Control_PAF[PAF], MATCH(Table_Controls_Input[[#This Row],[Existing lighting controls]], Table_Control_PAF[List_Control_Types], 0))</f>
        <v>#N/A</v>
      </c>
      <c r="T128" s="74" t="e">
        <f>INDEX(Table_Measure_PAF[Proposed PAF], MATCH(Table_Controls_Input[[#This Row],[Prescriptive control measure]], Table_Measure_PAF[List_Control_Measure], 0))</f>
        <v>#N/A</v>
      </c>
      <c r="U128" s="74" t="e">
        <f>INDEX(Table_Prescript_Meas[AOH Type], MATCH(Table_Controls_Input[[#This Row],[Measure number]],Table_Prescript_Meas[Measure Number], 0))</f>
        <v>#N/A</v>
      </c>
      <c r="V128" s="74" t="e">
        <f>INDEX(Table_Prescript_Meas[AOH Type], MATCH(Table_Controls_Input[[#This Row],[Measure number]], Table_Prescript_Meas[Measure Number],0))</f>
        <v>#N/A</v>
      </c>
      <c r="W128"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28" s="4"/>
      <c r="Y128" s="4"/>
      <c r="Z128" s="4"/>
      <c r="AA128" s="4"/>
      <c r="AB128" s="4"/>
      <c r="AC128" s="4"/>
      <c r="AD128" s="4"/>
      <c r="AE128" s="4"/>
      <c r="AF128" s="4"/>
      <c r="AG128" s="4"/>
      <c r="AH128" s="4"/>
      <c r="AI128" s="4"/>
      <c r="AJ128" s="4"/>
      <c r="AK128" s="4"/>
      <c r="AL128" s="4"/>
      <c r="AM128" s="4"/>
      <c r="AN128" s="4"/>
      <c r="AO128" s="4"/>
      <c r="AP128" s="4"/>
      <c r="AQ128" s="4"/>
      <c r="AR128" s="4"/>
      <c r="AS128" s="4"/>
    </row>
    <row r="129" spans="1:45" x14ac:dyDescent="0.2">
      <c r="A129" s="4"/>
      <c r="B129" s="63">
        <v>125</v>
      </c>
      <c r="C129" s="61" t="str">
        <f>IFERROR(INDEX(Table_Prescript_Meas[Measure Number], MATCH(E129, Table_Prescript_Meas[Measure Description], 0)), "")</f>
        <v/>
      </c>
      <c r="D129" s="192"/>
      <c r="E129" s="179"/>
      <c r="F129" s="197"/>
      <c r="G129" s="179"/>
      <c r="H129" s="179"/>
      <c r="I129" s="181"/>
      <c r="J129" s="181"/>
      <c r="K129"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29" s="67" t="str">
        <f>IFERROR(Table_Controls_Input[[#This Row],[Per-unit incentive]]*Table_Controls_Input[[#This Row],[Quantity (Sensors/controller units)]],"")</f>
        <v/>
      </c>
      <c r="M129"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29"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29" s="67" t="str">
        <f t="shared" si="1"/>
        <v/>
      </c>
      <c r="P129" s="67" t="str">
        <f>IF(Table_Controls_Input[[#This Row],[Per-unit incentive]]="","",Table_Controls_Input[[#This Row],[Total equipment cost]]+Table_Controls_Input[[#This Row],[Total labor cost]])</f>
        <v/>
      </c>
      <c r="Q129" s="67" t="str">
        <f>IFERROR(Table_Controls_Input[[#This Row],[Gross measure cost]]-Table_Controls_Input[[#This Row],[Estimated incentive]], "")</f>
        <v/>
      </c>
      <c r="R129" s="69" t="str">
        <f>IFERROR(Table_Controls_Input[[#This Row],[Net measure cost]]/Table_Controls_Input[[#This Row],[Cost savings]],"")</f>
        <v/>
      </c>
      <c r="S129" s="74" t="e">
        <f>INDEX(Table_Control_PAF[PAF], MATCH(Table_Controls_Input[[#This Row],[Existing lighting controls]], Table_Control_PAF[List_Control_Types], 0))</f>
        <v>#N/A</v>
      </c>
      <c r="T129" s="74" t="e">
        <f>INDEX(Table_Measure_PAF[Proposed PAF], MATCH(Table_Controls_Input[[#This Row],[Prescriptive control measure]], Table_Measure_PAF[List_Control_Measure], 0))</f>
        <v>#N/A</v>
      </c>
      <c r="U129" s="74" t="e">
        <f>INDEX(Table_Prescript_Meas[AOH Type], MATCH(Table_Controls_Input[[#This Row],[Measure number]],Table_Prescript_Meas[Measure Number], 0))</f>
        <v>#N/A</v>
      </c>
      <c r="V129" s="74" t="e">
        <f>INDEX(Table_Prescript_Meas[AOH Type], MATCH(Table_Controls_Input[[#This Row],[Measure number]], Table_Prescript_Meas[Measure Number],0))</f>
        <v>#N/A</v>
      </c>
      <c r="W129"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29" s="4"/>
      <c r="Y129" s="4"/>
      <c r="Z129" s="4"/>
      <c r="AA129" s="4"/>
      <c r="AB129" s="4"/>
      <c r="AC129" s="4"/>
      <c r="AD129" s="4"/>
      <c r="AE129" s="4"/>
      <c r="AF129" s="4"/>
      <c r="AG129" s="4"/>
      <c r="AH129" s="4"/>
      <c r="AI129" s="4"/>
      <c r="AJ129" s="4"/>
      <c r="AK129" s="4"/>
      <c r="AL129" s="4"/>
      <c r="AM129" s="4"/>
      <c r="AN129" s="4"/>
      <c r="AO129" s="4"/>
      <c r="AP129" s="4"/>
      <c r="AQ129" s="4"/>
      <c r="AR129" s="4"/>
      <c r="AS129" s="4"/>
    </row>
    <row r="130" spans="1:45" x14ac:dyDescent="0.2">
      <c r="A130" s="4"/>
      <c r="B130" s="63">
        <v>126</v>
      </c>
      <c r="C130" s="61" t="str">
        <f>IFERROR(INDEX(Table_Prescript_Meas[Measure Number], MATCH(E130, Table_Prescript_Meas[Measure Description], 0)), "")</f>
        <v/>
      </c>
      <c r="D130" s="192"/>
      <c r="E130" s="179"/>
      <c r="F130" s="197"/>
      <c r="G130" s="179"/>
      <c r="H130" s="179"/>
      <c r="I130" s="181"/>
      <c r="J130" s="181"/>
      <c r="K130"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30" s="67" t="str">
        <f>IFERROR(Table_Controls_Input[[#This Row],[Per-unit incentive]]*Table_Controls_Input[[#This Row],[Quantity (Sensors/controller units)]],"")</f>
        <v/>
      </c>
      <c r="M130"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30"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30" s="67" t="str">
        <f t="shared" si="1"/>
        <v/>
      </c>
      <c r="P130" s="67" t="str">
        <f>IF(Table_Controls_Input[[#This Row],[Per-unit incentive]]="","",Table_Controls_Input[[#This Row],[Total equipment cost]]+Table_Controls_Input[[#This Row],[Total labor cost]])</f>
        <v/>
      </c>
      <c r="Q130" s="67" t="str">
        <f>IFERROR(Table_Controls_Input[[#This Row],[Gross measure cost]]-Table_Controls_Input[[#This Row],[Estimated incentive]], "")</f>
        <v/>
      </c>
      <c r="R130" s="69" t="str">
        <f>IFERROR(Table_Controls_Input[[#This Row],[Net measure cost]]/Table_Controls_Input[[#This Row],[Cost savings]],"")</f>
        <v/>
      </c>
      <c r="S130" s="74" t="e">
        <f>INDEX(Table_Control_PAF[PAF], MATCH(Table_Controls_Input[[#This Row],[Existing lighting controls]], Table_Control_PAF[List_Control_Types], 0))</f>
        <v>#N/A</v>
      </c>
      <c r="T130" s="74" t="e">
        <f>INDEX(Table_Measure_PAF[Proposed PAF], MATCH(Table_Controls_Input[[#This Row],[Prescriptive control measure]], Table_Measure_PAF[List_Control_Measure], 0))</f>
        <v>#N/A</v>
      </c>
      <c r="U130" s="74" t="e">
        <f>INDEX(Table_Prescript_Meas[AOH Type], MATCH(Table_Controls_Input[[#This Row],[Measure number]],Table_Prescript_Meas[Measure Number], 0))</f>
        <v>#N/A</v>
      </c>
      <c r="V130" s="74" t="e">
        <f>INDEX(Table_Prescript_Meas[AOH Type], MATCH(Table_Controls_Input[[#This Row],[Measure number]], Table_Prescript_Meas[Measure Number],0))</f>
        <v>#N/A</v>
      </c>
      <c r="W130"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30" s="4"/>
      <c r="Y130" s="4"/>
      <c r="Z130" s="4"/>
      <c r="AA130" s="4"/>
      <c r="AB130" s="4"/>
      <c r="AC130" s="4"/>
      <c r="AD130" s="4"/>
      <c r="AE130" s="4"/>
      <c r="AF130" s="4"/>
      <c r="AG130" s="4"/>
      <c r="AH130" s="4"/>
      <c r="AI130" s="4"/>
      <c r="AJ130" s="4"/>
      <c r="AK130" s="4"/>
      <c r="AL130" s="4"/>
      <c r="AM130" s="4"/>
      <c r="AN130" s="4"/>
      <c r="AO130" s="4"/>
      <c r="AP130" s="4"/>
      <c r="AQ130" s="4"/>
      <c r="AR130" s="4"/>
      <c r="AS130" s="4"/>
    </row>
    <row r="131" spans="1:45" x14ac:dyDescent="0.2">
      <c r="A131" s="4"/>
      <c r="B131" s="63">
        <v>127</v>
      </c>
      <c r="C131" s="61" t="str">
        <f>IFERROR(INDEX(Table_Prescript_Meas[Measure Number], MATCH(E131, Table_Prescript_Meas[Measure Description], 0)), "")</f>
        <v/>
      </c>
      <c r="D131" s="192"/>
      <c r="E131" s="179"/>
      <c r="F131" s="197"/>
      <c r="G131" s="179"/>
      <c r="H131" s="179"/>
      <c r="I131" s="181"/>
      <c r="J131" s="181"/>
      <c r="K131"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31" s="67" t="str">
        <f>IFERROR(Table_Controls_Input[[#This Row],[Per-unit incentive]]*Table_Controls_Input[[#This Row],[Quantity (Sensors/controller units)]],"")</f>
        <v/>
      </c>
      <c r="M131"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31"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31" s="67" t="str">
        <f t="shared" si="1"/>
        <v/>
      </c>
      <c r="P131" s="67" t="str">
        <f>IF(Table_Controls_Input[[#This Row],[Per-unit incentive]]="","",Table_Controls_Input[[#This Row],[Total equipment cost]]+Table_Controls_Input[[#This Row],[Total labor cost]])</f>
        <v/>
      </c>
      <c r="Q131" s="67" t="str">
        <f>IFERROR(Table_Controls_Input[[#This Row],[Gross measure cost]]-Table_Controls_Input[[#This Row],[Estimated incentive]], "")</f>
        <v/>
      </c>
      <c r="R131" s="69" t="str">
        <f>IFERROR(Table_Controls_Input[[#This Row],[Net measure cost]]/Table_Controls_Input[[#This Row],[Cost savings]],"")</f>
        <v/>
      </c>
      <c r="S131" s="74" t="e">
        <f>INDEX(Table_Control_PAF[PAF], MATCH(Table_Controls_Input[[#This Row],[Existing lighting controls]], Table_Control_PAF[List_Control_Types], 0))</f>
        <v>#N/A</v>
      </c>
      <c r="T131" s="74" t="e">
        <f>INDEX(Table_Measure_PAF[Proposed PAF], MATCH(Table_Controls_Input[[#This Row],[Prescriptive control measure]], Table_Measure_PAF[List_Control_Measure], 0))</f>
        <v>#N/A</v>
      </c>
      <c r="U131" s="74" t="e">
        <f>INDEX(Table_Prescript_Meas[AOH Type], MATCH(Table_Controls_Input[[#This Row],[Measure number]],Table_Prescript_Meas[Measure Number], 0))</f>
        <v>#N/A</v>
      </c>
      <c r="V131" s="74" t="e">
        <f>INDEX(Table_Prescript_Meas[AOH Type], MATCH(Table_Controls_Input[[#This Row],[Measure number]], Table_Prescript_Meas[Measure Number],0))</f>
        <v>#N/A</v>
      </c>
      <c r="W131"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31" s="4"/>
      <c r="Y131" s="4"/>
      <c r="Z131" s="4"/>
      <c r="AA131" s="4"/>
      <c r="AB131" s="4"/>
      <c r="AC131" s="4"/>
      <c r="AD131" s="4"/>
      <c r="AE131" s="4"/>
      <c r="AF131" s="4"/>
      <c r="AG131" s="4"/>
      <c r="AH131" s="4"/>
      <c r="AI131" s="4"/>
      <c r="AJ131" s="4"/>
      <c r="AK131" s="4"/>
      <c r="AL131" s="4"/>
      <c r="AM131" s="4"/>
      <c r="AN131" s="4"/>
      <c r="AO131" s="4"/>
      <c r="AP131" s="4"/>
      <c r="AQ131" s="4"/>
      <c r="AR131" s="4"/>
      <c r="AS131" s="4"/>
    </row>
    <row r="132" spans="1:45" x14ac:dyDescent="0.2">
      <c r="A132" s="4"/>
      <c r="B132" s="63">
        <v>128</v>
      </c>
      <c r="C132" s="61" t="str">
        <f>IFERROR(INDEX(Table_Prescript_Meas[Measure Number], MATCH(E132, Table_Prescript_Meas[Measure Description], 0)), "")</f>
        <v/>
      </c>
      <c r="D132" s="192"/>
      <c r="E132" s="179"/>
      <c r="F132" s="197"/>
      <c r="G132" s="179"/>
      <c r="H132" s="179"/>
      <c r="I132" s="181"/>
      <c r="J132" s="181"/>
      <c r="K132"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32" s="67" t="str">
        <f>IFERROR(Table_Controls_Input[[#This Row],[Per-unit incentive]]*Table_Controls_Input[[#This Row],[Quantity (Sensors/controller units)]],"")</f>
        <v/>
      </c>
      <c r="M132"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32"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32" s="67" t="str">
        <f t="shared" si="1"/>
        <v/>
      </c>
      <c r="P132" s="67" t="str">
        <f>IF(Table_Controls_Input[[#This Row],[Per-unit incentive]]="","",Table_Controls_Input[[#This Row],[Total equipment cost]]+Table_Controls_Input[[#This Row],[Total labor cost]])</f>
        <v/>
      </c>
      <c r="Q132" s="67" t="str">
        <f>IFERROR(Table_Controls_Input[[#This Row],[Gross measure cost]]-Table_Controls_Input[[#This Row],[Estimated incentive]], "")</f>
        <v/>
      </c>
      <c r="R132" s="69" t="str">
        <f>IFERROR(Table_Controls_Input[[#This Row],[Net measure cost]]/Table_Controls_Input[[#This Row],[Cost savings]],"")</f>
        <v/>
      </c>
      <c r="S132" s="74" t="e">
        <f>INDEX(Table_Control_PAF[PAF], MATCH(Table_Controls_Input[[#This Row],[Existing lighting controls]], Table_Control_PAF[List_Control_Types], 0))</f>
        <v>#N/A</v>
      </c>
      <c r="T132" s="74" t="e">
        <f>INDEX(Table_Measure_PAF[Proposed PAF], MATCH(Table_Controls_Input[[#This Row],[Prescriptive control measure]], Table_Measure_PAF[List_Control_Measure], 0))</f>
        <v>#N/A</v>
      </c>
      <c r="U132" s="74" t="e">
        <f>INDEX(Table_Prescript_Meas[AOH Type], MATCH(Table_Controls_Input[[#This Row],[Measure number]],Table_Prescript_Meas[Measure Number], 0))</f>
        <v>#N/A</v>
      </c>
      <c r="V132" s="74" t="e">
        <f>INDEX(Table_Prescript_Meas[AOH Type], MATCH(Table_Controls_Input[[#This Row],[Measure number]], Table_Prescript_Meas[Measure Number],0))</f>
        <v>#N/A</v>
      </c>
      <c r="W132"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32" s="4"/>
      <c r="Y132" s="4"/>
      <c r="Z132" s="4"/>
      <c r="AA132" s="4"/>
      <c r="AB132" s="4"/>
      <c r="AC132" s="4"/>
      <c r="AD132" s="4"/>
      <c r="AE132" s="4"/>
      <c r="AF132" s="4"/>
      <c r="AG132" s="4"/>
      <c r="AH132" s="4"/>
      <c r="AI132" s="4"/>
      <c r="AJ132" s="4"/>
      <c r="AK132" s="4"/>
      <c r="AL132" s="4"/>
      <c r="AM132" s="4"/>
      <c r="AN132" s="4"/>
      <c r="AO132" s="4"/>
      <c r="AP132" s="4"/>
      <c r="AQ132" s="4"/>
      <c r="AR132" s="4"/>
      <c r="AS132" s="4"/>
    </row>
    <row r="133" spans="1:45" x14ac:dyDescent="0.2">
      <c r="A133" s="4"/>
      <c r="B133" s="63">
        <v>129</v>
      </c>
      <c r="C133" s="61" t="str">
        <f>IFERROR(INDEX(Table_Prescript_Meas[Measure Number], MATCH(E133, Table_Prescript_Meas[Measure Description], 0)), "")</f>
        <v/>
      </c>
      <c r="D133" s="192"/>
      <c r="E133" s="179"/>
      <c r="F133" s="197"/>
      <c r="G133" s="179"/>
      <c r="H133" s="179"/>
      <c r="I133" s="181"/>
      <c r="J133" s="181"/>
      <c r="K133"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33" s="67" t="str">
        <f>IFERROR(Table_Controls_Input[[#This Row],[Per-unit incentive]]*Table_Controls_Input[[#This Row],[Quantity (Sensors/controller units)]],"")</f>
        <v/>
      </c>
      <c r="M133"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33"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33" s="67" t="str">
        <f t="shared" ref="O133:O196" si="2">IFERROR(M133*Input_AvgkWhRate, "")</f>
        <v/>
      </c>
      <c r="P133" s="67" t="str">
        <f>IF(Table_Controls_Input[[#This Row],[Per-unit incentive]]="","",Table_Controls_Input[[#This Row],[Total equipment cost]]+Table_Controls_Input[[#This Row],[Total labor cost]])</f>
        <v/>
      </c>
      <c r="Q133" s="67" t="str">
        <f>IFERROR(Table_Controls_Input[[#This Row],[Gross measure cost]]-Table_Controls_Input[[#This Row],[Estimated incentive]], "")</f>
        <v/>
      </c>
      <c r="R133" s="69" t="str">
        <f>IFERROR(Table_Controls_Input[[#This Row],[Net measure cost]]/Table_Controls_Input[[#This Row],[Cost savings]],"")</f>
        <v/>
      </c>
      <c r="S133" s="74" t="e">
        <f>INDEX(Table_Control_PAF[PAF], MATCH(Table_Controls_Input[[#This Row],[Existing lighting controls]], Table_Control_PAF[List_Control_Types], 0))</f>
        <v>#N/A</v>
      </c>
      <c r="T133" s="74" t="e">
        <f>INDEX(Table_Measure_PAF[Proposed PAF], MATCH(Table_Controls_Input[[#This Row],[Prescriptive control measure]], Table_Measure_PAF[List_Control_Measure], 0))</f>
        <v>#N/A</v>
      </c>
      <c r="U133" s="74" t="e">
        <f>INDEX(Table_Prescript_Meas[AOH Type], MATCH(Table_Controls_Input[[#This Row],[Measure number]],Table_Prescript_Meas[Measure Number], 0))</f>
        <v>#N/A</v>
      </c>
      <c r="V133" s="74" t="e">
        <f>INDEX(Table_Prescript_Meas[AOH Type], MATCH(Table_Controls_Input[[#This Row],[Measure number]], Table_Prescript_Meas[Measure Number],0))</f>
        <v>#N/A</v>
      </c>
      <c r="W133"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33" s="4"/>
      <c r="Y133" s="4"/>
      <c r="Z133" s="4"/>
      <c r="AA133" s="4"/>
      <c r="AB133" s="4"/>
      <c r="AC133" s="4"/>
      <c r="AD133" s="4"/>
      <c r="AE133" s="4"/>
      <c r="AF133" s="4"/>
      <c r="AG133" s="4"/>
      <c r="AH133" s="4"/>
      <c r="AI133" s="4"/>
      <c r="AJ133" s="4"/>
      <c r="AK133" s="4"/>
      <c r="AL133" s="4"/>
      <c r="AM133" s="4"/>
      <c r="AN133" s="4"/>
      <c r="AO133" s="4"/>
      <c r="AP133" s="4"/>
      <c r="AQ133" s="4"/>
      <c r="AR133" s="4"/>
      <c r="AS133" s="4"/>
    </row>
    <row r="134" spans="1:45" x14ac:dyDescent="0.2">
      <c r="A134" s="4"/>
      <c r="B134" s="63">
        <v>130</v>
      </c>
      <c r="C134" s="61" t="str">
        <f>IFERROR(INDEX(Table_Prescript_Meas[Measure Number], MATCH(E134, Table_Prescript_Meas[Measure Description], 0)), "")</f>
        <v/>
      </c>
      <c r="D134" s="192"/>
      <c r="E134" s="179"/>
      <c r="F134" s="197"/>
      <c r="G134" s="179"/>
      <c r="H134" s="179"/>
      <c r="I134" s="181"/>
      <c r="J134" s="181"/>
      <c r="K134"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34" s="67" t="str">
        <f>IFERROR(Table_Controls_Input[[#This Row],[Per-unit incentive]]*Table_Controls_Input[[#This Row],[Quantity (Sensors/controller units)]],"")</f>
        <v/>
      </c>
      <c r="M134"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34"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34" s="67" t="str">
        <f t="shared" si="2"/>
        <v/>
      </c>
      <c r="P134" s="67" t="str">
        <f>IF(Table_Controls_Input[[#This Row],[Per-unit incentive]]="","",Table_Controls_Input[[#This Row],[Total equipment cost]]+Table_Controls_Input[[#This Row],[Total labor cost]])</f>
        <v/>
      </c>
      <c r="Q134" s="67" t="str">
        <f>IFERROR(Table_Controls_Input[[#This Row],[Gross measure cost]]-Table_Controls_Input[[#This Row],[Estimated incentive]], "")</f>
        <v/>
      </c>
      <c r="R134" s="69" t="str">
        <f>IFERROR(Table_Controls_Input[[#This Row],[Net measure cost]]/Table_Controls_Input[[#This Row],[Cost savings]],"")</f>
        <v/>
      </c>
      <c r="S134" s="74" t="e">
        <f>INDEX(Table_Control_PAF[PAF], MATCH(Table_Controls_Input[[#This Row],[Existing lighting controls]], Table_Control_PAF[List_Control_Types], 0))</f>
        <v>#N/A</v>
      </c>
      <c r="T134" s="74" t="e">
        <f>INDEX(Table_Measure_PAF[Proposed PAF], MATCH(Table_Controls_Input[[#This Row],[Prescriptive control measure]], Table_Measure_PAF[List_Control_Measure], 0))</f>
        <v>#N/A</v>
      </c>
      <c r="U134" s="74" t="e">
        <f>INDEX(Table_Prescript_Meas[AOH Type], MATCH(Table_Controls_Input[[#This Row],[Measure number]],Table_Prescript_Meas[Measure Number], 0))</f>
        <v>#N/A</v>
      </c>
      <c r="V134" s="74" t="e">
        <f>INDEX(Table_Prescript_Meas[AOH Type], MATCH(Table_Controls_Input[[#This Row],[Measure number]], Table_Prescript_Meas[Measure Number],0))</f>
        <v>#N/A</v>
      </c>
      <c r="W134"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34" s="4"/>
      <c r="Y134" s="4"/>
      <c r="Z134" s="4"/>
      <c r="AA134" s="4"/>
      <c r="AB134" s="4"/>
      <c r="AC134" s="4"/>
      <c r="AD134" s="4"/>
      <c r="AE134" s="4"/>
      <c r="AF134" s="4"/>
      <c r="AG134" s="4"/>
      <c r="AH134" s="4"/>
      <c r="AI134" s="4"/>
      <c r="AJ134" s="4"/>
      <c r="AK134" s="4"/>
      <c r="AL134" s="4"/>
      <c r="AM134" s="4"/>
      <c r="AN134" s="4"/>
      <c r="AO134" s="4"/>
      <c r="AP134" s="4"/>
      <c r="AQ134" s="4"/>
      <c r="AR134" s="4"/>
      <c r="AS134" s="4"/>
    </row>
    <row r="135" spans="1:45" x14ac:dyDescent="0.2">
      <c r="A135" s="4"/>
      <c r="B135" s="63">
        <v>131</v>
      </c>
      <c r="C135" s="61" t="str">
        <f>IFERROR(INDEX(Table_Prescript_Meas[Measure Number], MATCH(E135, Table_Prescript_Meas[Measure Description], 0)), "")</f>
        <v/>
      </c>
      <c r="D135" s="192"/>
      <c r="E135" s="179"/>
      <c r="F135" s="197"/>
      <c r="G135" s="179"/>
      <c r="H135" s="179"/>
      <c r="I135" s="181"/>
      <c r="J135" s="181"/>
      <c r="K135"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35" s="67" t="str">
        <f>IFERROR(Table_Controls_Input[[#This Row],[Per-unit incentive]]*Table_Controls_Input[[#This Row],[Quantity (Sensors/controller units)]],"")</f>
        <v/>
      </c>
      <c r="M135"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35"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35" s="67" t="str">
        <f t="shared" si="2"/>
        <v/>
      </c>
      <c r="P135" s="67" t="str">
        <f>IF(Table_Controls_Input[[#This Row],[Per-unit incentive]]="","",Table_Controls_Input[[#This Row],[Total equipment cost]]+Table_Controls_Input[[#This Row],[Total labor cost]])</f>
        <v/>
      </c>
      <c r="Q135" s="67" t="str">
        <f>IFERROR(Table_Controls_Input[[#This Row],[Gross measure cost]]-Table_Controls_Input[[#This Row],[Estimated incentive]], "")</f>
        <v/>
      </c>
      <c r="R135" s="69" t="str">
        <f>IFERROR(Table_Controls_Input[[#This Row],[Net measure cost]]/Table_Controls_Input[[#This Row],[Cost savings]],"")</f>
        <v/>
      </c>
      <c r="S135" s="74" t="e">
        <f>INDEX(Table_Control_PAF[PAF], MATCH(Table_Controls_Input[[#This Row],[Existing lighting controls]], Table_Control_PAF[List_Control_Types], 0))</f>
        <v>#N/A</v>
      </c>
      <c r="T135" s="74" t="e">
        <f>INDEX(Table_Measure_PAF[Proposed PAF], MATCH(Table_Controls_Input[[#This Row],[Prescriptive control measure]], Table_Measure_PAF[List_Control_Measure], 0))</f>
        <v>#N/A</v>
      </c>
      <c r="U135" s="74" t="e">
        <f>INDEX(Table_Prescript_Meas[AOH Type], MATCH(Table_Controls_Input[[#This Row],[Measure number]],Table_Prescript_Meas[Measure Number], 0))</f>
        <v>#N/A</v>
      </c>
      <c r="V135" s="74" t="e">
        <f>INDEX(Table_Prescript_Meas[AOH Type], MATCH(Table_Controls_Input[[#This Row],[Measure number]], Table_Prescript_Meas[Measure Number],0))</f>
        <v>#N/A</v>
      </c>
      <c r="W135"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35" s="4"/>
      <c r="Y135" s="4"/>
      <c r="Z135" s="4"/>
      <c r="AA135" s="4"/>
      <c r="AB135" s="4"/>
      <c r="AC135" s="4"/>
      <c r="AD135" s="4"/>
      <c r="AE135" s="4"/>
      <c r="AF135" s="4"/>
      <c r="AG135" s="4"/>
      <c r="AH135" s="4"/>
      <c r="AI135" s="4"/>
      <c r="AJ135" s="4"/>
      <c r="AK135" s="4"/>
      <c r="AL135" s="4"/>
      <c r="AM135" s="4"/>
      <c r="AN135" s="4"/>
      <c r="AO135" s="4"/>
      <c r="AP135" s="4"/>
      <c r="AQ135" s="4"/>
      <c r="AR135" s="4"/>
      <c r="AS135" s="4"/>
    </row>
    <row r="136" spans="1:45" x14ac:dyDescent="0.2">
      <c r="A136" s="4"/>
      <c r="B136" s="63">
        <v>132</v>
      </c>
      <c r="C136" s="61" t="str">
        <f>IFERROR(INDEX(Table_Prescript_Meas[Measure Number], MATCH(E136, Table_Prescript_Meas[Measure Description], 0)), "")</f>
        <v/>
      </c>
      <c r="D136" s="192"/>
      <c r="E136" s="179"/>
      <c r="F136" s="197"/>
      <c r="G136" s="179"/>
      <c r="H136" s="179"/>
      <c r="I136" s="181"/>
      <c r="J136" s="181"/>
      <c r="K136"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36" s="67" t="str">
        <f>IFERROR(Table_Controls_Input[[#This Row],[Per-unit incentive]]*Table_Controls_Input[[#This Row],[Quantity (Sensors/controller units)]],"")</f>
        <v/>
      </c>
      <c r="M136"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36"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36" s="67" t="str">
        <f t="shared" si="2"/>
        <v/>
      </c>
      <c r="P136" s="67" t="str">
        <f>IF(Table_Controls_Input[[#This Row],[Per-unit incentive]]="","",Table_Controls_Input[[#This Row],[Total equipment cost]]+Table_Controls_Input[[#This Row],[Total labor cost]])</f>
        <v/>
      </c>
      <c r="Q136" s="67" t="str">
        <f>IFERROR(Table_Controls_Input[[#This Row],[Gross measure cost]]-Table_Controls_Input[[#This Row],[Estimated incentive]], "")</f>
        <v/>
      </c>
      <c r="R136" s="69" t="str">
        <f>IFERROR(Table_Controls_Input[[#This Row],[Net measure cost]]/Table_Controls_Input[[#This Row],[Cost savings]],"")</f>
        <v/>
      </c>
      <c r="S136" s="74" t="e">
        <f>INDEX(Table_Control_PAF[PAF], MATCH(Table_Controls_Input[[#This Row],[Existing lighting controls]], Table_Control_PAF[List_Control_Types], 0))</f>
        <v>#N/A</v>
      </c>
      <c r="T136" s="74" t="e">
        <f>INDEX(Table_Measure_PAF[Proposed PAF], MATCH(Table_Controls_Input[[#This Row],[Prescriptive control measure]], Table_Measure_PAF[List_Control_Measure], 0))</f>
        <v>#N/A</v>
      </c>
      <c r="U136" s="74" t="e">
        <f>INDEX(Table_Prescript_Meas[AOH Type], MATCH(Table_Controls_Input[[#This Row],[Measure number]],Table_Prescript_Meas[Measure Number], 0))</f>
        <v>#N/A</v>
      </c>
      <c r="V136" s="74" t="e">
        <f>INDEX(Table_Prescript_Meas[AOH Type], MATCH(Table_Controls_Input[[#This Row],[Measure number]], Table_Prescript_Meas[Measure Number],0))</f>
        <v>#N/A</v>
      </c>
      <c r="W136"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36" s="4"/>
      <c r="Y136" s="4"/>
      <c r="Z136" s="4"/>
      <c r="AA136" s="4"/>
      <c r="AB136" s="4"/>
      <c r="AC136" s="4"/>
      <c r="AD136" s="4"/>
      <c r="AE136" s="4"/>
      <c r="AF136" s="4"/>
      <c r="AG136" s="4"/>
      <c r="AH136" s="4"/>
      <c r="AI136" s="4"/>
      <c r="AJ136" s="4"/>
      <c r="AK136" s="4"/>
      <c r="AL136" s="4"/>
      <c r="AM136" s="4"/>
      <c r="AN136" s="4"/>
      <c r="AO136" s="4"/>
      <c r="AP136" s="4"/>
      <c r="AQ136" s="4"/>
      <c r="AR136" s="4"/>
      <c r="AS136" s="4"/>
    </row>
    <row r="137" spans="1:45" x14ac:dyDescent="0.2">
      <c r="A137" s="4"/>
      <c r="B137" s="63">
        <v>133</v>
      </c>
      <c r="C137" s="61" t="str">
        <f>IFERROR(INDEX(Table_Prescript_Meas[Measure Number], MATCH(E137, Table_Prescript_Meas[Measure Description], 0)), "")</f>
        <v/>
      </c>
      <c r="D137" s="192"/>
      <c r="E137" s="179"/>
      <c r="F137" s="197"/>
      <c r="G137" s="179"/>
      <c r="H137" s="179"/>
      <c r="I137" s="181"/>
      <c r="J137" s="181"/>
      <c r="K137"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37" s="67" t="str">
        <f>IFERROR(Table_Controls_Input[[#This Row],[Per-unit incentive]]*Table_Controls_Input[[#This Row],[Quantity (Sensors/controller units)]],"")</f>
        <v/>
      </c>
      <c r="M137"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37"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37" s="67" t="str">
        <f t="shared" si="2"/>
        <v/>
      </c>
      <c r="P137" s="67" t="str">
        <f>IF(Table_Controls_Input[[#This Row],[Per-unit incentive]]="","",Table_Controls_Input[[#This Row],[Total equipment cost]]+Table_Controls_Input[[#This Row],[Total labor cost]])</f>
        <v/>
      </c>
      <c r="Q137" s="67" t="str">
        <f>IFERROR(Table_Controls_Input[[#This Row],[Gross measure cost]]-Table_Controls_Input[[#This Row],[Estimated incentive]], "")</f>
        <v/>
      </c>
      <c r="R137" s="69" t="str">
        <f>IFERROR(Table_Controls_Input[[#This Row],[Net measure cost]]/Table_Controls_Input[[#This Row],[Cost savings]],"")</f>
        <v/>
      </c>
      <c r="S137" s="74" t="e">
        <f>INDEX(Table_Control_PAF[PAF], MATCH(Table_Controls_Input[[#This Row],[Existing lighting controls]], Table_Control_PAF[List_Control_Types], 0))</f>
        <v>#N/A</v>
      </c>
      <c r="T137" s="74" t="e">
        <f>INDEX(Table_Measure_PAF[Proposed PAF], MATCH(Table_Controls_Input[[#This Row],[Prescriptive control measure]], Table_Measure_PAF[List_Control_Measure], 0))</f>
        <v>#N/A</v>
      </c>
      <c r="U137" s="74" t="e">
        <f>INDEX(Table_Prescript_Meas[AOH Type], MATCH(Table_Controls_Input[[#This Row],[Measure number]],Table_Prescript_Meas[Measure Number], 0))</f>
        <v>#N/A</v>
      </c>
      <c r="V137" s="74" t="e">
        <f>INDEX(Table_Prescript_Meas[AOH Type], MATCH(Table_Controls_Input[[#This Row],[Measure number]], Table_Prescript_Meas[Measure Number],0))</f>
        <v>#N/A</v>
      </c>
      <c r="W137"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37" s="4"/>
      <c r="Y137" s="4"/>
      <c r="Z137" s="4"/>
      <c r="AA137" s="4"/>
      <c r="AB137" s="4"/>
      <c r="AC137" s="4"/>
      <c r="AD137" s="4"/>
      <c r="AE137" s="4"/>
      <c r="AF137" s="4"/>
      <c r="AG137" s="4"/>
      <c r="AH137" s="4"/>
      <c r="AI137" s="4"/>
      <c r="AJ137" s="4"/>
      <c r="AK137" s="4"/>
      <c r="AL137" s="4"/>
      <c r="AM137" s="4"/>
      <c r="AN137" s="4"/>
      <c r="AO137" s="4"/>
      <c r="AP137" s="4"/>
      <c r="AQ137" s="4"/>
      <c r="AR137" s="4"/>
      <c r="AS137" s="4"/>
    </row>
    <row r="138" spans="1:45" x14ac:dyDescent="0.2">
      <c r="A138" s="4"/>
      <c r="B138" s="63">
        <v>134</v>
      </c>
      <c r="C138" s="61" t="str">
        <f>IFERROR(INDEX(Table_Prescript_Meas[Measure Number], MATCH(E138, Table_Prescript_Meas[Measure Description], 0)), "")</f>
        <v/>
      </c>
      <c r="D138" s="192"/>
      <c r="E138" s="179"/>
      <c r="F138" s="197"/>
      <c r="G138" s="179"/>
      <c r="H138" s="179"/>
      <c r="I138" s="181"/>
      <c r="J138" s="181"/>
      <c r="K138"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38" s="67" t="str">
        <f>IFERROR(Table_Controls_Input[[#This Row],[Per-unit incentive]]*Table_Controls_Input[[#This Row],[Quantity (Sensors/controller units)]],"")</f>
        <v/>
      </c>
      <c r="M138"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38"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38" s="67" t="str">
        <f t="shared" si="2"/>
        <v/>
      </c>
      <c r="P138" s="67" t="str">
        <f>IF(Table_Controls_Input[[#This Row],[Per-unit incentive]]="","",Table_Controls_Input[[#This Row],[Total equipment cost]]+Table_Controls_Input[[#This Row],[Total labor cost]])</f>
        <v/>
      </c>
      <c r="Q138" s="67" t="str">
        <f>IFERROR(Table_Controls_Input[[#This Row],[Gross measure cost]]-Table_Controls_Input[[#This Row],[Estimated incentive]], "")</f>
        <v/>
      </c>
      <c r="R138" s="69" t="str">
        <f>IFERROR(Table_Controls_Input[[#This Row],[Net measure cost]]/Table_Controls_Input[[#This Row],[Cost savings]],"")</f>
        <v/>
      </c>
      <c r="S138" s="74" t="e">
        <f>INDEX(Table_Control_PAF[PAF], MATCH(Table_Controls_Input[[#This Row],[Existing lighting controls]], Table_Control_PAF[List_Control_Types], 0))</f>
        <v>#N/A</v>
      </c>
      <c r="T138" s="74" t="e">
        <f>INDEX(Table_Measure_PAF[Proposed PAF], MATCH(Table_Controls_Input[[#This Row],[Prescriptive control measure]], Table_Measure_PAF[List_Control_Measure], 0))</f>
        <v>#N/A</v>
      </c>
      <c r="U138" s="74" t="e">
        <f>INDEX(Table_Prescript_Meas[AOH Type], MATCH(Table_Controls_Input[[#This Row],[Measure number]],Table_Prescript_Meas[Measure Number], 0))</f>
        <v>#N/A</v>
      </c>
      <c r="V138" s="74" t="e">
        <f>INDEX(Table_Prescript_Meas[AOH Type], MATCH(Table_Controls_Input[[#This Row],[Measure number]], Table_Prescript_Meas[Measure Number],0))</f>
        <v>#N/A</v>
      </c>
      <c r="W138"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38" s="4"/>
      <c r="Y138" s="4"/>
      <c r="Z138" s="4"/>
      <c r="AA138" s="4"/>
      <c r="AB138" s="4"/>
      <c r="AC138" s="4"/>
      <c r="AD138" s="4"/>
      <c r="AE138" s="4"/>
      <c r="AF138" s="4"/>
      <c r="AG138" s="4"/>
      <c r="AH138" s="4"/>
      <c r="AI138" s="4"/>
      <c r="AJ138" s="4"/>
      <c r="AK138" s="4"/>
      <c r="AL138" s="4"/>
      <c r="AM138" s="4"/>
      <c r="AN138" s="4"/>
      <c r="AO138" s="4"/>
      <c r="AP138" s="4"/>
      <c r="AQ138" s="4"/>
      <c r="AR138" s="4"/>
      <c r="AS138" s="4"/>
    </row>
    <row r="139" spans="1:45" x14ac:dyDescent="0.2">
      <c r="A139" s="4"/>
      <c r="B139" s="63">
        <v>135</v>
      </c>
      <c r="C139" s="61" t="str">
        <f>IFERROR(INDEX(Table_Prescript_Meas[Measure Number], MATCH(E139, Table_Prescript_Meas[Measure Description], 0)), "")</f>
        <v/>
      </c>
      <c r="D139" s="192"/>
      <c r="E139" s="179"/>
      <c r="F139" s="197"/>
      <c r="G139" s="179"/>
      <c r="H139" s="179"/>
      <c r="I139" s="181"/>
      <c r="J139" s="181"/>
      <c r="K139"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39" s="67" t="str">
        <f>IFERROR(Table_Controls_Input[[#This Row],[Per-unit incentive]]*Table_Controls_Input[[#This Row],[Quantity (Sensors/controller units)]],"")</f>
        <v/>
      </c>
      <c r="M139"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39"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39" s="67" t="str">
        <f t="shared" si="2"/>
        <v/>
      </c>
      <c r="P139" s="67" t="str">
        <f>IF(Table_Controls_Input[[#This Row],[Per-unit incentive]]="","",Table_Controls_Input[[#This Row],[Total equipment cost]]+Table_Controls_Input[[#This Row],[Total labor cost]])</f>
        <v/>
      </c>
      <c r="Q139" s="67" t="str">
        <f>IFERROR(Table_Controls_Input[[#This Row],[Gross measure cost]]-Table_Controls_Input[[#This Row],[Estimated incentive]], "")</f>
        <v/>
      </c>
      <c r="R139" s="69" t="str">
        <f>IFERROR(Table_Controls_Input[[#This Row],[Net measure cost]]/Table_Controls_Input[[#This Row],[Cost savings]],"")</f>
        <v/>
      </c>
      <c r="S139" s="74" t="e">
        <f>INDEX(Table_Control_PAF[PAF], MATCH(Table_Controls_Input[[#This Row],[Existing lighting controls]], Table_Control_PAF[List_Control_Types], 0))</f>
        <v>#N/A</v>
      </c>
      <c r="T139" s="74" t="e">
        <f>INDEX(Table_Measure_PAF[Proposed PAF], MATCH(Table_Controls_Input[[#This Row],[Prescriptive control measure]], Table_Measure_PAF[List_Control_Measure], 0))</f>
        <v>#N/A</v>
      </c>
      <c r="U139" s="74" t="e">
        <f>INDEX(Table_Prescript_Meas[AOH Type], MATCH(Table_Controls_Input[[#This Row],[Measure number]],Table_Prescript_Meas[Measure Number], 0))</f>
        <v>#N/A</v>
      </c>
      <c r="V139" s="74" t="e">
        <f>INDEX(Table_Prescript_Meas[AOH Type], MATCH(Table_Controls_Input[[#This Row],[Measure number]], Table_Prescript_Meas[Measure Number],0))</f>
        <v>#N/A</v>
      </c>
      <c r="W139"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39" s="4"/>
      <c r="Y139" s="4"/>
      <c r="Z139" s="4"/>
      <c r="AA139" s="4"/>
      <c r="AB139" s="4"/>
      <c r="AC139" s="4"/>
      <c r="AD139" s="4"/>
      <c r="AE139" s="4"/>
      <c r="AF139" s="4"/>
      <c r="AG139" s="4"/>
      <c r="AH139" s="4"/>
      <c r="AI139" s="4"/>
      <c r="AJ139" s="4"/>
      <c r="AK139" s="4"/>
      <c r="AL139" s="4"/>
      <c r="AM139" s="4"/>
      <c r="AN139" s="4"/>
      <c r="AO139" s="4"/>
      <c r="AP139" s="4"/>
      <c r="AQ139" s="4"/>
      <c r="AR139" s="4"/>
      <c r="AS139" s="4"/>
    </row>
    <row r="140" spans="1:45" x14ac:dyDescent="0.2">
      <c r="A140" s="4"/>
      <c r="B140" s="63">
        <v>136</v>
      </c>
      <c r="C140" s="61" t="str">
        <f>IFERROR(INDEX(Table_Prescript_Meas[Measure Number], MATCH(E140, Table_Prescript_Meas[Measure Description], 0)), "")</f>
        <v/>
      </c>
      <c r="D140" s="192"/>
      <c r="E140" s="179"/>
      <c r="F140" s="197"/>
      <c r="G140" s="179"/>
      <c r="H140" s="179"/>
      <c r="I140" s="181"/>
      <c r="J140" s="181"/>
      <c r="K140"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40" s="67" t="str">
        <f>IFERROR(Table_Controls_Input[[#This Row],[Per-unit incentive]]*Table_Controls_Input[[#This Row],[Quantity (Sensors/controller units)]],"")</f>
        <v/>
      </c>
      <c r="M140"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40"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40" s="67" t="str">
        <f t="shared" si="2"/>
        <v/>
      </c>
      <c r="P140" s="67" t="str">
        <f>IF(Table_Controls_Input[[#This Row],[Per-unit incentive]]="","",Table_Controls_Input[[#This Row],[Total equipment cost]]+Table_Controls_Input[[#This Row],[Total labor cost]])</f>
        <v/>
      </c>
      <c r="Q140" s="67" t="str">
        <f>IFERROR(Table_Controls_Input[[#This Row],[Gross measure cost]]-Table_Controls_Input[[#This Row],[Estimated incentive]], "")</f>
        <v/>
      </c>
      <c r="R140" s="69" t="str">
        <f>IFERROR(Table_Controls_Input[[#This Row],[Net measure cost]]/Table_Controls_Input[[#This Row],[Cost savings]],"")</f>
        <v/>
      </c>
      <c r="S140" s="74" t="e">
        <f>INDEX(Table_Control_PAF[PAF], MATCH(Table_Controls_Input[[#This Row],[Existing lighting controls]], Table_Control_PAF[List_Control_Types], 0))</f>
        <v>#N/A</v>
      </c>
      <c r="T140" s="74" t="e">
        <f>INDEX(Table_Measure_PAF[Proposed PAF], MATCH(Table_Controls_Input[[#This Row],[Prescriptive control measure]], Table_Measure_PAF[List_Control_Measure], 0))</f>
        <v>#N/A</v>
      </c>
      <c r="U140" s="74" t="e">
        <f>INDEX(Table_Prescript_Meas[AOH Type], MATCH(Table_Controls_Input[[#This Row],[Measure number]],Table_Prescript_Meas[Measure Number], 0))</f>
        <v>#N/A</v>
      </c>
      <c r="V140" s="74" t="e">
        <f>INDEX(Table_Prescript_Meas[AOH Type], MATCH(Table_Controls_Input[[#This Row],[Measure number]], Table_Prescript_Meas[Measure Number],0))</f>
        <v>#N/A</v>
      </c>
      <c r="W140"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40" s="4"/>
      <c r="Y140" s="4"/>
      <c r="Z140" s="4"/>
      <c r="AA140" s="4"/>
      <c r="AB140" s="4"/>
      <c r="AC140" s="4"/>
      <c r="AD140" s="4"/>
      <c r="AE140" s="4"/>
      <c r="AF140" s="4"/>
      <c r="AG140" s="4"/>
      <c r="AH140" s="4"/>
      <c r="AI140" s="4"/>
      <c r="AJ140" s="4"/>
      <c r="AK140" s="4"/>
      <c r="AL140" s="4"/>
      <c r="AM140" s="4"/>
      <c r="AN140" s="4"/>
      <c r="AO140" s="4"/>
      <c r="AP140" s="4"/>
      <c r="AQ140" s="4"/>
      <c r="AR140" s="4"/>
      <c r="AS140" s="4"/>
    </row>
    <row r="141" spans="1:45" x14ac:dyDescent="0.2">
      <c r="A141" s="4"/>
      <c r="B141" s="63">
        <v>137</v>
      </c>
      <c r="C141" s="61" t="str">
        <f>IFERROR(INDEX(Table_Prescript_Meas[Measure Number], MATCH(E141, Table_Prescript_Meas[Measure Description], 0)), "")</f>
        <v/>
      </c>
      <c r="D141" s="192"/>
      <c r="E141" s="179"/>
      <c r="F141" s="197"/>
      <c r="G141" s="179"/>
      <c r="H141" s="179"/>
      <c r="I141" s="181"/>
      <c r="J141" s="181"/>
      <c r="K141"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41" s="67" t="str">
        <f>IFERROR(Table_Controls_Input[[#This Row],[Per-unit incentive]]*Table_Controls_Input[[#This Row],[Quantity (Sensors/controller units)]],"")</f>
        <v/>
      </c>
      <c r="M141"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41"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41" s="67" t="str">
        <f t="shared" si="2"/>
        <v/>
      </c>
      <c r="P141" s="67" t="str">
        <f>IF(Table_Controls_Input[[#This Row],[Per-unit incentive]]="","",Table_Controls_Input[[#This Row],[Total equipment cost]]+Table_Controls_Input[[#This Row],[Total labor cost]])</f>
        <v/>
      </c>
      <c r="Q141" s="67" t="str">
        <f>IFERROR(Table_Controls_Input[[#This Row],[Gross measure cost]]-Table_Controls_Input[[#This Row],[Estimated incentive]], "")</f>
        <v/>
      </c>
      <c r="R141" s="69" t="str">
        <f>IFERROR(Table_Controls_Input[[#This Row],[Net measure cost]]/Table_Controls_Input[[#This Row],[Cost savings]],"")</f>
        <v/>
      </c>
      <c r="S141" s="74" t="e">
        <f>INDEX(Table_Control_PAF[PAF], MATCH(Table_Controls_Input[[#This Row],[Existing lighting controls]], Table_Control_PAF[List_Control_Types], 0))</f>
        <v>#N/A</v>
      </c>
      <c r="T141" s="74" t="e">
        <f>INDEX(Table_Measure_PAF[Proposed PAF], MATCH(Table_Controls_Input[[#This Row],[Prescriptive control measure]], Table_Measure_PAF[List_Control_Measure], 0))</f>
        <v>#N/A</v>
      </c>
      <c r="U141" s="74" t="e">
        <f>INDEX(Table_Prescript_Meas[AOH Type], MATCH(Table_Controls_Input[[#This Row],[Measure number]],Table_Prescript_Meas[Measure Number], 0))</f>
        <v>#N/A</v>
      </c>
      <c r="V141" s="74" t="e">
        <f>INDEX(Table_Prescript_Meas[AOH Type], MATCH(Table_Controls_Input[[#This Row],[Measure number]], Table_Prescript_Meas[Measure Number],0))</f>
        <v>#N/A</v>
      </c>
      <c r="W141"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41" s="4"/>
      <c r="Y141" s="4"/>
      <c r="Z141" s="4"/>
      <c r="AA141" s="4"/>
      <c r="AB141" s="4"/>
      <c r="AC141" s="4"/>
      <c r="AD141" s="4"/>
      <c r="AE141" s="4"/>
      <c r="AF141" s="4"/>
      <c r="AG141" s="4"/>
      <c r="AH141" s="4"/>
      <c r="AI141" s="4"/>
      <c r="AJ141" s="4"/>
      <c r="AK141" s="4"/>
      <c r="AL141" s="4"/>
      <c r="AM141" s="4"/>
      <c r="AN141" s="4"/>
      <c r="AO141" s="4"/>
      <c r="AP141" s="4"/>
      <c r="AQ141" s="4"/>
      <c r="AR141" s="4"/>
      <c r="AS141" s="4"/>
    </row>
    <row r="142" spans="1:45" x14ac:dyDescent="0.2">
      <c r="A142" s="4"/>
      <c r="B142" s="63">
        <v>138</v>
      </c>
      <c r="C142" s="61" t="str">
        <f>IFERROR(INDEX(Table_Prescript_Meas[Measure Number], MATCH(E142, Table_Prescript_Meas[Measure Description], 0)), "")</f>
        <v/>
      </c>
      <c r="D142" s="192"/>
      <c r="E142" s="179"/>
      <c r="F142" s="197"/>
      <c r="G142" s="179"/>
      <c r="H142" s="179"/>
      <c r="I142" s="181"/>
      <c r="J142" s="181"/>
      <c r="K142"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42" s="67" t="str">
        <f>IFERROR(Table_Controls_Input[[#This Row],[Per-unit incentive]]*Table_Controls_Input[[#This Row],[Quantity (Sensors/controller units)]],"")</f>
        <v/>
      </c>
      <c r="M142"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42"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42" s="67" t="str">
        <f t="shared" si="2"/>
        <v/>
      </c>
      <c r="P142" s="67" t="str">
        <f>IF(Table_Controls_Input[[#This Row],[Per-unit incentive]]="","",Table_Controls_Input[[#This Row],[Total equipment cost]]+Table_Controls_Input[[#This Row],[Total labor cost]])</f>
        <v/>
      </c>
      <c r="Q142" s="67" t="str">
        <f>IFERROR(Table_Controls_Input[[#This Row],[Gross measure cost]]-Table_Controls_Input[[#This Row],[Estimated incentive]], "")</f>
        <v/>
      </c>
      <c r="R142" s="69" t="str">
        <f>IFERROR(Table_Controls_Input[[#This Row],[Net measure cost]]/Table_Controls_Input[[#This Row],[Cost savings]],"")</f>
        <v/>
      </c>
      <c r="S142" s="74" t="e">
        <f>INDEX(Table_Control_PAF[PAF], MATCH(Table_Controls_Input[[#This Row],[Existing lighting controls]], Table_Control_PAF[List_Control_Types], 0))</f>
        <v>#N/A</v>
      </c>
      <c r="T142" s="74" t="e">
        <f>INDEX(Table_Measure_PAF[Proposed PAF], MATCH(Table_Controls_Input[[#This Row],[Prescriptive control measure]], Table_Measure_PAF[List_Control_Measure], 0))</f>
        <v>#N/A</v>
      </c>
      <c r="U142" s="74" t="e">
        <f>INDEX(Table_Prescript_Meas[AOH Type], MATCH(Table_Controls_Input[[#This Row],[Measure number]],Table_Prescript_Meas[Measure Number], 0))</f>
        <v>#N/A</v>
      </c>
      <c r="V142" s="74" t="e">
        <f>INDEX(Table_Prescript_Meas[AOH Type], MATCH(Table_Controls_Input[[#This Row],[Measure number]], Table_Prescript_Meas[Measure Number],0))</f>
        <v>#N/A</v>
      </c>
      <c r="W142"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42" s="4"/>
      <c r="Y142" s="4"/>
      <c r="Z142" s="4"/>
      <c r="AA142" s="4"/>
      <c r="AB142" s="4"/>
      <c r="AC142" s="4"/>
      <c r="AD142" s="4"/>
      <c r="AE142" s="4"/>
      <c r="AF142" s="4"/>
      <c r="AG142" s="4"/>
      <c r="AH142" s="4"/>
      <c r="AI142" s="4"/>
      <c r="AJ142" s="4"/>
      <c r="AK142" s="4"/>
      <c r="AL142" s="4"/>
      <c r="AM142" s="4"/>
      <c r="AN142" s="4"/>
      <c r="AO142" s="4"/>
      <c r="AP142" s="4"/>
      <c r="AQ142" s="4"/>
      <c r="AR142" s="4"/>
      <c r="AS142" s="4"/>
    </row>
    <row r="143" spans="1:45" x14ac:dyDescent="0.2">
      <c r="A143" s="4"/>
      <c r="B143" s="63">
        <v>139</v>
      </c>
      <c r="C143" s="61" t="str">
        <f>IFERROR(INDEX(Table_Prescript_Meas[Measure Number], MATCH(E143, Table_Prescript_Meas[Measure Description], 0)), "")</f>
        <v/>
      </c>
      <c r="D143" s="192"/>
      <c r="E143" s="179"/>
      <c r="F143" s="197"/>
      <c r="G143" s="179"/>
      <c r="H143" s="179"/>
      <c r="I143" s="181"/>
      <c r="J143" s="181"/>
      <c r="K143"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43" s="67" t="str">
        <f>IFERROR(Table_Controls_Input[[#This Row],[Per-unit incentive]]*Table_Controls_Input[[#This Row],[Quantity (Sensors/controller units)]],"")</f>
        <v/>
      </c>
      <c r="M143"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43"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43" s="67" t="str">
        <f t="shared" si="2"/>
        <v/>
      </c>
      <c r="P143" s="67" t="str">
        <f>IF(Table_Controls_Input[[#This Row],[Per-unit incentive]]="","",Table_Controls_Input[[#This Row],[Total equipment cost]]+Table_Controls_Input[[#This Row],[Total labor cost]])</f>
        <v/>
      </c>
      <c r="Q143" s="67" t="str">
        <f>IFERROR(Table_Controls_Input[[#This Row],[Gross measure cost]]-Table_Controls_Input[[#This Row],[Estimated incentive]], "")</f>
        <v/>
      </c>
      <c r="R143" s="69" t="str">
        <f>IFERROR(Table_Controls_Input[[#This Row],[Net measure cost]]/Table_Controls_Input[[#This Row],[Cost savings]],"")</f>
        <v/>
      </c>
      <c r="S143" s="74" t="e">
        <f>INDEX(Table_Control_PAF[PAF], MATCH(Table_Controls_Input[[#This Row],[Existing lighting controls]], Table_Control_PAF[List_Control_Types], 0))</f>
        <v>#N/A</v>
      </c>
      <c r="T143" s="74" t="e">
        <f>INDEX(Table_Measure_PAF[Proposed PAF], MATCH(Table_Controls_Input[[#This Row],[Prescriptive control measure]], Table_Measure_PAF[List_Control_Measure], 0))</f>
        <v>#N/A</v>
      </c>
      <c r="U143" s="74" t="e">
        <f>INDEX(Table_Prescript_Meas[AOH Type], MATCH(Table_Controls_Input[[#This Row],[Measure number]],Table_Prescript_Meas[Measure Number], 0))</f>
        <v>#N/A</v>
      </c>
      <c r="V143" s="74" t="e">
        <f>INDEX(Table_Prescript_Meas[AOH Type], MATCH(Table_Controls_Input[[#This Row],[Measure number]], Table_Prescript_Meas[Measure Number],0))</f>
        <v>#N/A</v>
      </c>
      <c r="W143"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43" s="4"/>
      <c r="Y143" s="4"/>
      <c r="Z143" s="4"/>
      <c r="AA143" s="4"/>
      <c r="AB143" s="4"/>
      <c r="AC143" s="4"/>
      <c r="AD143" s="4"/>
      <c r="AE143" s="4"/>
      <c r="AF143" s="4"/>
      <c r="AG143" s="4"/>
      <c r="AH143" s="4"/>
      <c r="AI143" s="4"/>
      <c r="AJ143" s="4"/>
      <c r="AK143" s="4"/>
      <c r="AL143" s="4"/>
      <c r="AM143" s="4"/>
      <c r="AN143" s="4"/>
      <c r="AO143" s="4"/>
      <c r="AP143" s="4"/>
      <c r="AQ143" s="4"/>
      <c r="AR143" s="4"/>
      <c r="AS143" s="4"/>
    </row>
    <row r="144" spans="1:45" x14ac:dyDescent="0.2">
      <c r="A144" s="4"/>
      <c r="B144" s="63">
        <v>140</v>
      </c>
      <c r="C144" s="61" t="str">
        <f>IFERROR(INDEX(Table_Prescript_Meas[Measure Number], MATCH(E144, Table_Prescript_Meas[Measure Description], 0)), "")</f>
        <v/>
      </c>
      <c r="D144" s="192"/>
      <c r="E144" s="179"/>
      <c r="F144" s="197"/>
      <c r="G144" s="179"/>
      <c r="H144" s="179"/>
      <c r="I144" s="181"/>
      <c r="J144" s="181"/>
      <c r="K144"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44" s="67" t="str">
        <f>IFERROR(Table_Controls_Input[[#This Row],[Per-unit incentive]]*Table_Controls_Input[[#This Row],[Quantity (Sensors/controller units)]],"")</f>
        <v/>
      </c>
      <c r="M144"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44"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44" s="67" t="str">
        <f t="shared" si="2"/>
        <v/>
      </c>
      <c r="P144" s="67" t="str">
        <f>IF(Table_Controls_Input[[#This Row],[Per-unit incentive]]="","",Table_Controls_Input[[#This Row],[Total equipment cost]]+Table_Controls_Input[[#This Row],[Total labor cost]])</f>
        <v/>
      </c>
      <c r="Q144" s="67" t="str">
        <f>IFERROR(Table_Controls_Input[[#This Row],[Gross measure cost]]-Table_Controls_Input[[#This Row],[Estimated incentive]], "")</f>
        <v/>
      </c>
      <c r="R144" s="69" t="str">
        <f>IFERROR(Table_Controls_Input[[#This Row],[Net measure cost]]/Table_Controls_Input[[#This Row],[Cost savings]],"")</f>
        <v/>
      </c>
      <c r="S144" s="74" t="e">
        <f>INDEX(Table_Control_PAF[PAF], MATCH(Table_Controls_Input[[#This Row],[Existing lighting controls]], Table_Control_PAF[List_Control_Types], 0))</f>
        <v>#N/A</v>
      </c>
      <c r="T144" s="74" t="e">
        <f>INDEX(Table_Measure_PAF[Proposed PAF], MATCH(Table_Controls_Input[[#This Row],[Prescriptive control measure]], Table_Measure_PAF[List_Control_Measure], 0))</f>
        <v>#N/A</v>
      </c>
      <c r="U144" s="74" t="e">
        <f>INDEX(Table_Prescript_Meas[AOH Type], MATCH(Table_Controls_Input[[#This Row],[Measure number]],Table_Prescript_Meas[Measure Number], 0))</f>
        <v>#N/A</v>
      </c>
      <c r="V144" s="74" t="e">
        <f>INDEX(Table_Prescript_Meas[AOH Type], MATCH(Table_Controls_Input[[#This Row],[Measure number]], Table_Prescript_Meas[Measure Number],0))</f>
        <v>#N/A</v>
      </c>
      <c r="W144"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44" s="4"/>
      <c r="Y144" s="4"/>
      <c r="Z144" s="4"/>
      <c r="AA144" s="4"/>
      <c r="AB144" s="4"/>
      <c r="AC144" s="4"/>
      <c r="AD144" s="4"/>
      <c r="AE144" s="4"/>
      <c r="AF144" s="4"/>
      <c r="AG144" s="4"/>
      <c r="AH144" s="4"/>
      <c r="AI144" s="4"/>
      <c r="AJ144" s="4"/>
      <c r="AK144" s="4"/>
      <c r="AL144" s="4"/>
      <c r="AM144" s="4"/>
      <c r="AN144" s="4"/>
      <c r="AO144" s="4"/>
      <c r="AP144" s="4"/>
      <c r="AQ144" s="4"/>
      <c r="AR144" s="4"/>
      <c r="AS144" s="4"/>
    </row>
    <row r="145" spans="1:45" x14ac:dyDescent="0.2">
      <c r="A145" s="4"/>
      <c r="B145" s="63">
        <v>141</v>
      </c>
      <c r="C145" s="61" t="str">
        <f>IFERROR(INDEX(Table_Prescript_Meas[Measure Number], MATCH(E145, Table_Prescript_Meas[Measure Description], 0)), "")</f>
        <v/>
      </c>
      <c r="D145" s="192"/>
      <c r="E145" s="179"/>
      <c r="F145" s="197"/>
      <c r="G145" s="179"/>
      <c r="H145" s="179"/>
      <c r="I145" s="181"/>
      <c r="J145" s="181"/>
      <c r="K145"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45" s="67" t="str">
        <f>IFERROR(Table_Controls_Input[[#This Row],[Per-unit incentive]]*Table_Controls_Input[[#This Row],[Quantity (Sensors/controller units)]],"")</f>
        <v/>
      </c>
      <c r="M145"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45"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45" s="67" t="str">
        <f t="shared" si="2"/>
        <v/>
      </c>
      <c r="P145" s="67" t="str">
        <f>IF(Table_Controls_Input[[#This Row],[Per-unit incentive]]="","",Table_Controls_Input[[#This Row],[Total equipment cost]]+Table_Controls_Input[[#This Row],[Total labor cost]])</f>
        <v/>
      </c>
      <c r="Q145" s="67" t="str">
        <f>IFERROR(Table_Controls_Input[[#This Row],[Gross measure cost]]-Table_Controls_Input[[#This Row],[Estimated incentive]], "")</f>
        <v/>
      </c>
      <c r="R145" s="69" t="str">
        <f>IFERROR(Table_Controls_Input[[#This Row],[Net measure cost]]/Table_Controls_Input[[#This Row],[Cost savings]],"")</f>
        <v/>
      </c>
      <c r="S145" s="74" t="e">
        <f>INDEX(Table_Control_PAF[PAF], MATCH(Table_Controls_Input[[#This Row],[Existing lighting controls]], Table_Control_PAF[List_Control_Types], 0))</f>
        <v>#N/A</v>
      </c>
      <c r="T145" s="74" t="e">
        <f>INDEX(Table_Measure_PAF[Proposed PAF], MATCH(Table_Controls_Input[[#This Row],[Prescriptive control measure]], Table_Measure_PAF[List_Control_Measure], 0))</f>
        <v>#N/A</v>
      </c>
      <c r="U145" s="74" t="e">
        <f>INDEX(Table_Prescript_Meas[AOH Type], MATCH(Table_Controls_Input[[#This Row],[Measure number]],Table_Prescript_Meas[Measure Number], 0))</f>
        <v>#N/A</v>
      </c>
      <c r="V145" s="74" t="e">
        <f>INDEX(Table_Prescript_Meas[AOH Type], MATCH(Table_Controls_Input[[#This Row],[Measure number]], Table_Prescript_Meas[Measure Number],0))</f>
        <v>#N/A</v>
      </c>
      <c r="W145"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45" s="4"/>
      <c r="Y145" s="4"/>
      <c r="Z145" s="4"/>
      <c r="AA145" s="4"/>
      <c r="AB145" s="4"/>
      <c r="AC145" s="4"/>
      <c r="AD145" s="4"/>
      <c r="AE145" s="4"/>
      <c r="AF145" s="4"/>
      <c r="AG145" s="4"/>
      <c r="AH145" s="4"/>
      <c r="AI145" s="4"/>
      <c r="AJ145" s="4"/>
      <c r="AK145" s="4"/>
      <c r="AL145" s="4"/>
      <c r="AM145" s="4"/>
      <c r="AN145" s="4"/>
      <c r="AO145" s="4"/>
      <c r="AP145" s="4"/>
      <c r="AQ145" s="4"/>
      <c r="AR145" s="4"/>
      <c r="AS145" s="4"/>
    </row>
    <row r="146" spans="1:45" x14ac:dyDescent="0.2">
      <c r="A146" s="4"/>
      <c r="B146" s="63">
        <v>142</v>
      </c>
      <c r="C146" s="61" t="str">
        <f>IFERROR(INDEX(Table_Prescript_Meas[Measure Number], MATCH(E146, Table_Prescript_Meas[Measure Description], 0)), "")</f>
        <v/>
      </c>
      <c r="D146" s="192"/>
      <c r="E146" s="179"/>
      <c r="F146" s="197"/>
      <c r="G146" s="179"/>
      <c r="H146" s="179"/>
      <c r="I146" s="181"/>
      <c r="J146" s="181"/>
      <c r="K146"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46" s="67" t="str">
        <f>IFERROR(Table_Controls_Input[[#This Row],[Per-unit incentive]]*Table_Controls_Input[[#This Row],[Quantity (Sensors/controller units)]],"")</f>
        <v/>
      </c>
      <c r="M146"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46"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46" s="67" t="str">
        <f t="shared" si="2"/>
        <v/>
      </c>
      <c r="P146" s="67" t="str">
        <f>IF(Table_Controls_Input[[#This Row],[Per-unit incentive]]="","",Table_Controls_Input[[#This Row],[Total equipment cost]]+Table_Controls_Input[[#This Row],[Total labor cost]])</f>
        <v/>
      </c>
      <c r="Q146" s="67" t="str">
        <f>IFERROR(Table_Controls_Input[[#This Row],[Gross measure cost]]-Table_Controls_Input[[#This Row],[Estimated incentive]], "")</f>
        <v/>
      </c>
      <c r="R146" s="69" t="str">
        <f>IFERROR(Table_Controls_Input[[#This Row],[Net measure cost]]/Table_Controls_Input[[#This Row],[Cost savings]],"")</f>
        <v/>
      </c>
      <c r="S146" s="74" t="e">
        <f>INDEX(Table_Control_PAF[PAF], MATCH(Table_Controls_Input[[#This Row],[Existing lighting controls]], Table_Control_PAF[List_Control_Types], 0))</f>
        <v>#N/A</v>
      </c>
      <c r="T146" s="74" t="e">
        <f>INDEX(Table_Measure_PAF[Proposed PAF], MATCH(Table_Controls_Input[[#This Row],[Prescriptive control measure]], Table_Measure_PAF[List_Control_Measure], 0))</f>
        <v>#N/A</v>
      </c>
      <c r="U146" s="74" t="e">
        <f>INDEX(Table_Prescript_Meas[AOH Type], MATCH(Table_Controls_Input[[#This Row],[Measure number]],Table_Prescript_Meas[Measure Number], 0))</f>
        <v>#N/A</v>
      </c>
      <c r="V146" s="74" t="e">
        <f>INDEX(Table_Prescript_Meas[AOH Type], MATCH(Table_Controls_Input[[#This Row],[Measure number]], Table_Prescript_Meas[Measure Number],0))</f>
        <v>#N/A</v>
      </c>
      <c r="W146"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46" s="4"/>
      <c r="Y146" s="4"/>
      <c r="Z146" s="4"/>
      <c r="AA146" s="4"/>
      <c r="AB146" s="4"/>
      <c r="AC146" s="4"/>
      <c r="AD146" s="4"/>
      <c r="AE146" s="4"/>
      <c r="AF146" s="4"/>
      <c r="AG146" s="4"/>
      <c r="AH146" s="4"/>
      <c r="AI146" s="4"/>
      <c r="AJ146" s="4"/>
      <c r="AK146" s="4"/>
      <c r="AL146" s="4"/>
      <c r="AM146" s="4"/>
      <c r="AN146" s="4"/>
      <c r="AO146" s="4"/>
      <c r="AP146" s="4"/>
      <c r="AQ146" s="4"/>
      <c r="AR146" s="4"/>
      <c r="AS146" s="4"/>
    </row>
    <row r="147" spans="1:45" x14ac:dyDescent="0.2">
      <c r="A147" s="4"/>
      <c r="B147" s="63">
        <v>143</v>
      </c>
      <c r="C147" s="61" t="str">
        <f>IFERROR(INDEX(Table_Prescript_Meas[Measure Number], MATCH(E147, Table_Prescript_Meas[Measure Description], 0)), "")</f>
        <v/>
      </c>
      <c r="D147" s="192"/>
      <c r="E147" s="179"/>
      <c r="F147" s="197"/>
      <c r="G147" s="179"/>
      <c r="H147" s="179"/>
      <c r="I147" s="181"/>
      <c r="J147" s="181"/>
      <c r="K147"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47" s="67" t="str">
        <f>IFERROR(Table_Controls_Input[[#This Row],[Per-unit incentive]]*Table_Controls_Input[[#This Row],[Quantity (Sensors/controller units)]],"")</f>
        <v/>
      </c>
      <c r="M147"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47"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47" s="67" t="str">
        <f t="shared" si="2"/>
        <v/>
      </c>
      <c r="P147" s="67" t="str">
        <f>IF(Table_Controls_Input[[#This Row],[Per-unit incentive]]="","",Table_Controls_Input[[#This Row],[Total equipment cost]]+Table_Controls_Input[[#This Row],[Total labor cost]])</f>
        <v/>
      </c>
      <c r="Q147" s="67" t="str">
        <f>IFERROR(Table_Controls_Input[[#This Row],[Gross measure cost]]-Table_Controls_Input[[#This Row],[Estimated incentive]], "")</f>
        <v/>
      </c>
      <c r="R147" s="69" t="str">
        <f>IFERROR(Table_Controls_Input[[#This Row],[Net measure cost]]/Table_Controls_Input[[#This Row],[Cost savings]],"")</f>
        <v/>
      </c>
      <c r="S147" s="74" t="e">
        <f>INDEX(Table_Control_PAF[PAF], MATCH(Table_Controls_Input[[#This Row],[Existing lighting controls]], Table_Control_PAF[List_Control_Types], 0))</f>
        <v>#N/A</v>
      </c>
      <c r="T147" s="74" t="e">
        <f>INDEX(Table_Measure_PAF[Proposed PAF], MATCH(Table_Controls_Input[[#This Row],[Prescriptive control measure]], Table_Measure_PAF[List_Control_Measure], 0))</f>
        <v>#N/A</v>
      </c>
      <c r="U147" s="74" t="e">
        <f>INDEX(Table_Prescript_Meas[AOH Type], MATCH(Table_Controls_Input[[#This Row],[Measure number]],Table_Prescript_Meas[Measure Number], 0))</f>
        <v>#N/A</v>
      </c>
      <c r="V147" s="74" t="e">
        <f>INDEX(Table_Prescript_Meas[AOH Type], MATCH(Table_Controls_Input[[#This Row],[Measure number]], Table_Prescript_Meas[Measure Number],0))</f>
        <v>#N/A</v>
      </c>
      <c r="W147"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47" s="4"/>
      <c r="Y147" s="4"/>
      <c r="Z147" s="4"/>
      <c r="AA147" s="4"/>
      <c r="AB147" s="4"/>
      <c r="AC147" s="4"/>
      <c r="AD147" s="4"/>
      <c r="AE147" s="4"/>
      <c r="AF147" s="4"/>
      <c r="AG147" s="4"/>
      <c r="AH147" s="4"/>
      <c r="AI147" s="4"/>
      <c r="AJ147" s="4"/>
      <c r="AK147" s="4"/>
      <c r="AL147" s="4"/>
      <c r="AM147" s="4"/>
      <c r="AN147" s="4"/>
      <c r="AO147" s="4"/>
      <c r="AP147" s="4"/>
      <c r="AQ147" s="4"/>
      <c r="AR147" s="4"/>
      <c r="AS147" s="4"/>
    </row>
    <row r="148" spans="1:45" x14ac:dyDescent="0.2">
      <c r="A148" s="4"/>
      <c r="B148" s="63">
        <v>144</v>
      </c>
      <c r="C148" s="61" t="str">
        <f>IFERROR(INDEX(Table_Prescript_Meas[Measure Number], MATCH(E148, Table_Prescript_Meas[Measure Description], 0)), "")</f>
        <v/>
      </c>
      <c r="D148" s="192"/>
      <c r="E148" s="179"/>
      <c r="F148" s="197"/>
      <c r="G148" s="179"/>
      <c r="H148" s="179"/>
      <c r="I148" s="181"/>
      <c r="J148" s="181"/>
      <c r="K148"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48" s="67" t="str">
        <f>IFERROR(Table_Controls_Input[[#This Row],[Per-unit incentive]]*Table_Controls_Input[[#This Row],[Quantity (Sensors/controller units)]],"")</f>
        <v/>
      </c>
      <c r="M148"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48"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48" s="67" t="str">
        <f t="shared" si="2"/>
        <v/>
      </c>
      <c r="P148" s="67" t="str">
        <f>IF(Table_Controls_Input[[#This Row],[Per-unit incentive]]="","",Table_Controls_Input[[#This Row],[Total equipment cost]]+Table_Controls_Input[[#This Row],[Total labor cost]])</f>
        <v/>
      </c>
      <c r="Q148" s="67" t="str">
        <f>IFERROR(Table_Controls_Input[[#This Row],[Gross measure cost]]-Table_Controls_Input[[#This Row],[Estimated incentive]], "")</f>
        <v/>
      </c>
      <c r="R148" s="69" t="str">
        <f>IFERROR(Table_Controls_Input[[#This Row],[Net measure cost]]/Table_Controls_Input[[#This Row],[Cost savings]],"")</f>
        <v/>
      </c>
      <c r="S148" s="74" t="e">
        <f>INDEX(Table_Control_PAF[PAF], MATCH(Table_Controls_Input[[#This Row],[Existing lighting controls]], Table_Control_PAF[List_Control_Types], 0))</f>
        <v>#N/A</v>
      </c>
      <c r="T148" s="74" t="e">
        <f>INDEX(Table_Measure_PAF[Proposed PAF], MATCH(Table_Controls_Input[[#This Row],[Prescriptive control measure]], Table_Measure_PAF[List_Control_Measure], 0))</f>
        <v>#N/A</v>
      </c>
      <c r="U148" s="74" t="e">
        <f>INDEX(Table_Prescript_Meas[AOH Type], MATCH(Table_Controls_Input[[#This Row],[Measure number]],Table_Prescript_Meas[Measure Number], 0))</f>
        <v>#N/A</v>
      </c>
      <c r="V148" s="74" t="e">
        <f>INDEX(Table_Prescript_Meas[AOH Type], MATCH(Table_Controls_Input[[#This Row],[Measure number]], Table_Prescript_Meas[Measure Number],0))</f>
        <v>#N/A</v>
      </c>
      <c r="W148"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48" s="4"/>
      <c r="Y148" s="4"/>
      <c r="Z148" s="4"/>
      <c r="AA148" s="4"/>
      <c r="AB148" s="4"/>
      <c r="AC148" s="4"/>
      <c r="AD148" s="4"/>
      <c r="AE148" s="4"/>
      <c r="AF148" s="4"/>
      <c r="AG148" s="4"/>
      <c r="AH148" s="4"/>
      <c r="AI148" s="4"/>
      <c r="AJ148" s="4"/>
      <c r="AK148" s="4"/>
      <c r="AL148" s="4"/>
      <c r="AM148" s="4"/>
      <c r="AN148" s="4"/>
      <c r="AO148" s="4"/>
      <c r="AP148" s="4"/>
      <c r="AQ148" s="4"/>
      <c r="AR148" s="4"/>
      <c r="AS148" s="4"/>
    </row>
    <row r="149" spans="1:45" x14ac:dyDescent="0.2">
      <c r="A149" s="4"/>
      <c r="B149" s="63">
        <v>145</v>
      </c>
      <c r="C149" s="61" t="str">
        <f>IFERROR(INDEX(Table_Prescript_Meas[Measure Number], MATCH(E149, Table_Prescript_Meas[Measure Description], 0)), "")</f>
        <v/>
      </c>
      <c r="D149" s="192"/>
      <c r="E149" s="179"/>
      <c r="F149" s="197"/>
      <c r="G149" s="179"/>
      <c r="H149" s="179"/>
      <c r="I149" s="181"/>
      <c r="J149" s="181"/>
      <c r="K149"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49" s="67" t="str">
        <f>IFERROR(Table_Controls_Input[[#This Row],[Per-unit incentive]]*Table_Controls_Input[[#This Row],[Quantity (Sensors/controller units)]],"")</f>
        <v/>
      </c>
      <c r="M149"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49"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49" s="67" t="str">
        <f t="shared" si="2"/>
        <v/>
      </c>
      <c r="P149" s="67" t="str">
        <f>IF(Table_Controls_Input[[#This Row],[Per-unit incentive]]="","",Table_Controls_Input[[#This Row],[Total equipment cost]]+Table_Controls_Input[[#This Row],[Total labor cost]])</f>
        <v/>
      </c>
      <c r="Q149" s="67" t="str">
        <f>IFERROR(Table_Controls_Input[[#This Row],[Gross measure cost]]-Table_Controls_Input[[#This Row],[Estimated incentive]], "")</f>
        <v/>
      </c>
      <c r="R149" s="69" t="str">
        <f>IFERROR(Table_Controls_Input[[#This Row],[Net measure cost]]/Table_Controls_Input[[#This Row],[Cost savings]],"")</f>
        <v/>
      </c>
      <c r="S149" s="74" t="e">
        <f>INDEX(Table_Control_PAF[PAF], MATCH(Table_Controls_Input[[#This Row],[Existing lighting controls]], Table_Control_PAF[List_Control_Types], 0))</f>
        <v>#N/A</v>
      </c>
      <c r="T149" s="74" t="e">
        <f>INDEX(Table_Measure_PAF[Proposed PAF], MATCH(Table_Controls_Input[[#This Row],[Prescriptive control measure]], Table_Measure_PAF[List_Control_Measure], 0))</f>
        <v>#N/A</v>
      </c>
      <c r="U149" s="74" t="e">
        <f>INDEX(Table_Prescript_Meas[AOH Type], MATCH(Table_Controls_Input[[#This Row],[Measure number]],Table_Prescript_Meas[Measure Number], 0))</f>
        <v>#N/A</v>
      </c>
      <c r="V149" s="74" t="e">
        <f>INDEX(Table_Prescript_Meas[AOH Type], MATCH(Table_Controls_Input[[#This Row],[Measure number]], Table_Prescript_Meas[Measure Number],0))</f>
        <v>#N/A</v>
      </c>
      <c r="W149"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49" s="4"/>
      <c r="Y149" s="4"/>
      <c r="Z149" s="4"/>
      <c r="AA149" s="4"/>
      <c r="AB149" s="4"/>
      <c r="AC149" s="4"/>
      <c r="AD149" s="4"/>
      <c r="AE149" s="4"/>
      <c r="AF149" s="4"/>
      <c r="AG149" s="4"/>
      <c r="AH149" s="4"/>
      <c r="AI149" s="4"/>
      <c r="AJ149" s="4"/>
      <c r="AK149" s="4"/>
      <c r="AL149" s="4"/>
      <c r="AM149" s="4"/>
      <c r="AN149" s="4"/>
      <c r="AO149" s="4"/>
      <c r="AP149" s="4"/>
      <c r="AQ149" s="4"/>
      <c r="AR149" s="4"/>
      <c r="AS149" s="4"/>
    </row>
    <row r="150" spans="1:45" x14ac:dyDescent="0.2">
      <c r="A150" s="4"/>
      <c r="B150" s="63">
        <v>146</v>
      </c>
      <c r="C150" s="61" t="str">
        <f>IFERROR(INDEX(Table_Prescript_Meas[Measure Number], MATCH(E150, Table_Prescript_Meas[Measure Description], 0)), "")</f>
        <v/>
      </c>
      <c r="D150" s="192"/>
      <c r="E150" s="179"/>
      <c r="F150" s="197"/>
      <c r="G150" s="179"/>
      <c r="H150" s="179"/>
      <c r="I150" s="181"/>
      <c r="J150" s="181"/>
      <c r="K150"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50" s="67" t="str">
        <f>IFERROR(Table_Controls_Input[[#This Row],[Per-unit incentive]]*Table_Controls_Input[[#This Row],[Quantity (Sensors/controller units)]],"")</f>
        <v/>
      </c>
      <c r="M150"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50"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50" s="67" t="str">
        <f t="shared" si="2"/>
        <v/>
      </c>
      <c r="P150" s="67" t="str">
        <f>IF(Table_Controls_Input[[#This Row],[Per-unit incentive]]="","",Table_Controls_Input[[#This Row],[Total equipment cost]]+Table_Controls_Input[[#This Row],[Total labor cost]])</f>
        <v/>
      </c>
      <c r="Q150" s="67" t="str">
        <f>IFERROR(Table_Controls_Input[[#This Row],[Gross measure cost]]-Table_Controls_Input[[#This Row],[Estimated incentive]], "")</f>
        <v/>
      </c>
      <c r="R150" s="69" t="str">
        <f>IFERROR(Table_Controls_Input[[#This Row],[Net measure cost]]/Table_Controls_Input[[#This Row],[Cost savings]],"")</f>
        <v/>
      </c>
      <c r="S150" s="74" t="e">
        <f>INDEX(Table_Control_PAF[PAF], MATCH(Table_Controls_Input[[#This Row],[Existing lighting controls]], Table_Control_PAF[List_Control_Types], 0))</f>
        <v>#N/A</v>
      </c>
      <c r="T150" s="74" t="e">
        <f>INDEX(Table_Measure_PAF[Proposed PAF], MATCH(Table_Controls_Input[[#This Row],[Prescriptive control measure]], Table_Measure_PAF[List_Control_Measure], 0))</f>
        <v>#N/A</v>
      </c>
      <c r="U150" s="74" t="e">
        <f>INDEX(Table_Prescript_Meas[AOH Type], MATCH(Table_Controls_Input[[#This Row],[Measure number]],Table_Prescript_Meas[Measure Number], 0))</f>
        <v>#N/A</v>
      </c>
      <c r="V150" s="74" t="e">
        <f>INDEX(Table_Prescript_Meas[AOH Type], MATCH(Table_Controls_Input[[#This Row],[Measure number]], Table_Prescript_Meas[Measure Number],0))</f>
        <v>#N/A</v>
      </c>
      <c r="W150"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50" s="4"/>
      <c r="Y150" s="4"/>
      <c r="Z150" s="4"/>
      <c r="AA150" s="4"/>
      <c r="AB150" s="4"/>
      <c r="AC150" s="4"/>
      <c r="AD150" s="4"/>
      <c r="AE150" s="4"/>
      <c r="AF150" s="4"/>
      <c r="AG150" s="4"/>
      <c r="AH150" s="4"/>
      <c r="AI150" s="4"/>
      <c r="AJ150" s="4"/>
      <c r="AK150" s="4"/>
      <c r="AL150" s="4"/>
      <c r="AM150" s="4"/>
      <c r="AN150" s="4"/>
      <c r="AO150" s="4"/>
      <c r="AP150" s="4"/>
      <c r="AQ150" s="4"/>
      <c r="AR150" s="4"/>
      <c r="AS150" s="4"/>
    </row>
    <row r="151" spans="1:45" x14ac:dyDescent="0.2">
      <c r="A151" s="4"/>
      <c r="B151" s="63">
        <v>147</v>
      </c>
      <c r="C151" s="61" t="str">
        <f>IFERROR(INDEX(Table_Prescript_Meas[Measure Number], MATCH(E151, Table_Prescript_Meas[Measure Description], 0)), "")</f>
        <v/>
      </c>
      <c r="D151" s="192"/>
      <c r="E151" s="179"/>
      <c r="F151" s="197"/>
      <c r="G151" s="179"/>
      <c r="H151" s="179"/>
      <c r="I151" s="181"/>
      <c r="J151" s="181"/>
      <c r="K151"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51" s="67" t="str">
        <f>IFERROR(Table_Controls_Input[[#This Row],[Per-unit incentive]]*Table_Controls_Input[[#This Row],[Quantity (Sensors/controller units)]],"")</f>
        <v/>
      </c>
      <c r="M151"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51"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51" s="67" t="str">
        <f t="shared" si="2"/>
        <v/>
      </c>
      <c r="P151" s="67" t="str">
        <f>IF(Table_Controls_Input[[#This Row],[Per-unit incentive]]="","",Table_Controls_Input[[#This Row],[Total equipment cost]]+Table_Controls_Input[[#This Row],[Total labor cost]])</f>
        <v/>
      </c>
      <c r="Q151" s="67" t="str">
        <f>IFERROR(Table_Controls_Input[[#This Row],[Gross measure cost]]-Table_Controls_Input[[#This Row],[Estimated incentive]], "")</f>
        <v/>
      </c>
      <c r="R151" s="69" t="str">
        <f>IFERROR(Table_Controls_Input[[#This Row],[Net measure cost]]/Table_Controls_Input[[#This Row],[Cost savings]],"")</f>
        <v/>
      </c>
      <c r="S151" s="74" t="e">
        <f>INDEX(Table_Control_PAF[PAF], MATCH(Table_Controls_Input[[#This Row],[Existing lighting controls]], Table_Control_PAF[List_Control_Types], 0))</f>
        <v>#N/A</v>
      </c>
      <c r="T151" s="74" t="e">
        <f>INDEX(Table_Measure_PAF[Proposed PAF], MATCH(Table_Controls_Input[[#This Row],[Prescriptive control measure]], Table_Measure_PAF[List_Control_Measure], 0))</f>
        <v>#N/A</v>
      </c>
      <c r="U151" s="74" t="e">
        <f>INDEX(Table_Prescript_Meas[AOH Type], MATCH(Table_Controls_Input[[#This Row],[Measure number]],Table_Prescript_Meas[Measure Number], 0))</f>
        <v>#N/A</v>
      </c>
      <c r="V151" s="74" t="e">
        <f>INDEX(Table_Prescript_Meas[AOH Type], MATCH(Table_Controls_Input[[#This Row],[Measure number]], Table_Prescript_Meas[Measure Number],0))</f>
        <v>#N/A</v>
      </c>
      <c r="W151"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51" s="4"/>
      <c r="Y151" s="4"/>
      <c r="Z151" s="4"/>
      <c r="AA151" s="4"/>
      <c r="AB151" s="4"/>
      <c r="AC151" s="4"/>
      <c r="AD151" s="4"/>
      <c r="AE151" s="4"/>
      <c r="AF151" s="4"/>
      <c r="AG151" s="4"/>
      <c r="AH151" s="4"/>
      <c r="AI151" s="4"/>
      <c r="AJ151" s="4"/>
      <c r="AK151" s="4"/>
      <c r="AL151" s="4"/>
      <c r="AM151" s="4"/>
      <c r="AN151" s="4"/>
      <c r="AO151" s="4"/>
      <c r="AP151" s="4"/>
      <c r="AQ151" s="4"/>
      <c r="AR151" s="4"/>
      <c r="AS151" s="4"/>
    </row>
    <row r="152" spans="1:45" x14ac:dyDescent="0.2">
      <c r="A152" s="4"/>
      <c r="B152" s="63">
        <v>148</v>
      </c>
      <c r="C152" s="61" t="str">
        <f>IFERROR(INDEX(Table_Prescript_Meas[Measure Number], MATCH(E152, Table_Prescript_Meas[Measure Description], 0)), "")</f>
        <v/>
      </c>
      <c r="D152" s="192"/>
      <c r="E152" s="179"/>
      <c r="F152" s="197"/>
      <c r="G152" s="179"/>
      <c r="H152" s="179"/>
      <c r="I152" s="181"/>
      <c r="J152" s="181"/>
      <c r="K152"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52" s="67" t="str">
        <f>IFERROR(Table_Controls_Input[[#This Row],[Per-unit incentive]]*Table_Controls_Input[[#This Row],[Quantity (Sensors/controller units)]],"")</f>
        <v/>
      </c>
      <c r="M152"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52"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52" s="67" t="str">
        <f t="shared" si="2"/>
        <v/>
      </c>
      <c r="P152" s="67" t="str">
        <f>IF(Table_Controls_Input[[#This Row],[Per-unit incentive]]="","",Table_Controls_Input[[#This Row],[Total equipment cost]]+Table_Controls_Input[[#This Row],[Total labor cost]])</f>
        <v/>
      </c>
      <c r="Q152" s="67" t="str">
        <f>IFERROR(Table_Controls_Input[[#This Row],[Gross measure cost]]-Table_Controls_Input[[#This Row],[Estimated incentive]], "")</f>
        <v/>
      </c>
      <c r="R152" s="69" t="str">
        <f>IFERROR(Table_Controls_Input[[#This Row],[Net measure cost]]/Table_Controls_Input[[#This Row],[Cost savings]],"")</f>
        <v/>
      </c>
      <c r="S152" s="74" t="e">
        <f>INDEX(Table_Control_PAF[PAF], MATCH(Table_Controls_Input[[#This Row],[Existing lighting controls]], Table_Control_PAF[List_Control_Types], 0))</f>
        <v>#N/A</v>
      </c>
      <c r="T152" s="74" t="e">
        <f>INDEX(Table_Measure_PAF[Proposed PAF], MATCH(Table_Controls_Input[[#This Row],[Prescriptive control measure]], Table_Measure_PAF[List_Control_Measure], 0))</f>
        <v>#N/A</v>
      </c>
      <c r="U152" s="74" t="e">
        <f>INDEX(Table_Prescript_Meas[AOH Type], MATCH(Table_Controls_Input[[#This Row],[Measure number]],Table_Prescript_Meas[Measure Number], 0))</f>
        <v>#N/A</v>
      </c>
      <c r="V152" s="74" t="e">
        <f>INDEX(Table_Prescript_Meas[AOH Type], MATCH(Table_Controls_Input[[#This Row],[Measure number]], Table_Prescript_Meas[Measure Number],0))</f>
        <v>#N/A</v>
      </c>
      <c r="W152"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52" s="4"/>
      <c r="Y152" s="4"/>
      <c r="Z152" s="4"/>
      <c r="AA152" s="4"/>
      <c r="AB152" s="4"/>
      <c r="AC152" s="4"/>
      <c r="AD152" s="4"/>
      <c r="AE152" s="4"/>
      <c r="AF152" s="4"/>
      <c r="AG152" s="4"/>
      <c r="AH152" s="4"/>
      <c r="AI152" s="4"/>
      <c r="AJ152" s="4"/>
      <c r="AK152" s="4"/>
      <c r="AL152" s="4"/>
      <c r="AM152" s="4"/>
      <c r="AN152" s="4"/>
      <c r="AO152" s="4"/>
      <c r="AP152" s="4"/>
      <c r="AQ152" s="4"/>
      <c r="AR152" s="4"/>
      <c r="AS152" s="4"/>
    </row>
    <row r="153" spans="1:45" x14ac:dyDescent="0.2">
      <c r="A153" s="4"/>
      <c r="B153" s="63">
        <v>149</v>
      </c>
      <c r="C153" s="61" t="str">
        <f>IFERROR(INDEX(Table_Prescript_Meas[Measure Number], MATCH(E153, Table_Prescript_Meas[Measure Description], 0)), "")</f>
        <v/>
      </c>
      <c r="D153" s="192"/>
      <c r="E153" s="179"/>
      <c r="F153" s="197"/>
      <c r="G153" s="179"/>
      <c r="H153" s="179"/>
      <c r="I153" s="181"/>
      <c r="J153" s="181"/>
      <c r="K153"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53" s="67" t="str">
        <f>IFERROR(Table_Controls_Input[[#This Row],[Per-unit incentive]]*Table_Controls_Input[[#This Row],[Quantity (Sensors/controller units)]],"")</f>
        <v/>
      </c>
      <c r="M153"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53"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53" s="67" t="str">
        <f t="shared" si="2"/>
        <v/>
      </c>
      <c r="P153" s="67" t="str">
        <f>IF(Table_Controls_Input[[#This Row],[Per-unit incentive]]="","",Table_Controls_Input[[#This Row],[Total equipment cost]]+Table_Controls_Input[[#This Row],[Total labor cost]])</f>
        <v/>
      </c>
      <c r="Q153" s="67" t="str">
        <f>IFERROR(Table_Controls_Input[[#This Row],[Gross measure cost]]-Table_Controls_Input[[#This Row],[Estimated incentive]], "")</f>
        <v/>
      </c>
      <c r="R153" s="69" t="str">
        <f>IFERROR(Table_Controls_Input[[#This Row],[Net measure cost]]/Table_Controls_Input[[#This Row],[Cost savings]],"")</f>
        <v/>
      </c>
      <c r="S153" s="74" t="e">
        <f>INDEX(Table_Control_PAF[PAF], MATCH(Table_Controls_Input[[#This Row],[Existing lighting controls]], Table_Control_PAF[List_Control_Types], 0))</f>
        <v>#N/A</v>
      </c>
      <c r="T153" s="74" t="e">
        <f>INDEX(Table_Measure_PAF[Proposed PAF], MATCH(Table_Controls_Input[[#This Row],[Prescriptive control measure]], Table_Measure_PAF[List_Control_Measure], 0))</f>
        <v>#N/A</v>
      </c>
      <c r="U153" s="74" t="e">
        <f>INDEX(Table_Prescript_Meas[AOH Type], MATCH(Table_Controls_Input[[#This Row],[Measure number]],Table_Prescript_Meas[Measure Number], 0))</f>
        <v>#N/A</v>
      </c>
      <c r="V153" s="74" t="e">
        <f>INDEX(Table_Prescript_Meas[AOH Type], MATCH(Table_Controls_Input[[#This Row],[Measure number]], Table_Prescript_Meas[Measure Number],0))</f>
        <v>#N/A</v>
      </c>
      <c r="W153"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53" s="4"/>
      <c r="Y153" s="4"/>
      <c r="Z153" s="4"/>
      <c r="AA153" s="4"/>
      <c r="AB153" s="4"/>
      <c r="AC153" s="4"/>
      <c r="AD153" s="4"/>
      <c r="AE153" s="4"/>
      <c r="AF153" s="4"/>
      <c r="AG153" s="4"/>
      <c r="AH153" s="4"/>
      <c r="AI153" s="4"/>
      <c r="AJ153" s="4"/>
      <c r="AK153" s="4"/>
      <c r="AL153" s="4"/>
      <c r="AM153" s="4"/>
      <c r="AN153" s="4"/>
      <c r="AO153" s="4"/>
      <c r="AP153" s="4"/>
      <c r="AQ153" s="4"/>
      <c r="AR153" s="4"/>
      <c r="AS153" s="4"/>
    </row>
    <row r="154" spans="1:45" x14ac:dyDescent="0.2">
      <c r="A154" s="4"/>
      <c r="B154" s="63">
        <v>150</v>
      </c>
      <c r="C154" s="61" t="str">
        <f>IFERROR(INDEX(Table_Prescript_Meas[Measure Number], MATCH(E154, Table_Prescript_Meas[Measure Description], 0)), "")</f>
        <v/>
      </c>
      <c r="D154" s="192"/>
      <c r="E154" s="179"/>
      <c r="F154" s="197"/>
      <c r="G154" s="179"/>
      <c r="H154" s="179"/>
      <c r="I154" s="181"/>
      <c r="J154" s="181"/>
      <c r="K154"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54" s="67" t="str">
        <f>IFERROR(Table_Controls_Input[[#This Row],[Per-unit incentive]]*Table_Controls_Input[[#This Row],[Quantity (Sensors/controller units)]],"")</f>
        <v/>
      </c>
      <c r="M154"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54"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54" s="67" t="str">
        <f t="shared" si="2"/>
        <v/>
      </c>
      <c r="P154" s="67" t="str">
        <f>IF(Table_Controls_Input[[#This Row],[Per-unit incentive]]="","",Table_Controls_Input[[#This Row],[Total equipment cost]]+Table_Controls_Input[[#This Row],[Total labor cost]])</f>
        <v/>
      </c>
      <c r="Q154" s="67" t="str">
        <f>IFERROR(Table_Controls_Input[[#This Row],[Gross measure cost]]-Table_Controls_Input[[#This Row],[Estimated incentive]], "")</f>
        <v/>
      </c>
      <c r="R154" s="69" t="str">
        <f>IFERROR(Table_Controls_Input[[#This Row],[Net measure cost]]/Table_Controls_Input[[#This Row],[Cost savings]],"")</f>
        <v/>
      </c>
      <c r="S154" s="74" t="e">
        <f>INDEX(Table_Control_PAF[PAF], MATCH(Table_Controls_Input[[#This Row],[Existing lighting controls]], Table_Control_PAF[List_Control_Types], 0))</f>
        <v>#N/A</v>
      </c>
      <c r="T154" s="74" t="e">
        <f>INDEX(Table_Measure_PAF[Proposed PAF], MATCH(Table_Controls_Input[[#This Row],[Prescriptive control measure]], Table_Measure_PAF[List_Control_Measure], 0))</f>
        <v>#N/A</v>
      </c>
      <c r="U154" s="74" t="e">
        <f>INDEX(Table_Prescript_Meas[AOH Type], MATCH(Table_Controls_Input[[#This Row],[Measure number]],Table_Prescript_Meas[Measure Number], 0))</f>
        <v>#N/A</v>
      </c>
      <c r="V154" s="74" t="e">
        <f>INDEX(Table_Prescript_Meas[AOH Type], MATCH(Table_Controls_Input[[#This Row],[Measure number]], Table_Prescript_Meas[Measure Number],0))</f>
        <v>#N/A</v>
      </c>
      <c r="W154"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54" s="4"/>
      <c r="Y154" s="4"/>
      <c r="Z154" s="4"/>
      <c r="AA154" s="4"/>
      <c r="AB154" s="4"/>
      <c r="AC154" s="4"/>
      <c r="AD154" s="4"/>
      <c r="AE154" s="4"/>
      <c r="AF154" s="4"/>
      <c r="AG154" s="4"/>
      <c r="AH154" s="4"/>
      <c r="AI154" s="4"/>
      <c r="AJ154" s="4"/>
      <c r="AK154" s="4"/>
      <c r="AL154" s="4"/>
      <c r="AM154" s="4"/>
      <c r="AN154" s="4"/>
      <c r="AO154" s="4"/>
      <c r="AP154" s="4"/>
      <c r="AQ154" s="4"/>
      <c r="AR154" s="4"/>
      <c r="AS154" s="4"/>
    </row>
    <row r="155" spans="1:45" x14ac:dyDescent="0.2">
      <c r="A155" s="4"/>
      <c r="B155" s="63">
        <v>151</v>
      </c>
      <c r="C155" s="61" t="str">
        <f>IFERROR(INDEX(Table_Prescript_Meas[Measure Number], MATCH(E155, Table_Prescript_Meas[Measure Description], 0)), "")</f>
        <v/>
      </c>
      <c r="D155" s="192"/>
      <c r="E155" s="179"/>
      <c r="F155" s="197"/>
      <c r="G155" s="179"/>
      <c r="H155" s="179"/>
      <c r="I155" s="181"/>
      <c r="J155" s="181"/>
      <c r="K155"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55" s="67" t="str">
        <f>IFERROR(Table_Controls_Input[[#This Row],[Per-unit incentive]]*Table_Controls_Input[[#This Row],[Quantity (Sensors/controller units)]],"")</f>
        <v/>
      </c>
      <c r="M155"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55"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55" s="67" t="str">
        <f t="shared" si="2"/>
        <v/>
      </c>
      <c r="P155" s="67" t="str">
        <f>IF(Table_Controls_Input[[#This Row],[Per-unit incentive]]="","",Table_Controls_Input[[#This Row],[Total equipment cost]]+Table_Controls_Input[[#This Row],[Total labor cost]])</f>
        <v/>
      </c>
      <c r="Q155" s="67" t="str">
        <f>IFERROR(Table_Controls_Input[[#This Row],[Gross measure cost]]-Table_Controls_Input[[#This Row],[Estimated incentive]], "")</f>
        <v/>
      </c>
      <c r="R155" s="69" t="str">
        <f>IFERROR(Table_Controls_Input[[#This Row],[Net measure cost]]/Table_Controls_Input[[#This Row],[Cost savings]],"")</f>
        <v/>
      </c>
      <c r="S155" s="74" t="e">
        <f>INDEX(Table_Control_PAF[PAF], MATCH(Table_Controls_Input[[#This Row],[Existing lighting controls]], Table_Control_PAF[List_Control_Types], 0))</f>
        <v>#N/A</v>
      </c>
      <c r="T155" s="74" t="e">
        <f>INDEX(Table_Measure_PAF[Proposed PAF], MATCH(Table_Controls_Input[[#This Row],[Prescriptive control measure]], Table_Measure_PAF[List_Control_Measure], 0))</f>
        <v>#N/A</v>
      </c>
      <c r="U155" s="74" t="e">
        <f>INDEX(Table_Prescript_Meas[AOH Type], MATCH(Table_Controls_Input[[#This Row],[Measure number]],Table_Prescript_Meas[Measure Number], 0))</f>
        <v>#N/A</v>
      </c>
      <c r="V155" s="74" t="e">
        <f>INDEX(Table_Prescript_Meas[AOH Type], MATCH(Table_Controls_Input[[#This Row],[Measure number]], Table_Prescript_Meas[Measure Number],0))</f>
        <v>#N/A</v>
      </c>
      <c r="W155"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55" s="4"/>
      <c r="Y155" s="4"/>
      <c r="Z155" s="4"/>
      <c r="AA155" s="4"/>
      <c r="AB155" s="4"/>
      <c r="AC155" s="4"/>
      <c r="AD155" s="4"/>
      <c r="AE155" s="4"/>
      <c r="AF155" s="4"/>
      <c r="AG155" s="4"/>
      <c r="AH155" s="4"/>
      <c r="AI155" s="4"/>
      <c r="AJ155" s="4"/>
      <c r="AK155" s="4"/>
      <c r="AL155" s="4"/>
      <c r="AM155" s="4"/>
      <c r="AN155" s="4"/>
      <c r="AO155" s="4"/>
      <c r="AP155" s="4"/>
      <c r="AQ155" s="4"/>
      <c r="AR155" s="4"/>
      <c r="AS155" s="4"/>
    </row>
    <row r="156" spans="1:45" x14ac:dyDescent="0.2">
      <c r="A156" s="4"/>
      <c r="B156" s="63">
        <v>152</v>
      </c>
      <c r="C156" s="61" t="str">
        <f>IFERROR(INDEX(Table_Prescript_Meas[Measure Number], MATCH(E156, Table_Prescript_Meas[Measure Description], 0)), "")</f>
        <v/>
      </c>
      <c r="D156" s="192"/>
      <c r="E156" s="179"/>
      <c r="F156" s="197"/>
      <c r="G156" s="179"/>
      <c r="H156" s="179"/>
      <c r="I156" s="181"/>
      <c r="J156" s="181"/>
      <c r="K156"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56" s="67" t="str">
        <f>IFERROR(Table_Controls_Input[[#This Row],[Per-unit incentive]]*Table_Controls_Input[[#This Row],[Quantity (Sensors/controller units)]],"")</f>
        <v/>
      </c>
      <c r="M156"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56"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56" s="67" t="str">
        <f t="shared" si="2"/>
        <v/>
      </c>
      <c r="P156" s="67" t="str">
        <f>IF(Table_Controls_Input[[#This Row],[Per-unit incentive]]="","",Table_Controls_Input[[#This Row],[Total equipment cost]]+Table_Controls_Input[[#This Row],[Total labor cost]])</f>
        <v/>
      </c>
      <c r="Q156" s="67" t="str">
        <f>IFERROR(Table_Controls_Input[[#This Row],[Gross measure cost]]-Table_Controls_Input[[#This Row],[Estimated incentive]], "")</f>
        <v/>
      </c>
      <c r="R156" s="69" t="str">
        <f>IFERROR(Table_Controls_Input[[#This Row],[Net measure cost]]/Table_Controls_Input[[#This Row],[Cost savings]],"")</f>
        <v/>
      </c>
      <c r="S156" s="74" t="e">
        <f>INDEX(Table_Control_PAF[PAF], MATCH(Table_Controls_Input[[#This Row],[Existing lighting controls]], Table_Control_PAF[List_Control_Types], 0))</f>
        <v>#N/A</v>
      </c>
      <c r="T156" s="74" t="e">
        <f>INDEX(Table_Measure_PAF[Proposed PAF], MATCH(Table_Controls_Input[[#This Row],[Prescriptive control measure]], Table_Measure_PAF[List_Control_Measure], 0))</f>
        <v>#N/A</v>
      </c>
      <c r="U156" s="74" t="e">
        <f>INDEX(Table_Prescript_Meas[AOH Type], MATCH(Table_Controls_Input[[#This Row],[Measure number]],Table_Prescript_Meas[Measure Number], 0))</f>
        <v>#N/A</v>
      </c>
      <c r="V156" s="74" t="e">
        <f>INDEX(Table_Prescript_Meas[AOH Type], MATCH(Table_Controls_Input[[#This Row],[Measure number]], Table_Prescript_Meas[Measure Number],0))</f>
        <v>#N/A</v>
      </c>
      <c r="W156"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56" s="4"/>
      <c r="Y156" s="4"/>
      <c r="Z156" s="4"/>
      <c r="AA156" s="4"/>
      <c r="AB156" s="4"/>
      <c r="AC156" s="4"/>
      <c r="AD156" s="4"/>
      <c r="AE156" s="4"/>
      <c r="AF156" s="4"/>
      <c r="AG156" s="4"/>
      <c r="AH156" s="4"/>
      <c r="AI156" s="4"/>
      <c r="AJ156" s="4"/>
      <c r="AK156" s="4"/>
      <c r="AL156" s="4"/>
      <c r="AM156" s="4"/>
      <c r="AN156" s="4"/>
      <c r="AO156" s="4"/>
      <c r="AP156" s="4"/>
      <c r="AQ156" s="4"/>
      <c r="AR156" s="4"/>
      <c r="AS156" s="4"/>
    </row>
    <row r="157" spans="1:45" x14ac:dyDescent="0.2">
      <c r="A157" s="4"/>
      <c r="B157" s="63">
        <v>153</v>
      </c>
      <c r="C157" s="61" t="str">
        <f>IFERROR(INDEX(Table_Prescript_Meas[Measure Number], MATCH(E157, Table_Prescript_Meas[Measure Description], 0)), "")</f>
        <v/>
      </c>
      <c r="D157" s="192"/>
      <c r="E157" s="179"/>
      <c r="F157" s="197"/>
      <c r="G157" s="179"/>
      <c r="H157" s="179"/>
      <c r="I157" s="181"/>
      <c r="J157" s="181"/>
      <c r="K157"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57" s="67" t="str">
        <f>IFERROR(Table_Controls_Input[[#This Row],[Per-unit incentive]]*Table_Controls_Input[[#This Row],[Quantity (Sensors/controller units)]],"")</f>
        <v/>
      </c>
      <c r="M157"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57"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57" s="67" t="str">
        <f t="shared" si="2"/>
        <v/>
      </c>
      <c r="P157" s="67" t="str">
        <f>IF(Table_Controls_Input[[#This Row],[Per-unit incentive]]="","",Table_Controls_Input[[#This Row],[Total equipment cost]]+Table_Controls_Input[[#This Row],[Total labor cost]])</f>
        <v/>
      </c>
      <c r="Q157" s="67" t="str">
        <f>IFERROR(Table_Controls_Input[[#This Row],[Gross measure cost]]-Table_Controls_Input[[#This Row],[Estimated incentive]], "")</f>
        <v/>
      </c>
      <c r="R157" s="69" t="str">
        <f>IFERROR(Table_Controls_Input[[#This Row],[Net measure cost]]/Table_Controls_Input[[#This Row],[Cost savings]],"")</f>
        <v/>
      </c>
      <c r="S157" s="74" t="e">
        <f>INDEX(Table_Control_PAF[PAF], MATCH(Table_Controls_Input[[#This Row],[Existing lighting controls]], Table_Control_PAF[List_Control_Types], 0))</f>
        <v>#N/A</v>
      </c>
      <c r="T157" s="74" t="e">
        <f>INDEX(Table_Measure_PAF[Proposed PAF], MATCH(Table_Controls_Input[[#This Row],[Prescriptive control measure]], Table_Measure_PAF[List_Control_Measure], 0))</f>
        <v>#N/A</v>
      </c>
      <c r="U157" s="74" t="e">
        <f>INDEX(Table_Prescript_Meas[AOH Type], MATCH(Table_Controls_Input[[#This Row],[Measure number]],Table_Prescript_Meas[Measure Number], 0))</f>
        <v>#N/A</v>
      </c>
      <c r="V157" s="74" t="e">
        <f>INDEX(Table_Prescript_Meas[AOH Type], MATCH(Table_Controls_Input[[#This Row],[Measure number]], Table_Prescript_Meas[Measure Number],0))</f>
        <v>#N/A</v>
      </c>
      <c r="W157"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57" s="4"/>
      <c r="Y157" s="4"/>
      <c r="Z157" s="4"/>
      <c r="AA157" s="4"/>
      <c r="AB157" s="4"/>
      <c r="AC157" s="4"/>
      <c r="AD157" s="4"/>
      <c r="AE157" s="4"/>
      <c r="AF157" s="4"/>
      <c r="AG157" s="4"/>
      <c r="AH157" s="4"/>
      <c r="AI157" s="4"/>
      <c r="AJ157" s="4"/>
      <c r="AK157" s="4"/>
      <c r="AL157" s="4"/>
      <c r="AM157" s="4"/>
      <c r="AN157" s="4"/>
      <c r="AO157" s="4"/>
      <c r="AP157" s="4"/>
      <c r="AQ157" s="4"/>
      <c r="AR157" s="4"/>
      <c r="AS157" s="4"/>
    </row>
    <row r="158" spans="1:45" x14ac:dyDescent="0.2">
      <c r="A158" s="4"/>
      <c r="B158" s="63">
        <v>154</v>
      </c>
      <c r="C158" s="61" t="str">
        <f>IFERROR(INDEX(Table_Prescript_Meas[Measure Number], MATCH(E158, Table_Prescript_Meas[Measure Description], 0)), "")</f>
        <v/>
      </c>
      <c r="D158" s="192"/>
      <c r="E158" s="179"/>
      <c r="F158" s="197"/>
      <c r="G158" s="179"/>
      <c r="H158" s="179"/>
      <c r="I158" s="181"/>
      <c r="J158" s="181"/>
      <c r="K158"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58" s="67" t="str">
        <f>IFERROR(Table_Controls_Input[[#This Row],[Per-unit incentive]]*Table_Controls_Input[[#This Row],[Quantity (Sensors/controller units)]],"")</f>
        <v/>
      </c>
      <c r="M158"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58"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58" s="67" t="str">
        <f t="shared" si="2"/>
        <v/>
      </c>
      <c r="P158" s="67" t="str">
        <f>IF(Table_Controls_Input[[#This Row],[Per-unit incentive]]="","",Table_Controls_Input[[#This Row],[Total equipment cost]]+Table_Controls_Input[[#This Row],[Total labor cost]])</f>
        <v/>
      </c>
      <c r="Q158" s="67" t="str">
        <f>IFERROR(Table_Controls_Input[[#This Row],[Gross measure cost]]-Table_Controls_Input[[#This Row],[Estimated incentive]], "")</f>
        <v/>
      </c>
      <c r="R158" s="69" t="str">
        <f>IFERROR(Table_Controls_Input[[#This Row],[Net measure cost]]/Table_Controls_Input[[#This Row],[Cost savings]],"")</f>
        <v/>
      </c>
      <c r="S158" s="74" t="e">
        <f>INDEX(Table_Control_PAF[PAF], MATCH(Table_Controls_Input[[#This Row],[Existing lighting controls]], Table_Control_PAF[List_Control_Types], 0))</f>
        <v>#N/A</v>
      </c>
      <c r="T158" s="74" t="e">
        <f>INDEX(Table_Measure_PAF[Proposed PAF], MATCH(Table_Controls_Input[[#This Row],[Prescriptive control measure]], Table_Measure_PAF[List_Control_Measure], 0))</f>
        <v>#N/A</v>
      </c>
      <c r="U158" s="74" t="e">
        <f>INDEX(Table_Prescript_Meas[AOH Type], MATCH(Table_Controls_Input[[#This Row],[Measure number]],Table_Prescript_Meas[Measure Number], 0))</f>
        <v>#N/A</v>
      </c>
      <c r="V158" s="74" t="e">
        <f>INDEX(Table_Prescript_Meas[AOH Type], MATCH(Table_Controls_Input[[#This Row],[Measure number]], Table_Prescript_Meas[Measure Number],0))</f>
        <v>#N/A</v>
      </c>
      <c r="W158"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58" s="4"/>
      <c r="Y158" s="4"/>
      <c r="Z158" s="4"/>
      <c r="AA158" s="4"/>
      <c r="AB158" s="4"/>
      <c r="AC158" s="4"/>
      <c r="AD158" s="4"/>
      <c r="AE158" s="4"/>
      <c r="AF158" s="4"/>
      <c r="AG158" s="4"/>
      <c r="AH158" s="4"/>
      <c r="AI158" s="4"/>
      <c r="AJ158" s="4"/>
      <c r="AK158" s="4"/>
      <c r="AL158" s="4"/>
      <c r="AM158" s="4"/>
      <c r="AN158" s="4"/>
      <c r="AO158" s="4"/>
      <c r="AP158" s="4"/>
      <c r="AQ158" s="4"/>
      <c r="AR158" s="4"/>
      <c r="AS158" s="4"/>
    </row>
    <row r="159" spans="1:45" x14ac:dyDescent="0.2">
      <c r="A159" s="4"/>
      <c r="B159" s="63">
        <v>155</v>
      </c>
      <c r="C159" s="61" t="str">
        <f>IFERROR(INDEX(Table_Prescript_Meas[Measure Number], MATCH(E159, Table_Prescript_Meas[Measure Description], 0)), "")</f>
        <v/>
      </c>
      <c r="D159" s="192"/>
      <c r="E159" s="179"/>
      <c r="F159" s="197"/>
      <c r="G159" s="179"/>
      <c r="H159" s="179"/>
      <c r="I159" s="181"/>
      <c r="J159" s="181"/>
      <c r="K159"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59" s="67" t="str">
        <f>IFERROR(Table_Controls_Input[[#This Row],[Per-unit incentive]]*Table_Controls_Input[[#This Row],[Quantity (Sensors/controller units)]],"")</f>
        <v/>
      </c>
      <c r="M159"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59"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59" s="67" t="str">
        <f t="shared" si="2"/>
        <v/>
      </c>
      <c r="P159" s="67" t="str">
        <f>IF(Table_Controls_Input[[#This Row],[Per-unit incentive]]="","",Table_Controls_Input[[#This Row],[Total equipment cost]]+Table_Controls_Input[[#This Row],[Total labor cost]])</f>
        <v/>
      </c>
      <c r="Q159" s="67" t="str">
        <f>IFERROR(Table_Controls_Input[[#This Row],[Gross measure cost]]-Table_Controls_Input[[#This Row],[Estimated incentive]], "")</f>
        <v/>
      </c>
      <c r="R159" s="69" t="str">
        <f>IFERROR(Table_Controls_Input[[#This Row],[Net measure cost]]/Table_Controls_Input[[#This Row],[Cost savings]],"")</f>
        <v/>
      </c>
      <c r="S159" s="74" t="e">
        <f>INDEX(Table_Control_PAF[PAF], MATCH(Table_Controls_Input[[#This Row],[Existing lighting controls]], Table_Control_PAF[List_Control_Types], 0))</f>
        <v>#N/A</v>
      </c>
      <c r="T159" s="74" t="e">
        <f>INDEX(Table_Measure_PAF[Proposed PAF], MATCH(Table_Controls_Input[[#This Row],[Prescriptive control measure]], Table_Measure_PAF[List_Control_Measure], 0))</f>
        <v>#N/A</v>
      </c>
      <c r="U159" s="74" t="e">
        <f>INDEX(Table_Prescript_Meas[AOH Type], MATCH(Table_Controls_Input[[#This Row],[Measure number]],Table_Prescript_Meas[Measure Number], 0))</f>
        <v>#N/A</v>
      </c>
      <c r="V159" s="74" t="e">
        <f>INDEX(Table_Prescript_Meas[AOH Type], MATCH(Table_Controls_Input[[#This Row],[Measure number]], Table_Prescript_Meas[Measure Number],0))</f>
        <v>#N/A</v>
      </c>
      <c r="W159"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59" s="4"/>
      <c r="Y159" s="4"/>
      <c r="Z159" s="4"/>
      <c r="AA159" s="4"/>
      <c r="AB159" s="4"/>
      <c r="AC159" s="4"/>
      <c r="AD159" s="4"/>
      <c r="AE159" s="4"/>
      <c r="AF159" s="4"/>
      <c r="AG159" s="4"/>
      <c r="AH159" s="4"/>
      <c r="AI159" s="4"/>
      <c r="AJ159" s="4"/>
      <c r="AK159" s="4"/>
      <c r="AL159" s="4"/>
      <c r="AM159" s="4"/>
      <c r="AN159" s="4"/>
      <c r="AO159" s="4"/>
      <c r="AP159" s="4"/>
      <c r="AQ159" s="4"/>
      <c r="AR159" s="4"/>
      <c r="AS159" s="4"/>
    </row>
    <row r="160" spans="1:45" x14ac:dyDescent="0.2">
      <c r="A160" s="4"/>
      <c r="B160" s="63">
        <v>156</v>
      </c>
      <c r="C160" s="61" t="str">
        <f>IFERROR(INDEX(Table_Prescript_Meas[Measure Number], MATCH(E160, Table_Prescript_Meas[Measure Description], 0)), "")</f>
        <v/>
      </c>
      <c r="D160" s="192"/>
      <c r="E160" s="179"/>
      <c r="F160" s="197"/>
      <c r="G160" s="179"/>
      <c r="H160" s="179"/>
      <c r="I160" s="181"/>
      <c r="J160" s="181"/>
      <c r="K160"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60" s="67" t="str">
        <f>IFERROR(Table_Controls_Input[[#This Row],[Per-unit incentive]]*Table_Controls_Input[[#This Row],[Quantity (Sensors/controller units)]],"")</f>
        <v/>
      </c>
      <c r="M160"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60"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60" s="67" t="str">
        <f t="shared" si="2"/>
        <v/>
      </c>
      <c r="P160" s="67" t="str">
        <f>IF(Table_Controls_Input[[#This Row],[Per-unit incentive]]="","",Table_Controls_Input[[#This Row],[Total equipment cost]]+Table_Controls_Input[[#This Row],[Total labor cost]])</f>
        <v/>
      </c>
      <c r="Q160" s="67" t="str">
        <f>IFERROR(Table_Controls_Input[[#This Row],[Gross measure cost]]-Table_Controls_Input[[#This Row],[Estimated incentive]], "")</f>
        <v/>
      </c>
      <c r="R160" s="69" t="str">
        <f>IFERROR(Table_Controls_Input[[#This Row],[Net measure cost]]/Table_Controls_Input[[#This Row],[Cost savings]],"")</f>
        <v/>
      </c>
      <c r="S160" s="74" t="e">
        <f>INDEX(Table_Control_PAF[PAF], MATCH(Table_Controls_Input[[#This Row],[Existing lighting controls]], Table_Control_PAF[List_Control_Types], 0))</f>
        <v>#N/A</v>
      </c>
      <c r="T160" s="74" t="e">
        <f>INDEX(Table_Measure_PAF[Proposed PAF], MATCH(Table_Controls_Input[[#This Row],[Prescriptive control measure]], Table_Measure_PAF[List_Control_Measure], 0))</f>
        <v>#N/A</v>
      </c>
      <c r="U160" s="74" t="e">
        <f>INDEX(Table_Prescript_Meas[AOH Type], MATCH(Table_Controls_Input[[#This Row],[Measure number]],Table_Prescript_Meas[Measure Number], 0))</f>
        <v>#N/A</v>
      </c>
      <c r="V160" s="74" t="e">
        <f>INDEX(Table_Prescript_Meas[AOH Type], MATCH(Table_Controls_Input[[#This Row],[Measure number]], Table_Prescript_Meas[Measure Number],0))</f>
        <v>#N/A</v>
      </c>
      <c r="W160"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60" s="4"/>
      <c r="Y160" s="4"/>
      <c r="Z160" s="4"/>
      <c r="AA160" s="4"/>
      <c r="AB160" s="4"/>
      <c r="AC160" s="4"/>
      <c r="AD160" s="4"/>
      <c r="AE160" s="4"/>
      <c r="AF160" s="4"/>
      <c r="AG160" s="4"/>
      <c r="AH160" s="4"/>
      <c r="AI160" s="4"/>
      <c r="AJ160" s="4"/>
      <c r="AK160" s="4"/>
      <c r="AL160" s="4"/>
      <c r="AM160" s="4"/>
      <c r="AN160" s="4"/>
      <c r="AO160" s="4"/>
      <c r="AP160" s="4"/>
      <c r="AQ160" s="4"/>
      <c r="AR160" s="4"/>
      <c r="AS160" s="4"/>
    </row>
    <row r="161" spans="1:45" x14ac:dyDescent="0.2">
      <c r="A161" s="4"/>
      <c r="B161" s="63">
        <v>157</v>
      </c>
      <c r="C161" s="61" t="str">
        <f>IFERROR(INDEX(Table_Prescript_Meas[Measure Number], MATCH(E161, Table_Prescript_Meas[Measure Description], 0)), "")</f>
        <v/>
      </c>
      <c r="D161" s="192"/>
      <c r="E161" s="179"/>
      <c r="F161" s="197"/>
      <c r="G161" s="179"/>
      <c r="H161" s="179"/>
      <c r="I161" s="181"/>
      <c r="J161" s="181"/>
      <c r="K161"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61" s="67" t="str">
        <f>IFERROR(Table_Controls_Input[[#This Row],[Per-unit incentive]]*Table_Controls_Input[[#This Row],[Quantity (Sensors/controller units)]],"")</f>
        <v/>
      </c>
      <c r="M161"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61"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61" s="67" t="str">
        <f t="shared" si="2"/>
        <v/>
      </c>
      <c r="P161" s="67" t="str">
        <f>IF(Table_Controls_Input[[#This Row],[Per-unit incentive]]="","",Table_Controls_Input[[#This Row],[Total equipment cost]]+Table_Controls_Input[[#This Row],[Total labor cost]])</f>
        <v/>
      </c>
      <c r="Q161" s="67" t="str">
        <f>IFERROR(Table_Controls_Input[[#This Row],[Gross measure cost]]-Table_Controls_Input[[#This Row],[Estimated incentive]], "")</f>
        <v/>
      </c>
      <c r="R161" s="69" t="str">
        <f>IFERROR(Table_Controls_Input[[#This Row],[Net measure cost]]/Table_Controls_Input[[#This Row],[Cost savings]],"")</f>
        <v/>
      </c>
      <c r="S161" s="74" t="e">
        <f>INDEX(Table_Control_PAF[PAF], MATCH(Table_Controls_Input[[#This Row],[Existing lighting controls]], Table_Control_PAF[List_Control_Types], 0))</f>
        <v>#N/A</v>
      </c>
      <c r="T161" s="74" t="e">
        <f>INDEX(Table_Measure_PAF[Proposed PAF], MATCH(Table_Controls_Input[[#This Row],[Prescriptive control measure]], Table_Measure_PAF[List_Control_Measure], 0))</f>
        <v>#N/A</v>
      </c>
      <c r="U161" s="74" t="e">
        <f>INDEX(Table_Prescript_Meas[AOH Type], MATCH(Table_Controls_Input[[#This Row],[Measure number]],Table_Prescript_Meas[Measure Number], 0))</f>
        <v>#N/A</v>
      </c>
      <c r="V161" s="74" t="e">
        <f>INDEX(Table_Prescript_Meas[AOH Type], MATCH(Table_Controls_Input[[#This Row],[Measure number]], Table_Prescript_Meas[Measure Number],0))</f>
        <v>#N/A</v>
      </c>
      <c r="W161"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61" s="4"/>
      <c r="Y161" s="4"/>
      <c r="Z161" s="4"/>
      <c r="AA161" s="4"/>
      <c r="AB161" s="4"/>
      <c r="AC161" s="4"/>
      <c r="AD161" s="4"/>
      <c r="AE161" s="4"/>
      <c r="AF161" s="4"/>
      <c r="AG161" s="4"/>
      <c r="AH161" s="4"/>
      <c r="AI161" s="4"/>
      <c r="AJ161" s="4"/>
      <c r="AK161" s="4"/>
      <c r="AL161" s="4"/>
      <c r="AM161" s="4"/>
      <c r="AN161" s="4"/>
      <c r="AO161" s="4"/>
      <c r="AP161" s="4"/>
      <c r="AQ161" s="4"/>
      <c r="AR161" s="4"/>
      <c r="AS161" s="4"/>
    </row>
    <row r="162" spans="1:45" x14ac:dyDescent="0.2">
      <c r="A162" s="4"/>
      <c r="B162" s="63">
        <v>158</v>
      </c>
      <c r="C162" s="61" t="str">
        <f>IFERROR(INDEX(Table_Prescript_Meas[Measure Number], MATCH(E162, Table_Prescript_Meas[Measure Description], 0)), "")</f>
        <v/>
      </c>
      <c r="D162" s="192"/>
      <c r="E162" s="179"/>
      <c r="F162" s="197"/>
      <c r="G162" s="179"/>
      <c r="H162" s="179"/>
      <c r="I162" s="181"/>
      <c r="J162" s="181"/>
      <c r="K162"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62" s="67" t="str">
        <f>IFERROR(Table_Controls_Input[[#This Row],[Per-unit incentive]]*Table_Controls_Input[[#This Row],[Quantity (Sensors/controller units)]],"")</f>
        <v/>
      </c>
      <c r="M162"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62"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62" s="67" t="str">
        <f t="shared" si="2"/>
        <v/>
      </c>
      <c r="P162" s="67" t="str">
        <f>IF(Table_Controls_Input[[#This Row],[Per-unit incentive]]="","",Table_Controls_Input[[#This Row],[Total equipment cost]]+Table_Controls_Input[[#This Row],[Total labor cost]])</f>
        <v/>
      </c>
      <c r="Q162" s="67" t="str">
        <f>IFERROR(Table_Controls_Input[[#This Row],[Gross measure cost]]-Table_Controls_Input[[#This Row],[Estimated incentive]], "")</f>
        <v/>
      </c>
      <c r="R162" s="69" t="str">
        <f>IFERROR(Table_Controls_Input[[#This Row],[Net measure cost]]/Table_Controls_Input[[#This Row],[Cost savings]],"")</f>
        <v/>
      </c>
      <c r="S162" s="74" t="e">
        <f>INDEX(Table_Control_PAF[PAF], MATCH(Table_Controls_Input[[#This Row],[Existing lighting controls]], Table_Control_PAF[List_Control_Types], 0))</f>
        <v>#N/A</v>
      </c>
      <c r="T162" s="74" t="e">
        <f>INDEX(Table_Measure_PAF[Proposed PAF], MATCH(Table_Controls_Input[[#This Row],[Prescriptive control measure]], Table_Measure_PAF[List_Control_Measure], 0))</f>
        <v>#N/A</v>
      </c>
      <c r="U162" s="74" t="e">
        <f>INDEX(Table_Prescript_Meas[AOH Type], MATCH(Table_Controls_Input[[#This Row],[Measure number]],Table_Prescript_Meas[Measure Number], 0))</f>
        <v>#N/A</v>
      </c>
      <c r="V162" s="74" t="e">
        <f>INDEX(Table_Prescript_Meas[AOH Type], MATCH(Table_Controls_Input[[#This Row],[Measure number]], Table_Prescript_Meas[Measure Number],0))</f>
        <v>#N/A</v>
      </c>
      <c r="W162"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62" s="4"/>
      <c r="Y162" s="4"/>
      <c r="Z162" s="4"/>
      <c r="AA162" s="4"/>
      <c r="AB162" s="4"/>
      <c r="AC162" s="4"/>
      <c r="AD162" s="4"/>
      <c r="AE162" s="4"/>
      <c r="AF162" s="4"/>
      <c r="AG162" s="4"/>
      <c r="AH162" s="4"/>
      <c r="AI162" s="4"/>
      <c r="AJ162" s="4"/>
      <c r="AK162" s="4"/>
      <c r="AL162" s="4"/>
      <c r="AM162" s="4"/>
      <c r="AN162" s="4"/>
      <c r="AO162" s="4"/>
      <c r="AP162" s="4"/>
      <c r="AQ162" s="4"/>
      <c r="AR162" s="4"/>
      <c r="AS162" s="4"/>
    </row>
    <row r="163" spans="1:45" x14ac:dyDescent="0.2">
      <c r="A163" s="4"/>
      <c r="B163" s="63">
        <v>159</v>
      </c>
      <c r="C163" s="61" t="str">
        <f>IFERROR(INDEX(Table_Prescript_Meas[Measure Number], MATCH(E163, Table_Prescript_Meas[Measure Description], 0)), "")</f>
        <v/>
      </c>
      <c r="D163" s="192"/>
      <c r="E163" s="179"/>
      <c r="F163" s="197"/>
      <c r="G163" s="179"/>
      <c r="H163" s="179"/>
      <c r="I163" s="181"/>
      <c r="J163" s="181"/>
      <c r="K163"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63" s="67" t="str">
        <f>IFERROR(Table_Controls_Input[[#This Row],[Per-unit incentive]]*Table_Controls_Input[[#This Row],[Quantity (Sensors/controller units)]],"")</f>
        <v/>
      </c>
      <c r="M163"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63"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63" s="67" t="str">
        <f t="shared" si="2"/>
        <v/>
      </c>
      <c r="P163" s="67" t="str">
        <f>IF(Table_Controls_Input[[#This Row],[Per-unit incentive]]="","",Table_Controls_Input[[#This Row],[Total equipment cost]]+Table_Controls_Input[[#This Row],[Total labor cost]])</f>
        <v/>
      </c>
      <c r="Q163" s="67" t="str">
        <f>IFERROR(Table_Controls_Input[[#This Row],[Gross measure cost]]-Table_Controls_Input[[#This Row],[Estimated incentive]], "")</f>
        <v/>
      </c>
      <c r="R163" s="69" t="str">
        <f>IFERROR(Table_Controls_Input[[#This Row],[Net measure cost]]/Table_Controls_Input[[#This Row],[Cost savings]],"")</f>
        <v/>
      </c>
      <c r="S163" s="74" t="e">
        <f>INDEX(Table_Control_PAF[PAF], MATCH(Table_Controls_Input[[#This Row],[Existing lighting controls]], Table_Control_PAF[List_Control_Types], 0))</f>
        <v>#N/A</v>
      </c>
      <c r="T163" s="74" t="e">
        <f>INDEX(Table_Measure_PAF[Proposed PAF], MATCH(Table_Controls_Input[[#This Row],[Prescriptive control measure]], Table_Measure_PAF[List_Control_Measure], 0))</f>
        <v>#N/A</v>
      </c>
      <c r="U163" s="74" t="e">
        <f>INDEX(Table_Prescript_Meas[AOH Type], MATCH(Table_Controls_Input[[#This Row],[Measure number]],Table_Prescript_Meas[Measure Number], 0))</f>
        <v>#N/A</v>
      </c>
      <c r="V163" s="74" t="e">
        <f>INDEX(Table_Prescript_Meas[AOH Type], MATCH(Table_Controls_Input[[#This Row],[Measure number]], Table_Prescript_Meas[Measure Number],0))</f>
        <v>#N/A</v>
      </c>
      <c r="W163"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63" s="4"/>
      <c r="Y163" s="4"/>
      <c r="Z163" s="4"/>
      <c r="AA163" s="4"/>
      <c r="AB163" s="4"/>
      <c r="AC163" s="4"/>
      <c r="AD163" s="4"/>
      <c r="AE163" s="4"/>
      <c r="AF163" s="4"/>
      <c r="AG163" s="4"/>
      <c r="AH163" s="4"/>
      <c r="AI163" s="4"/>
      <c r="AJ163" s="4"/>
      <c r="AK163" s="4"/>
      <c r="AL163" s="4"/>
      <c r="AM163" s="4"/>
      <c r="AN163" s="4"/>
      <c r="AO163" s="4"/>
      <c r="AP163" s="4"/>
      <c r="AQ163" s="4"/>
      <c r="AR163" s="4"/>
      <c r="AS163" s="4"/>
    </row>
    <row r="164" spans="1:45" x14ac:dyDescent="0.2">
      <c r="A164" s="4"/>
      <c r="B164" s="63">
        <v>160</v>
      </c>
      <c r="C164" s="61" t="str">
        <f>IFERROR(INDEX(Table_Prescript_Meas[Measure Number], MATCH(E164, Table_Prescript_Meas[Measure Description], 0)), "")</f>
        <v/>
      </c>
      <c r="D164" s="192"/>
      <c r="E164" s="179"/>
      <c r="F164" s="197"/>
      <c r="G164" s="179"/>
      <c r="H164" s="179"/>
      <c r="I164" s="181"/>
      <c r="J164" s="181"/>
      <c r="K164"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64" s="67" t="str">
        <f>IFERROR(Table_Controls_Input[[#This Row],[Per-unit incentive]]*Table_Controls_Input[[#This Row],[Quantity (Sensors/controller units)]],"")</f>
        <v/>
      </c>
      <c r="M164"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64"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64" s="67" t="str">
        <f t="shared" si="2"/>
        <v/>
      </c>
      <c r="P164" s="67" t="str">
        <f>IF(Table_Controls_Input[[#This Row],[Per-unit incentive]]="","",Table_Controls_Input[[#This Row],[Total equipment cost]]+Table_Controls_Input[[#This Row],[Total labor cost]])</f>
        <v/>
      </c>
      <c r="Q164" s="67" t="str">
        <f>IFERROR(Table_Controls_Input[[#This Row],[Gross measure cost]]-Table_Controls_Input[[#This Row],[Estimated incentive]], "")</f>
        <v/>
      </c>
      <c r="R164" s="69" t="str">
        <f>IFERROR(Table_Controls_Input[[#This Row],[Net measure cost]]/Table_Controls_Input[[#This Row],[Cost savings]],"")</f>
        <v/>
      </c>
      <c r="S164" s="74" t="e">
        <f>INDEX(Table_Control_PAF[PAF], MATCH(Table_Controls_Input[[#This Row],[Existing lighting controls]], Table_Control_PAF[List_Control_Types], 0))</f>
        <v>#N/A</v>
      </c>
      <c r="T164" s="74" t="e">
        <f>INDEX(Table_Measure_PAF[Proposed PAF], MATCH(Table_Controls_Input[[#This Row],[Prescriptive control measure]], Table_Measure_PAF[List_Control_Measure], 0))</f>
        <v>#N/A</v>
      </c>
      <c r="U164" s="74" t="e">
        <f>INDEX(Table_Prescript_Meas[AOH Type], MATCH(Table_Controls_Input[[#This Row],[Measure number]],Table_Prescript_Meas[Measure Number], 0))</f>
        <v>#N/A</v>
      </c>
      <c r="V164" s="74" t="e">
        <f>INDEX(Table_Prescript_Meas[AOH Type], MATCH(Table_Controls_Input[[#This Row],[Measure number]], Table_Prescript_Meas[Measure Number],0))</f>
        <v>#N/A</v>
      </c>
      <c r="W164"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64" s="4"/>
      <c r="Y164" s="4"/>
      <c r="Z164" s="4"/>
      <c r="AA164" s="4"/>
      <c r="AB164" s="4"/>
      <c r="AC164" s="4"/>
      <c r="AD164" s="4"/>
      <c r="AE164" s="4"/>
      <c r="AF164" s="4"/>
      <c r="AG164" s="4"/>
      <c r="AH164" s="4"/>
      <c r="AI164" s="4"/>
      <c r="AJ164" s="4"/>
      <c r="AK164" s="4"/>
      <c r="AL164" s="4"/>
      <c r="AM164" s="4"/>
      <c r="AN164" s="4"/>
      <c r="AO164" s="4"/>
      <c r="AP164" s="4"/>
      <c r="AQ164" s="4"/>
      <c r="AR164" s="4"/>
      <c r="AS164" s="4"/>
    </row>
    <row r="165" spans="1:45" x14ac:dyDescent="0.2">
      <c r="A165" s="4"/>
      <c r="B165" s="63">
        <v>161</v>
      </c>
      <c r="C165" s="61" t="str">
        <f>IFERROR(INDEX(Table_Prescript_Meas[Measure Number], MATCH(E165, Table_Prescript_Meas[Measure Description], 0)), "")</f>
        <v/>
      </c>
      <c r="D165" s="192"/>
      <c r="E165" s="179"/>
      <c r="F165" s="197"/>
      <c r="G165" s="179"/>
      <c r="H165" s="179"/>
      <c r="I165" s="181"/>
      <c r="J165" s="181"/>
      <c r="K165"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65" s="67" t="str">
        <f>IFERROR(Table_Controls_Input[[#This Row],[Per-unit incentive]]*Table_Controls_Input[[#This Row],[Quantity (Sensors/controller units)]],"")</f>
        <v/>
      </c>
      <c r="M165"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65"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65" s="67" t="str">
        <f t="shared" si="2"/>
        <v/>
      </c>
      <c r="P165" s="67" t="str">
        <f>IF(Table_Controls_Input[[#This Row],[Per-unit incentive]]="","",Table_Controls_Input[[#This Row],[Total equipment cost]]+Table_Controls_Input[[#This Row],[Total labor cost]])</f>
        <v/>
      </c>
      <c r="Q165" s="67" t="str">
        <f>IFERROR(Table_Controls_Input[[#This Row],[Gross measure cost]]-Table_Controls_Input[[#This Row],[Estimated incentive]], "")</f>
        <v/>
      </c>
      <c r="R165" s="69" t="str">
        <f>IFERROR(Table_Controls_Input[[#This Row],[Net measure cost]]/Table_Controls_Input[[#This Row],[Cost savings]],"")</f>
        <v/>
      </c>
      <c r="S165" s="74" t="e">
        <f>INDEX(Table_Control_PAF[PAF], MATCH(Table_Controls_Input[[#This Row],[Existing lighting controls]], Table_Control_PAF[List_Control_Types], 0))</f>
        <v>#N/A</v>
      </c>
      <c r="T165" s="74" t="e">
        <f>INDEX(Table_Measure_PAF[Proposed PAF], MATCH(Table_Controls_Input[[#This Row],[Prescriptive control measure]], Table_Measure_PAF[List_Control_Measure], 0))</f>
        <v>#N/A</v>
      </c>
      <c r="U165" s="74" t="e">
        <f>INDEX(Table_Prescript_Meas[AOH Type], MATCH(Table_Controls_Input[[#This Row],[Measure number]],Table_Prescript_Meas[Measure Number], 0))</f>
        <v>#N/A</v>
      </c>
      <c r="V165" s="74" t="e">
        <f>INDEX(Table_Prescript_Meas[AOH Type], MATCH(Table_Controls_Input[[#This Row],[Measure number]], Table_Prescript_Meas[Measure Number],0))</f>
        <v>#N/A</v>
      </c>
      <c r="W165"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65" s="4"/>
      <c r="Y165" s="4"/>
      <c r="Z165" s="4"/>
      <c r="AA165" s="4"/>
      <c r="AB165" s="4"/>
      <c r="AC165" s="4"/>
      <c r="AD165" s="4"/>
      <c r="AE165" s="4"/>
      <c r="AF165" s="4"/>
      <c r="AG165" s="4"/>
      <c r="AH165" s="4"/>
      <c r="AI165" s="4"/>
      <c r="AJ165" s="4"/>
      <c r="AK165" s="4"/>
      <c r="AL165" s="4"/>
      <c r="AM165" s="4"/>
      <c r="AN165" s="4"/>
      <c r="AO165" s="4"/>
      <c r="AP165" s="4"/>
      <c r="AQ165" s="4"/>
      <c r="AR165" s="4"/>
      <c r="AS165" s="4"/>
    </row>
    <row r="166" spans="1:45" x14ac:dyDescent="0.2">
      <c r="A166" s="4"/>
      <c r="B166" s="63">
        <v>162</v>
      </c>
      <c r="C166" s="61" t="str">
        <f>IFERROR(INDEX(Table_Prescript_Meas[Measure Number], MATCH(E166, Table_Prescript_Meas[Measure Description], 0)), "")</f>
        <v/>
      </c>
      <c r="D166" s="192"/>
      <c r="E166" s="179"/>
      <c r="F166" s="197"/>
      <c r="G166" s="179"/>
      <c r="H166" s="179"/>
      <c r="I166" s="181"/>
      <c r="J166" s="181"/>
      <c r="K166"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66" s="67" t="str">
        <f>IFERROR(Table_Controls_Input[[#This Row],[Per-unit incentive]]*Table_Controls_Input[[#This Row],[Quantity (Sensors/controller units)]],"")</f>
        <v/>
      </c>
      <c r="M166"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66"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66" s="67" t="str">
        <f t="shared" si="2"/>
        <v/>
      </c>
      <c r="P166" s="67" t="str">
        <f>IF(Table_Controls_Input[[#This Row],[Per-unit incentive]]="","",Table_Controls_Input[[#This Row],[Total equipment cost]]+Table_Controls_Input[[#This Row],[Total labor cost]])</f>
        <v/>
      </c>
      <c r="Q166" s="67" t="str">
        <f>IFERROR(Table_Controls_Input[[#This Row],[Gross measure cost]]-Table_Controls_Input[[#This Row],[Estimated incentive]], "")</f>
        <v/>
      </c>
      <c r="R166" s="69" t="str">
        <f>IFERROR(Table_Controls_Input[[#This Row],[Net measure cost]]/Table_Controls_Input[[#This Row],[Cost savings]],"")</f>
        <v/>
      </c>
      <c r="S166" s="74" t="e">
        <f>INDEX(Table_Control_PAF[PAF], MATCH(Table_Controls_Input[[#This Row],[Existing lighting controls]], Table_Control_PAF[List_Control_Types], 0))</f>
        <v>#N/A</v>
      </c>
      <c r="T166" s="74" t="e">
        <f>INDEX(Table_Measure_PAF[Proposed PAF], MATCH(Table_Controls_Input[[#This Row],[Prescriptive control measure]], Table_Measure_PAF[List_Control_Measure], 0))</f>
        <v>#N/A</v>
      </c>
      <c r="U166" s="74" t="e">
        <f>INDEX(Table_Prescript_Meas[AOH Type], MATCH(Table_Controls_Input[[#This Row],[Measure number]],Table_Prescript_Meas[Measure Number], 0))</f>
        <v>#N/A</v>
      </c>
      <c r="V166" s="74" t="e">
        <f>INDEX(Table_Prescript_Meas[AOH Type], MATCH(Table_Controls_Input[[#This Row],[Measure number]], Table_Prescript_Meas[Measure Number],0))</f>
        <v>#N/A</v>
      </c>
      <c r="W166"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66" s="4"/>
      <c r="Y166" s="4"/>
      <c r="Z166" s="4"/>
      <c r="AA166" s="4"/>
      <c r="AB166" s="4"/>
      <c r="AC166" s="4"/>
      <c r="AD166" s="4"/>
      <c r="AE166" s="4"/>
      <c r="AF166" s="4"/>
      <c r="AG166" s="4"/>
      <c r="AH166" s="4"/>
      <c r="AI166" s="4"/>
      <c r="AJ166" s="4"/>
      <c r="AK166" s="4"/>
      <c r="AL166" s="4"/>
      <c r="AM166" s="4"/>
      <c r="AN166" s="4"/>
      <c r="AO166" s="4"/>
      <c r="AP166" s="4"/>
      <c r="AQ166" s="4"/>
      <c r="AR166" s="4"/>
      <c r="AS166" s="4"/>
    </row>
    <row r="167" spans="1:45" x14ac:dyDescent="0.2">
      <c r="A167" s="4"/>
      <c r="B167" s="63">
        <v>163</v>
      </c>
      <c r="C167" s="61" t="str">
        <f>IFERROR(INDEX(Table_Prescript_Meas[Measure Number], MATCH(E167, Table_Prescript_Meas[Measure Description], 0)), "")</f>
        <v/>
      </c>
      <c r="D167" s="192"/>
      <c r="E167" s="179"/>
      <c r="F167" s="197"/>
      <c r="G167" s="179"/>
      <c r="H167" s="179"/>
      <c r="I167" s="181"/>
      <c r="J167" s="181"/>
      <c r="K167"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67" s="67" t="str">
        <f>IFERROR(Table_Controls_Input[[#This Row],[Per-unit incentive]]*Table_Controls_Input[[#This Row],[Quantity (Sensors/controller units)]],"")</f>
        <v/>
      </c>
      <c r="M167"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67"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67" s="67" t="str">
        <f t="shared" si="2"/>
        <v/>
      </c>
      <c r="P167" s="67" t="str">
        <f>IF(Table_Controls_Input[[#This Row],[Per-unit incentive]]="","",Table_Controls_Input[[#This Row],[Total equipment cost]]+Table_Controls_Input[[#This Row],[Total labor cost]])</f>
        <v/>
      </c>
      <c r="Q167" s="67" t="str">
        <f>IFERROR(Table_Controls_Input[[#This Row],[Gross measure cost]]-Table_Controls_Input[[#This Row],[Estimated incentive]], "")</f>
        <v/>
      </c>
      <c r="R167" s="69" t="str">
        <f>IFERROR(Table_Controls_Input[[#This Row],[Net measure cost]]/Table_Controls_Input[[#This Row],[Cost savings]],"")</f>
        <v/>
      </c>
      <c r="S167" s="74" t="e">
        <f>INDEX(Table_Control_PAF[PAF], MATCH(Table_Controls_Input[[#This Row],[Existing lighting controls]], Table_Control_PAF[List_Control_Types], 0))</f>
        <v>#N/A</v>
      </c>
      <c r="T167" s="74" t="e">
        <f>INDEX(Table_Measure_PAF[Proposed PAF], MATCH(Table_Controls_Input[[#This Row],[Prescriptive control measure]], Table_Measure_PAF[List_Control_Measure], 0))</f>
        <v>#N/A</v>
      </c>
      <c r="U167" s="74" t="e">
        <f>INDEX(Table_Prescript_Meas[AOH Type], MATCH(Table_Controls_Input[[#This Row],[Measure number]],Table_Prescript_Meas[Measure Number], 0))</f>
        <v>#N/A</v>
      </c>
      <c r="V167" s="74" t="e">
        <f>INDEX(Table_Prescript_Meas[AOH Type], MATCH(Table_Controls_Input[[#This Row],[Measure number]], Table_Prescript_Meas[Measure Number],0))</f>
        <v>#N/A</v>
      </c>
      <c r="W167"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67" s="4"/>
      <c r="Y167" s="4"/>
      <c r="Z167" s="4"/>
      <c r="AA167" s="4"/>
      <c r="AB167" s="4"/>
      <c r="AC167" s="4"/>
      <c r="AD167" s="4"/>
      <c r="AE167" s="4"/>
      <c r="AF167" s="4"/>
      <c r="AG167" s="4"/>
      <c r="AH167" s="4"/>
      <c r="AI167" s="4"/>
      <c r="AJ167" s="4"/>
      <c r="AK167" s="4"/>
      <c r="AL167" s="4"/>
      <c r="AM167" s="4"/>
      <c r="AN167" s="4"/>
      <c r="AO167" s="4"/>
      <c r="AP167" s="4"/>
      <c r="AQ167" s="4"/>
      <c r="AR167" s="4"/>
      <c r="AS167" s="4"/>
    </row>
    <row r="168" spans="1:45" x14ac:dyDescent="0.2">
      <c r="A168" s="4"/>
      <c r="B168" s="63">
        <v>164</v>
      </c>
      <c r="C168" s="61" t="str">
        <f>IFERROR(INDEX(Table_Prescript_Meas[Measure Number], MATCH(E168, Table_Prescript_Meas[Measure Description], 0)), "")</f>
        <v/>
      </c>
      <c r="D168" s="192"/>
      <c r="E168" s="179"/>
      <c r="F168" s="197"/>
      <c r="G168" s="179"/>
      <c r="H168" s="179"/>
      <c r="I168" s="181"/>
      <c r="J168" s="181"/>
      <c r="K168"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68" s="67" t="str">
        <f>IFERROR(Table_Controls_Input[[#This Row],[Per-unit incentive]]*Table_Controls_Input[[#This Row],[Quantity (Sensors/controller units)]],"")</f>
        <v/>
      </c>
      <c r="M168"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68"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68" s="67" t="str">
        <f t="shared" si="2"/>
        <v/>
      </c>
      <c r="P168" s="67" t="str">
        <f>IF(Table_Controls_Input[[#This Row],[Per-unit incentive]]="","",Table_Controls_Input[[#This Row],[Total equipment cost]]+Table_Controls_Input[[#This Row],[Total labor cost]])</f>
        <v/>
      </c>
      <c r="Q168" s="67" t="str">
        <f>IFERROR(Table_Controls_Input[[#This Row],[Gross measure cost]]-Table_Controls_Input[[#This Row],[Estimated incentive]], "")</f>
        <v/>
      </c>
      <c r="R168" s="69" t="str">
        <f>IFERROR(Table_Controls_Input[[#This Row],[Net measure cost]]/Table_Controls_Input[[#This Row],[Cost savings]],"")</f>
        <v/>
      </c>
      <c r="S168" s="74" t="e">
        <f>INDEX(Table_Control_PAF[PAF], MATCH(Table_Controls_Input[[#This Row],[Existing lighting controls]], Table_Control_PAF[List_Control_Types], 0))</f>
        <v>#N/A</v>
      </c>
      <c r="T168" s="74" t="e">
        <f>INDEX(Table_Measure_PAF[Proposed PAF], MATCH(Table_Controls_Input[[#This Row],[Prescriptive control measure]], Table_Measure_PAF[List_Control_Measure], 0))</f>
        <v>#N/A</v>
      </c>
      <c r="U168" s="74" t="e">
        <f>INDEX(Table_Prescript_Meas[AOH Type], MATCH(Table_Controls_Input[[#This Row],[Measure number]],Table_Prescript_Meas[Measure Number], 0))</f>
        <v>#N/A</v>
      </c>
      <c r="V168" s="74" t="e">
        <f>INDEX(Table_Prescript_Meas[AOH Type], MATCH(Table_Controls_Input[[#This Row],[Measure number]], Table_Prescript_Meas[Measure Number],0))</f>
        <v>#N/A</v>
      </c>
      <c r="W168"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68" s="4"/>
      <c r="Y168" s="4"/>
      <c r="Z168" s="4"/>
      <c r="AA168" s="4"/>
      <c r="AB168" s="4"/>
      <c r="AC168" s="4"/>
      <c r="AD168" s="4"/>
      <c r="AE168" s="4"/>
      <c r="AF168" s="4"/>
      <c r="AG168" s="4"/>
      <c r="AH168" s="4"/>
      <c r="AI168" s="4"/>
      <c r="AJ168" s="4"/>
      <c r="AK168" s="4"/>
      <c r="AL168" s="4"/>
      <c r="AM168" s="4"/>
      <c r="AN168" s="4"/>
      <c r="AO168" s="4"/>
      <c r="AP168" s="4"/>
      <c r="AQ168" s="4"/>
      <c r="AR168" s="4"/>
      <c r="AS168" s="4"/>
    </row>
    <row r="169" spans="1:45" x14ac:dyDescent="0.2">
      <c r="A169" s="4"/>
      <c r="B169" s="63">
        <v>165</v>
      </c>
      <c r="C169" s="61" t="str">
        <f>IFERROR(INDEX(Table_Prescript_Meas[Measure Number], MATCH(E169, Table_Prescript_Meas[Measure Description], 0)), "")</f>
        <v/>
      </c>
      <c r="D169" s="192"/>
      <c r="E169" s="179"/>
      <c r="F169" s="197"/>
      <c r="G169" s="179"/>
      <c r="H169" s="179"/>
      <c r="I169" s="181"/>
      <c r="J169" s="181"/>
      <c r="K169"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69" s="67" t="str">
        <f>IFERROR(Table_Controls_Input[[#This Row],[Per-unit incentive]]*Table_Controls_Input[[#This Row],[Quantity (Sensors/controller units)]],"")</f>
        <v/>
      </c>
      <c r="M169"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69"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69" s="67" t="str">
        <f t="shared" si="2"/>
        <v/>
      </c>
      <c r="P169" s="67" t="str">
        <f>IF(Table_Controls_Input[[#This Row],[Per-unit incentive]]="","",Table_Controls_Input[[#This Row],[Total equipment cost]]+Table_Controls_Input[[#This Row],[Total labor cost]])</f>
        <v/>
      </c>
      <c r="Q169" s="67" t="str">
        <f>IFERROR(Table_Controls_Input[[#This Row],[Gross measure cost]]-Table_Controls_Input[[#This Row],[Estimated incentive]], "")</f>
        <v/>
      </c>
      <c r="R169" s="69" t="str">
        <f>IFERROR(Table_Controls_Input[[#This Row],[Net measure cost]]/Table_Controls_Input[[#This Row],[Cost savings]],"")</f>
        <v/>
      </c>
      <c r="S169" s="74" t="e">
        <f>INDEX(Table_Control_PAF[PAF], MATCH(Table_Controls_Input[[#This Row],[Existing lighting controls]], Table_Control_PAF[List_Control_Types], 0))</f>
        <v>#N/A</v>
      </c>
      <c r="T169" s="74" t="e">
        <f>INDEX(Table_Measure_PAF[Proposed PAF], MATCH(Table_Controls_Input[[#This Row],[Prescriptive control measure]], Table_Measure_PAF[List_Control_Measure], 0))</f>
        <v>#N/A</v>
      </c>
      <c r="U169" s="74" t="e">
        <f>INDEX(Table_Prescript_Meas[AOH Type], MATCH(Table_Controls_Input[[#This Row],[Measure number]],Table_Prescript_Meas[Measure Number], 0))</f>
        <v>#N/A</v>
      </c>
      <c r="V169" s="74" t="e">
        <f>INDEX(Table_Prescript_Meas[AOH Type], MATCH(Table_Controls_Input[[#This Row],[Measure number]], Table_Prescript_Meas[Measure Number],0))</f>
        <v>#N/A</v>
      </c>
      <c r="W169"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69" s="4"/>
      <c r="Y169" s="4"/>
      <c r="Z169" s="4"/>
      <c r="AA169" s="4"/>
      <c r="AB169" s="4"/>
      <c r="AC169" s="4"/>
      <c r="AD169" s="4"/>
      <c r="AE169" s="4"/>
      <c r="AF169" s="4"/>
      <c r="AG169" s="4"/>
      <c r="AH169" s="4"/>
      <c r="AI169" s="4"/>
      <c r="AJ169" s="4"/>
      <c r="AK169" s="4"/>
      <c r="AL169" s="4"/>
      <c r="AM169" s="4"/>
      <c r="AN169" s="4"/>
      <c r="AO169" s="4"/>
      <c r="AP169" s="4"/>
      <c r="AQ169" s="4"/>
      <c r="AR169" s="4"/>
      <c r="AS169" s="4"/>
    </row>
    <row r="170" spans="1:45" x14ac:dyDescent="0.2">
      <c r="A170" s="4"/>
      <c r="B170" s="63">
        <v>166</v>
      </c>
      <c r="C170" s="61" t="str">
        <f>IFERROR(INDEX(Table_Prescript_Meas[Measure Number], MATCH(E170, Table_Prescript_Meas[Measure Description], 0)), "")</f>
        <v/>
      </c>
      <c r="D170" s="192"/>
      <c r="E170" s="179"/>
      <c r="F170" s="197"/>
      <c r="G170" s="179"/>
      <c r="H170" s="179"/>
      <c r="I170" s="181"/>
      <c r="J170" s="181"/>
      <c r="K170"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70" s="67" t="str">
        <f>IFERROR(Table_Controls_Input[[#This Row],[Per-unit incentive]]*Table_Controls_Input[[#This Row],[Quantity (Sensors/controller units)]],"")</f>
        <v/>
      </c>
      <c r="M170"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70"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70" s="67" t="str">
        <f t="shared" si="2"/>
        <v/>
      </c>
      <c r="P170" s="67" t="str">
        <f>IF(Table_Controls_Input[[#This Row],[Per-unit incentive]]="","",Table_Controls_Input[[#This Row],[Total equipment cost]]+Table_Controls_Input[[#This Row],[Total labor cost]])</f>
        <v/>
      </c>
      <c r="Q170" s="67" t="str">
        <f>IFERROR(Table_Controls_Input[[#This Row],[Gross measure cost]]-Table_Controls_Input[[#This Row],[Estimated incentive]], "")</f>
        <v/>
      </c>
      <c r="R170" s="69" t="str">
        <f>IFERROR(Table_Controls_Input[[#This Row],[Net measure cost]]/Table_Controls_Input[[#This Row],[Cost savings]],"")</f>
        <v/>
      </c>
      <c r="S170" s="74" t="e">
        <f>INDEX(Table_Control_PAF[PAF], MATCH(Table_Controls_Input[[#This Row],[Existing lighting controls]], Table_Control_PAF[List_Control_Types], 0))</f>
        <v>#N/A</v>
      </c>
      <c r="T170" s="74" t="e">
        <f>INDEX(Table_Measure_PAF[Proposed PAF], MATCH(Table_Controls_Input[[#This Row],[Prescriptive control measure]], Table_Measure_PAF[List_Control_Measure], 0))</f>
        <v>#N/A</v>
      </c>
      <c r="U170" s="74" t="e">
        <f>INDEX(Table_Prescript_Meas[AOH Type], MATCH(Table_Controls_Input[[#This Row],[Measure number]],Table_Prescript_Meas[Measure Number], 0))</f>
        <v>#N/A</v>
      </c>
      <c r="V170" s="74" t="e">
        <f>INDEX(Table_Prescript_Meas[AOH Type], MATCH(Table_Controls_Input[[#This Row],[Measure number]], Table_Prescript_Meas[Measure Number],0))</f>
        <v>#N/A</v>
      </c>
      <c r="W170"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70" s="4"/>
      <c r="Y170" s="4"/>
      <c r="Z170" s="4"/>
      <c r="AA170" s="4"/>
      <c r="AB170" s="4"/>
      <c r="AC170" s="4"/>
      <c r="AD170" s="4"/>
      <c r="AE170" s="4"/>
      <c r="AF170" s="4"/>
      <c r="AG170" s="4"/>
      <c r="AH170" s="4"/>
      <c r="AI170" s="4"/>
      <c r="AJ170" s="4"/>
      <c r="AK170" s="4"/>
      <c r="AL170" s="4"/>
      <c r="AM170" s="4"/>
      <c r="AN170" s="4"/>
      <c r="AO170" s="4"/>
      <c r="AP170" s="4"/>
      <c r="AQ170" s="4"/>
      <c r="AR170" s="4"/>
      <c r="AS170" s="4"/>
    </row>
    <row r="171" spans="1:45" x14ac:dyDescent="0.2">
      <c r="A171" s="4"/>
      <c r="B171" s="63">
        <v>167</v>
      </c>
      <c r="C171" s="61" t="str">
        <f>IFERROR(INDEX(Table_Prescript_Meas[Measure Number], MATCH(E171, Table_Prescript_Meas[Measure Description], 0)), "")</f>
        <v/>
      </c>
      <c r="D171" s="192"/>
      <c r="E171" s="179"/>
      <c r="F171" s="197"/>
      <c r="G171" s="179"/>
      <c r="H171" s="179"/>
      <c r="I171" s="181"/>
      <c r="J171" s="181"/>
      <c r="K171"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71" s="67" t="str">
        <f>IFERROR(Table_Controls_Input[[#This Row],[Per-unit incentive]]*Table_Controls_Input[[#This Row],[Quantity (Sensors/controller units)]],"")</f>
        <v/>
      </c>
      <c r="M171"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71"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71" s="67" t="str">
        <f t="shared" si="2"/>
        <v/>
      </c>
      <c r="P171" s="67" t="str">
        <f>IF(Table_Controls_Input[[#This Row],[Per-unit incentive]]="","",Table_Controls_Input[[#This Row],[Total equipment cost]]+Table_Controls_Input[[#This Row],[Total labor cost]])</f>
        <v/>
      </c>
      <c r="Q171" s="67" t="str">
        <f>IFERROR(Table_Controls_Input[[#This Row],[Gross measure cost]]-Table_Controls_Input[[#This Row],[Estimated incentive]], "")</f>
        <v/>
      </c>
      <c r="R171" s="69" t="str">
        <f>IFERROR(Table_Controls_Input[[#This Row],[Net measure cost]]/Table_Controls_Input[[#This Row],[Cost savings]],"")</f>
        <v/>
      </c>
      <c r="S171" s="74" t="e">
        <f>INDEX(Table_Control_PAF[PAF], MATCH(Table_Controls_Input[[#This Row],[Existing lighting controls]], Table_Control_PAF[List_Control_Types], 0))</f>
        <v>#N/A</v>
      </c>
      <c r="T171" s="74" t="e">
        <f>INDEX(Table_Measure_PAF[Proposed PAF], MATCH(Table_Controls_Input[[#This Row],[Prescriptive control measure]], Table_Measure_PAF[List_Control_Measure], 0))</f>
        <v>#N/A</v>
      </c>
      <c r="U171" s="74" t="e">
        <f>INDEX(Table_Prescript_Meas[AOH Type], MATCH(Table_Controls_Input[[#This Row],[Measure number]],Table_Prescript_Meas[Measure Number], 0))</f>
        <v>#N/A</v>
      </c>
      <c r="V171" s="74" t="e">
        <f>INDEX(Table_Prescript_Meas[AOH Type], MATCH(Table_Controls_Input[[#This Row],[Measure number]], Table_Prescript_Meas[Measure Number],0))</f>
        <v>#N/A</v>
      </c>
      <c r="W171"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71" s="4"/>
      <c r="Y171" s="4"/>
      <c r="Z171" s="4"/>
      <c r="AA171" s="4"/>
      <c r="AB171" s="4"/>
      <c r="AC171" s="4"/>
      <c r="AD171" s="4"/>
      <c r="AE171" s="4"/>
      <c r="AF171" s="4"/>
      <c r="AG171" s="4"/>
      <c r="AH171" s="4"/>
      <c r="AI171" s="4"/>
      <c r="AJ171" s="4"/>
      <c r="AK171" s="4"/>
      <c r="AL171" s="4"/>
      <c r="AM171" s="4"/>
      <c r="AN171" s="4"/>
      <c r="AO171" s="4"/>
      <c r="AP171" s="4"/>
      <c r="AQ171" s="4"/>
      <c r="AR171" s="4"/>
      <c r="AS171" s="4"/>
    </row>
    <row r="172" spans="1:45" x14ac:dyDescent="0.2">
      <c r="A172" s="4"/>
      <c r="B172" s="63">
        <v>168</v>
      </c>
      <c r="C172" s="61" t="str">
        <f>IFERROR(INDEX(Table_Prescript_Meas[Measure Number], MATCH(E172, Table_Prescript_Meas[Measure Description], 0)), "")</f>
        <v/>
      </c>
      <c r="D172" s="192"/>
      <c r="E172" s="179"/>
      <c r="F172" s="197"/>
      <c r="G172" s="179"/>
      <c r="H172" s="179"/>
      <c r="I172" s="181"/>
      <c r="J172" s="181"/>
      <c r="K172"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72" s="67" t="str">
        <f>IFERROR(Table_Controls_Input[[#This Row],[Per-unit incentive]]*Table_Controls_Input[[#This Row],[Quantity (Sensors/controller units)]],"")</f>
        <v/>
      </c>
      <c r="M172"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72"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72" s="67" t="str">
        <f t="shared" si="2"/>
        <v/>
      </c>
      <c r="P172" s="67" t="str">
        <f>IF(Table_Controls_Input[[#This Row],[Per-unit incentive]]="","",Table_Controls_Input[[#This Row],[Total equipment cost]]+Table_Controls_Input[[#This Row],[Total labor cost]])</f>
        <v/>
      </c>
      <c r="Q172" s="67" t="str">
        <f>IFERROR(Table_Controls_Input[[#This Row],[Gross measure cost]]-Table_Controls_Input[[#This Row],[Estimated incentive]], "")</f>
        <v/>
      </c>
      <c r="R172" s="69" t="str">
        <f>IFERROR(Table_Controls_Input[[#This Row],[Net measure cost]]/Table_Controls_Input[[#This Row],[Cost savings]],"")</f>
        <v/>
      </c>
      <c r="S172" s="74" t="e">
        <f>INDEX(Table_Control_PAF[PAF], MATCH(Table_Controls_Input[[#This Row],[Existing lighting controls]], Table_Control_PAF[List_Control_Types], 0))</f>
        <v>#N/A</v>
      </c>
      <c r="T172" s="74" t="e">
        <f>INDEX(Table_Measure_PAF[Proposed PAF], MATCH(Table_Controls_Input[[#This Row],[Prescriptive control measure]], Table_Measure_PAF[List_Control_Measure], 0))</f>
        <v>#N/A</v>
      </c>
      <c r="U172" s="74" t="e">
        <f>INDEX(Table_Prescript_Meas[AOH Type], MATCH(Table_Controls_Input[[#This Row],[Measure number]],Table_Prescript_Meas[Measure Number], 0))</f>
        <v>#N/A</v>
      </c>
      <c r="V172" s="74" t="e">
        <f>INDEX(Table_Prescript_Meas[AOH Type], MATCH(Table_Controls_Input[[#This Row],[Measure number]], Table_Prescript_Meas[Measure Number],0))</f>
        <v>#N/A</v>
      </c>
      <c r="W172"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72" s="4"/>
      <c r="Y172" s="4"/>
      <c r="Z172" s="4"/>
      <c r="AA172" s="4"/>
      <c r="AB172" s="4"/>
      <c r="AC172" s="4"/>
      <c r="AD172" s="4"/>
      <c r="AE172" s="4"/>
      <c r="AF172" s="4"/>
      <c r="AG172" s="4"/>
      <c r="AH172" s="4"/>
      <c r="AI172" s="4"/>
      <c r="AJ172" s="4"/>
      <c r="AK172" s="4"/>
      <c r="AL172" s="4"/>
      <c r="AM172" s="4"/>
      <c r="AN172" s="4"/>
      <c r="AO172" s="4"/>
      <c r="AP172" s="4"/>
      <c r="AQ172" s="4"/>
      <c r="AR172" s="4"/>
      <c r="AS172" s="4"/>
    </row>
    <row r="173" spans="1:45" x14ac:dyDescent="0.2">
      <c r="A173" s="4"/>
      <c r="B173" s="63">
        <v>169</v>
      </c>
      <c r="C173" s="61" t="str">
        <f>IFERROR(INDEX(Table_Prescript_Meas[Measure Number], MATCH(E173, Table_Prescript_Meas[Measure Description], 0)), "")</f>
        <v/>
      </c>
      <c r="D173" s="192"/>
      <c r="E173" s="179"/>
      <c r="F173" s="197"/>
      <c r="G173" s="179"/>
      <c r="H173" s="179"/>
      <c r="I173" s="181"/>
      <c r="J173" s="181"/>
      <c r="K173"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73" s="67" t="str">
        <f>IFERROR(Table_Controls_Input[[#This Row],[Per-unit incentive]]*Table_Controls_Input[[#This Row],[Quantity (Sensors/controller units)]],"")</f>
        <v/>
      </c>
      <c r="M173"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73"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73" s="67" t="str">
        <f t="shared" si="2"/>
        <v/>
      </c>
      <c r="P173" s="67" t="str">
        <f>IF(Table_Controls_Input[[#This Row],[Per-unit incentive]]="","",Table_Controls_Input[[#This Row],[Total equipment cost]]+Table_Controls_Input[[#This Row],[Total labor cost]])</f>
        <v/>
      </c>
      <c r="Q173" s="67" t="str">
        <f>IFERROR(Table_Controls_Input[[#This Row],[Gross measure cost]]-Table_Controls_Input[[#This Row],[Estimated incentive]], "")</f>
        <v/>
      </c>
      <c r="R173" s="69" t="str">
        <f>IFERROR(Table_Controls_Input[[#This Row],[Net measure cost]]/Table_Controls_Input[[#This Row],[Cost savings]],"")</f>
        <v/>
      </c>
      <c r="S173" s="74" t="e">
        <f>INDEX(Table_Control_PAF[PAF], MATCH(Table_Controls_Input[[#This Row],[Existing lighting controls]], Table_Control_PAF[List_Control_Types], 0))</f>
        <v>#N/A</v>
      </c>
      <c r="T173" s="74" t="e">
        <f>INDEX(Table_Measure_PAF[Proposed PAF], MATCH(Table_Controls_Input[[#This Row],[Prescriptive control measure]], Table_Measure_PAF[List_Control_Measure], 0))</f>
        <v>#N/A</v>
      </c>
      <c r="U173" s="74" t="e">
        <f>INDEX(Table_Prescript_Meas[AOH Type], MATCH(Table_Controls_Input[[#This Row],[Measure number]],Table_Prescript_Meas[Measure Number], 0))</f>
        <v>#N/A</v>
      </c>
      <c r="V173" s="74" t="e">
        <f>INDEX(Table_Prescript_Meas[AOH Type], MATCH(Table_Controls_Input[[#This Row],[Measure number]], Table_Prescript_Meas[Measure Number],0))</f>
        <v>#N/A</v>
      </c>
      <c r="W173"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73" s="4"/>
      <c r="Y173" s="4"/>
      <c r="Z173" s="4"/>
      <c r="AA173" s="4"/>
      <c r="AB173" s="4"/>
      <c r="AC173" s="4"/>
      <c r="AD173" s="4"/>
      <c r="AE173" s="4"/>
      <c r="AF173" s="4"/>
      <c r="AG173" s="4"/>
      <c r="AH173" s="4"/>
      <c r="AI173" s="4"/>
      <c r="AJ173" s="4"/>
      <c r="AK173" s="4"/>
      <c r="AL173" s="4"/>
      <c r="AM173" s="4"/>
      <c r="AN173" s="4"/>
      <c r="AO173" s="4"/>
      <c r="AP173" s="4"/>
      <c r="AQ173" s="4"/>
      <c r="AR173" s="4"/>
      <c r="AS173" s="4"/>
    </row>
    <row r="174" spans="1:45" x14ac:dyDescent="0.2">
      <c r="A174" s="4"/>
      <c r="B174" s="63">
        <v>170</v>
      </c>
      <c r="C174" s="61" t="str">
        <f>IFERROR(INDEX(Table_Prescript_Meas[Measure Number], MATCH(E174, Table_Prescript_Meas[Measure Description], 0)), "")</f>
        <v/>
      </c>
      <c r="D174" s="192"/>
      <c r="E174" s="179"/>
      <c r="F174" s="197"/>
      <c r="G174" s="179"/>
      <c r="H174" s="179"/>
      <c r="I174" s="181"/>
      <c r="J174" s="181"/>
      <c r="K174"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74" s="67" t="str">
        <f>IFERROR(Table_Controls_Input[[#This Row],[Per-unit incentive]]*Table_Controls_Input[[#This Row],[Quantity (Sensors/controller units)]],"")</f>
        <v/>
      </c>
      <c r="M174"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74"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74" s="67" t="str">
        <f t="shared" si="2"/>
        <v/>
      </c>
      <c r="P174" s="67" t="str">
        <f>IF(Table_Controls_Input[[#This Row],[Per-unit incentive]]="","",Table_Controls_Input[[#This Row],[Total equipment cost]]+Table_Controls_Input[[#This Row],[Total labor cost]])</f>
        <v/>
      </c>
      <c r="Q174" s="67" t="str">
        <f>IFERROR(Table_Controls_Input[[#This Row],[Gross measure cost]]-Table_Controls_Input[[#This Row],[Estimated incentive]], "")</f>
        <v/>
      </c>
      <c r="R174" s="69" t="str">
        <f>IFERROR(Table_Controls_Input[[#This Row],[Net measure cost]]/Table_Controls_Input[[#This Row],[Cost savings]],"")</f>
        <v/>
      </c>
      <c r="S174" s="74" t="e">
        <f>INDEX(Table_Control_PAF[PAF], MATCH(Table_Controls_Input[[#This Row],[Existing lighting controls]], Table_Control_PAF[List_Control_Types], 0))</f>
        <v>#N/A</v>
      </c>
      <c r="T174" s="74" t="e">
        <f>INDEX(Table_Measure_PAF[Proposed PAF], MATCH(Table_Controls_Input[[#This Row],[Prescriptive control measure]], Table_Measure_PAF[List_Control_Measure], 0))</f>
        <v>#N/A</v>
      </c>
      <c r="U174" s="74" t="e">
        <f>INDEX(Table_Prescript_Meas[AOH Type], MATCH(Table_Controls_Input[[#This Row],[Measure number]],Table_Prescript_Meas[Measure Number], 0))</f>
        <v>#N/A</v>
      </c>
      <c r="V174" s="74" t="e">
        <f>INDEX(Table_Prescript_Meas[AOH Type], MATCH(Table_Controls_Input[[#This Row],[Measure number]], Table_Prescript_Meas[Measure Number],0))</f>
        <v>#N/A</v>
      </c>
      <c r="W174"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74" s="4"/>
      <c r="Y174" s="4"/>
      <c r="Z174" s="4"/>
      <c r="AA174" s="4"/>
      <c r="AB174" s="4"/>
      <c r="AC174" s="4"/>
      <c r="AD174" s="4"/>
      <c r="AE174" s="4"/>
      <c r="AF174" s="4"/>
      <c r="AG174" s="4"/>
      <c r="AH174" s="4"/>
      <c r="AI174" s="4"/>
      <c r="AJ174" s="4"/>
      <c r="AK174" s="4"/>
      <c r="AL174" s="4"/>
      <c r="AM174" s="4"/>
      <c r="AN174" s="4"/>
      <c r="AO174" s="4"/>
      <c r="AP174" s="4"/>
      <c r="AQ174" s="4"/>
      <c r="AR174" s="4"/>
      <c r="AS174" s="4"/>
    </row>
    <row r="175" spans="1:45" x14ac:dyDescent="0.2">
      <c r="A175" s="4"/>
      <c r="B175" s="63">
        <v>171</v>
      </c>
      <c r="C175" s="61" t="str">
        <f>IFERROR(INDEX(Table_Prescript_Meas[Measure Number], MATCH(E175, Table_Prescript_Meas[Measure Description], 0)), "")</f>
        <v/>
      </c>
      <c r="D175" s="192"/>
      <c r="E175" s="179"/>
      <c r="F175" s="197"/>
      <c r="G175" s="179"/>
      <c r="H175" s="179"/>
      <c r="I175" s="181"/>
      <c r="J175" s="181"/>
      <c r="K175"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75" s="67" t="str">
        <f>IFERROR(Table_Controls_Input[[#This Row],[Per-unit incentive]]*Table_Controls_Input[[#This Row],[Quantity (Sensors/controller units)]],"")</f>
        <v/>
      </c>
      <c r="M175"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75"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75" s="67" t="str">
        <f t="shared" si="2"/>
        <v/>
      </c>
      <c r="P175" s="67" t="str">
        <f>IF(Table_Controls_Input[[#This Row],[Per-unit incentive]]="","",Table_Controls_Input[[#This Row],[Total equipment cost]]+Table_Controls_Input[[#This Row],[Total labor cost]])</f>
        <v/>
      </c>
      <c r="Q175" s="67" t="str">
        <f>IFERROR(Table_Controls_Input[[#This Row],[Gross measure cost]]-Table_Controls_Input[[#This Row],[Estimated incentive]], "")</f>
        <v/>
      </c>
      <c r="R175" s="69" t="str">
        <f>IFERROR(Table_Controls_Input[[#This Row],[Net measure cost]]/Table_Controls_Input[[#This Row],[Cost savings]],"")</f>
        <v/>
      </c>
      <c r="S175" s="74" t="e">
        <f>INDEX(Table_Control_PAF[PAF], MATCH(Table_Controls_Input[[#This Row],[Existing lighting controls]], Table_Control_PAF[List_Control_Types], 0))</f>
        <v>#N/A</v>
      </c>
      <c r="T175" s="74" t="e">
        <f>INDEX(Table_Measure_PAF[Proposed PAF], MATCH(Table_Controls_Input[[#This Row],[Prescriptive control measure]], Table_Measure_PAF[List_Control_Measure], 0))</f>
        <v>#N/A</v>
      </c>
      <c r="U175" s="74" t="e">
        <f>INDEX(Table_Prescript_Meas[AOH Type], MATCH(Table_Controls_Input[[#This Row],[Measure number]],Table_Prescript_Meas[Measure Number], 0))</f>
        <v>#N/A</v>
      </c>
      <c r="V175" s="74" t="e">
        <f>INDEX(Table_Prescript_Meas[AOH Type], MATCH(Table_Controls_Input[[#This Row],[Measure number]], Table_Prescript_Meas[Measure Number],0))</f>
        <v>#N/A</v>
      </c>
      <c r="W175"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75" s="4"/>
      <c r="Y175" s="4"/>
      <c r="Z175" s="4"/>
      <c r="AA175" s="4"/>
      <c r="AB175" s="4"/>
      <c r="AC175" s="4"/>
      <c r="AD175" s="4"/>
      <c r="AE175" s="4"/>
      <c r="AF175" s="4"/>
      <c r="AG175" s="4"/>
      <c r="AH175" s="4"/>
      <c r="AI175" s="4"/>
      <c r="AJ175" s="4"/>
      <c r="AK175" s="4"/>
      <c r="AL175" s="4"/>
      <c r="AM175" s="4"/>
      <c r="AN175" s="4"/>
      <c r="AO175" s="4"/>
      <c r="AP175" s="4"/>
      <c r="AQ175" s="4"/>
      <c r="AR175" s="4"/>
      <c r="AS175" s="4"/>
    </row>
    <row r="176" spans="1:45" x14ac:dyDescent="0.2">
      <c r="A176" s="4"/>
      <c r="B176" s="63">
        <v>172</v>
      </c>
      <c r="C176" s="61" t="str">
        <f>IFERROR(INDEX(Table_Prescript_Meas[Measure Number], MATCH(E176, Table_Prescript_Meas[Measure Description], 0)), "")</f>
        <v/>
      </c>
      <c r="D176" s="192"/>
      <c r="E176" s="179"/>
      <c r="F176" s="197"/>
      <c r="G176" s="179"/>
      <c r="H176" s="179"/>
      <c r="I176" s="181"/>
      <c r="J176" s="181"/>
      <c r="K176"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76" s="67" t="str">
        <f>IFERROR(Table_Controls_Input[[#This Row],[Per-unit incentive]]*Table_Controls_Input[[#This Row],[Quantity (Sensors/controller units)]],"")</f>
        <v/>
      </c>
      <c r="M176"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76"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76" s="67" t="str">
        <f t="shared" si="2"/>
        <v/>
      </c>
      <c r="P176" s="67" t="str">
        <f>IF(Table_Controls_Input[[#This Row],[Per-unit incentive]]="","",Table_Controls_Input[[#This Row],[Total equipment cost]]+Table_Controls_Input[[#This Row],[Total labor cost]])</f>
        <v/>
      </c>
      <c r="Q176" s="67" t="str">
        <f>IFERROR(Table_Controls_Input[[#This Row],[Gross measure cost]]-Table_Controls_Input[[#This Row],[Estimated incentive]], "")</f>
        <v/>
      </c>
      <c r="R176" s="69" t="str">
        <f>IFERROR(Table_Controls_Input[[#This Row],[Net measure cost]]/Table_Controls_Input[[#This Row],[Cost savings]],"")</f>
        <v/>
      </c>
      <c r="S176" s="74" t="e">
        <f>INDEX(Table_Control_PAF[PAF], MATCH(Table_Controls_Input[[#This Row],[Existing lighting controls]], Table_Control_PAF[List_Control_Types], 0))</f>
        <v>#N/A</v>
      </c>
      <c r="T176" s="74" t="e">
        <f>INDEX(Table_Measure_PAF[Proposed PAF], MATCH(Table_Controls_Input[[#This Row],[Prescriptive control measure]], Table_Measure_PAF[List_Control_Measure], 0))</f>
        <v>#N/A</v>
      </c>
      <c r="U176" s="74" t="e">
        <f>INDEX(Table_Prescript_Meas[AOH Type], MATCH(Table_Controls_Input[[#This Row],[Measure number]],Table_Prescript_Meas[Measure Number], 0))</f>
        <v>#N/A</v>
      </c>
      <c r="V176" s="74" t="e">
        <f>INDEX(Table_Prescript_Meas[AOH Type], MATCH(Table_Controls_Input[[#This Row],[Measure number]], Table_Prescript_Meas[Measure Number],0))</f>
        <v>#N/A</v>
      </c>
      <c r="W176"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76" s="4"/>
      <c r="Y176" s="4"/>
      <c r="Z176" s="4"/>
      <c r="AA176" s="4"/>
      <c r="AB176" s="4"/>
      <c r="AC176" s="4"/>
      <c r="AD176" s="4"/>
      <c r="AE176" s="4"/>
      <c r="AF176" s="4"/>
      <c r="AG176" s="4"/>
      <c r="AH176" s="4"/>
      <c r="AI176" s="4"/>
      <c r="AJ176" s="4"/>
      <c r="AK176" s="4"/>
      <c r="AL176" s="4"/>
      <c r="AM176" s="4"/>
      <c r="AN176" s="4"/>
      <c r="AO176" s="4"/>
      <c r="AP176" s="4"/>
      <c r="AQ176" s="4"/>
      <c r="AR176" s="4"/>
      <c r="AS176" s="4"/>
    </row>
    <row r="177" spans="1:45" x14ac:dyDescent="0.2">
      <c r="A177" s="4"/>
      <c r="B177" s="63">
        <v>173</v>
      </c>
      <c r="C177" s="61" t="str">
        <f>IFERROR(INDEX(Table_Prescript_Meas[Measure Number], MATCH(E177, Table_Prescript_Meas[Measure Description], 0)), "")</f>
        <v/>
      </c>
      <c r="D177" s="192"/>
      <c r="E177" s="179"/>
      <c r="F177" s="197"/>
      <c r="G177" s="179"/>
      <c r="H177" s="179"/>
      <c r="I177" s="181"/>
      <c r="J177" s="181"/>
      <c r="K177"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77" s="67" t="str">
        <f>IFERROR(Table_Controls_Input[[#This Row],[Per-unit incentive]]*Table_Controls_Input[[#This Row],[Quantity (Sensors/controller units)]],"")</f>
        <v/>
      </c>
      <c r="M177"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77"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77" s="67" t="str">
        <f t="shared" si="2"/>
        <v/>
      </c>
      <c r="P177" s="67" t="str">
        <f>IF(Table_Controls_Input[[#This Row],[Per-unit incentive]]="","",Table_Controls_Input[[#This Row],[Total equipment cost]]+Table_Controls_Input[[#This Row],[Total labor cost]])</f>
        <v/>
      </c>
      <c r="Q177" s="67" t="str">
        <f>IFERROR(Table_Controls_Input[[#This Row],[Gross measure cost]]-Table_Controls_Input[[#This Row],[Estimated incentive]], "")</f>
        <v/>
      </c>
      <c r="R177" s="69" t="str">
        <f>IFERROR(Table_Controls_Input[[#This Row],[Net measure cost]]/Table_Controls_Input[[#This Row],[Cost savings]],"")</f>
        <v/>
      </c>
      <c r="S177" s="74" t="e">
        <f>INDEX(Table_Control_PAF[PAF], MATCH(Table_Controls_Input[[#This Row],[Existing lighting controls]], Table_Control_PAF[List_Control_Types], 0))</f>
        <v>#N/A</v>
      </c>
      <c r="T177" s="74" t="e">
        <f>INDEX(Table_Measure_PAF[Proposed PAF], MATCH(Table_Controls_Input[[#This Row],[Prescriptive control measure]], Table_Measure_PAF[List_Control_Measure], 0))</f>
        <v>#N/A</v>
      </c>
      <c r="U177" s="74" t="e">
        <f>INDEX(Table_Prescript_Meas[AOH Type], MATCH(Table_Controls_Input[[#This Row],[Measure number]],Table_Prescript_Meas[Measure Number], 0))</f>
        <v>#N/A</v>
      </c>
      <c r="V177" s="74" t="e">
        <f>INDEX(Table_Prescript_Meas[AOH Type], MATCH(Table_Controls_Input[[#This Row],[Measure number]], Table_Prescript_Meas[Measure Number],0))</f>
        <v>#N/A</v>
      </c>
      <c r="W177"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77" s="4"/>
      <c r="Y177" s="4"/>
      <c r="Z177" s="4"/>
      <c r="AA177" s="4"/>
      <c r="AB177" s="4"/>
      <c r="AC177" s="4"/>
      <c r="AD177" s="4"/>
      <c r="AE177" s="4"/>
      <c r="AF177" s="4"/>
      <c r="AG177" s="4"/>
      <c r="AH177" s="4"/>
      <c r="AI177" s="4"/>
      <c r="AJ177" s="4"/>
      <c r="AK177" s="4"/>
      <c r="AL177" s="4"/>
      <c r="AM177" s="4"/>
      <c r="AN177" s="4"/>
      <c r="AO177" s="4"/>
      <c r="AP177" s="4"/>
      <c r="AQ177" s="4"/>
      <c r="AR177" s="4"/>
      <c r="AS177" s="4"/>
    </row>
    <row r="178" spans="1:45" x14ac:dyDescent="0.2">
      <c r="A178" s="4"/>
      <c r="B178" s="63">
        <v>174</v>
      </c>
      <c r="C178" s="61" t="str">
        <f>IFERROR(INDEX(Table_Prescript_Meas[Measure Number], MATCH(E178, Table_Prescript_Meas[Measure Description], 0)), "")</f>
        <v/>
      </c>
      <c r="D178" s="192"/>
      <c r="E178" s="179"/>
      <c r="F178" s="197"/>
      <c r="G178" s="179"/>
      <c r="H178" s="179"/>
      <c r="I178" s="181"/>
      <c r="J178" s="181"/>
      <c r="K178"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78" s="67" t="str">
        <f>IFERROR(Table_Controls_Input[[#This Row],[Per-unit incentive]]*Table_Controls_Input[[#This Row],[Quantity (Sensors/controller units)]],"")</f>
        <v/>
      </c>
      <c r="M178"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78"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78" s="67" t="str">
        <f t="shared" si="2"/>
        <v/>
      </c>
      <c r="P178" s="67" t="str">
        <f>IF(Table_Controls_Input[[#This Row],[Per-unit incentive]]="","",Table_Controls_Input[[#This Row],[Total equipment cost]]+Table_Controls_Input[[#This Row],[Total labor cost]])</f>
        <v/>
      </c>
      <c r="Q178" s="67" t="str">
        <f>IFERROR(Table_Controls_Input[[#This Row],[Gross measure cost]]-Table_Controls_Input[[#This Row],[Estimated incentive]], "")</f>
        <v/>
      </c>
      <c r="R178" s="69" t="str">
        <f>IFERROR(Table_Controls_Input[[#This Row],[Net measure cost]]/Table_Controls_Input[[#This Row],[Cost savings]],"")</f>
        <v/>
      </c>
      <c r="S178" s="74" t="e">
        <f>INDEX(Table_Control_PAF[PAF], MATCH(Table_Controls_Input[[#This Row],[Existing lighting controls]], Table_Control_PAF[List_Control_Types], 0))</f>
        <v>#N/A</v>
      </c>
      <c r="T178" s="74" t="e">
        <f>INDEX(Table_Measure_PAF[Proposed PAF], MATCH(Table_Controls_Input[[#This Row],[Prescriptive control measure]], Table_Measure_PAF[List_Control_Measure], 0))</f>
        <v>#N/A</v>
      </c>
      <c r="U178" s="74" t="e">
        <f>INDEX(Table_Prescript_Meas[AOH Type], MATCH(Table_Controls_Input[[#This Row],[Measure number]],Table_Prescript_Meas[Measure Number], 0))</f>
        <v>#N/A</v>
      </c>
      <c r="V178" s="74" t="e">
        <f>INDEX(Table_Prescript_Meas[AOH Type], MATCH(Table_Controls_Input[[#This Row],[Measure number]], Table_Prescript_Meas[Measure Number],0))</f>
        <v>#N/A</v>
      </c>
      <c r="W178"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78" s="4"/>
      <c r="Y178" s="4"/>
      <c r="Z178" s="4"/>
      <c r="AA178" s="4"/>
      <c r="AB178" s="4"/>
      <c r="AC178" s="4"/>
      <c r="AD178" s="4"/>
      <c r="AE178" s="4"/>
      <c r="AF178" s="4"/>
      <c r="AG178" s="4"/>
      <c r="AH178" s="4"/>
      <c r="AI178" s="4"/>
      <c r="AJ178" s="4"/>
      <c r="AK178" s="4"/>
      <c r="AL178" s="4"/>
      <c r="AM178" s="4"/>
      <c r="AN178" s="4"/>
      <c r="AO178" s="4"/>
      <c r="AP178" s="4"/>
      <c r="AQ178" s="4"/>
      <c r="AR178" s="4"/>
      <c r="AS178" s="4"/>
    </row>
    <row r="179" spans="1:45" x14ac:dyDescent="0.2">
      <c r="A179" s="4"/>
      <c r="B179" s="63">
        <v>175</v>
      </c>
      <c r="C179" s="61" t="str">
        <f>IFERROR(INDEX(Table_Prescript_Meas[Measure Number], MATCH(E179, Table_Prescript_Meas[Measure Description], 0)), "")</f>
        <v/>
      </c>
      <c r="D179" s="192"/>
      <c r="E179" s="179"/>
      <c r="F179" s="197"/>
      <c r="G179" s="179"/>
      <c r="H179" s="179"/>
      <c r="I179" s="181"/>
      <c r="J179" s="181"/>
      <c r="K179"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79" s="67" t="str">
        <f>IFERROR(Table_Controls_Input[[#This Row],[Per-unit incentive]]*Table_Controls_Input[[#This Row],[Quantity (Sensors/controller units)]],"")</f>
        <v/>
      </c>
      <c r="M179"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79"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79" s="67" t="str">
        <f t="shared" si="2"/>
        <v/>
      </c>
      <c r="P179" s="67" t="str">
        <f>IF(Table_Controls_Input[[#This Row],[Per-unit incentive]]="","",Table_Controls_Input[[#This Row],[Total equipment cost]]+Table_Controls_Input[[#This Row],[Total labor cost]])</f>
        <v/>
      </c>
      <c r="Q179" s="67" t="str">
        <f>IFERROR(Table_Controls_Input[[#This Row],[Gross measure cost]]-Table_Controls_Input[[#This Row],[Estimated incentive]], "")</f>
        <v/>
      </c>
      <c r="R179" s="69" t="str">
        <f>IFERROR(Table_Controls_Input[[#This Row],[Net measure cost]]/Table_Controls_Input[[#This Row],[Cost savings]],"")</f>
        <v/>
      </c>
      <c r="S179" s="74" t="e">
        <f>INDEX(Table_Control_PAF[PAF], MATCH(Table_Controls_Input[[#This Row],[Existing lighting controls]], Table_Control_PAF[List_Control_Types], 0))</f>
        <v>#N/A</v>
      </c>
      <c r="T179" s="74" t="e">
        <f>INDEX(Table_Measure_PAF[Proposed PAF], MATCH(Table_Controls_Input[[#This Row],[Prescriptive control measure]], Table_Measure_PAF[List_Control_Measure], 0))</f>
        <v>#N/A</v>
      </c>
      <c r="U179" s="74" t="e">
        <f>INDEX(Table_Prescript_Meas[AOH Type], MATCH(Table_Controls_Input[[#This Row],[Measure number]],Table_Prescript_Meas[Measure Number], 0))</f>
        <v>#N/A</v>
      </c>
      <c r="V179" s="74" t="e">
        <f>INDEX(Table_Prescript_Meas[AOH Type], MATCH(Table_Controls_Input[[#This Row],[Measure number]], Table_Prescript_Meas[Measure Number],0))</f>
        <v>#N/A</v>
      </c>
      <c r="W179"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79" s="4"/>
      <c r="Y179" s="4"/>
      <c r="Z179" s="4"/>
      <c r="AA179" s="4"/>
      <c r="AB179" s="4"/>
      <c r="AC179" s="4"/>
      <c r="AD179" s="4"/>
      <c r="AE179" s="4"/>
      <c r="AF179" s="4"/>
      <c r="AG179" s="4"/>
      <c r="AH179" s="4"/>
      <c r="AI179" s="4"/>
      <c r="AJ179" s="4"/>
      <c r="AK179" s="4"/>
      <c r="AL179" s="4"/>
      <c r="AM179" s="4"/>
      <c r="AN179" s="4"/>
      <c r="AO179" s="4"/>
      <c r="AP179" s="4"/>
      <c r="AQ179" s="4"/>
      <c r="AR179" s="4"/>
      <c r="AS179" s="4"/>
    </row>
    <row r="180" spans="1:45" x14ac:dyDescent="0.2">
      <c r="A180" s="4"/>
      <c r="B180" s="63">
        <v>176</v>
      </c>
      <c r="C180" s="61" t="str">
        <f>IFERROR(INDEX(Table_Prescript_Meas[Measure Number], MATCH(E180, Table_Prescript_Meas[Measure Description], 0)), "")</f>
        <v/>
      </c>
      <c r="D180" s="192"/>
      <c r="E180" s="179"/>
      <c r="F180" s="197"/>
      <c r="G180" s="179"/>
      <c r="H180" s="179"/>
      <c r="I180" s="181"/>
      <c r="J180" s="181"/>
      <c r="K180"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80" s="67" t="str">
        <f>IFERROR(Table_Controls_Input[[#This Row],[Per-unit incentive]]*Table_Controls_Input[[#This Row],[Quantity (Sensors/controller units)]],"")</f>
        <v/>
      </c>
      <c r="M180"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80"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80" s="67" t="str">
        <f t="shared" si="2"/>
        <v/>
      </c>
      <c r="P180" s="67" t="str">
        <f>IF(Table_Controls_Input[[#This Row],[Per-unit incentive]]="","",Table_Controls_Input[[#This Row],[Total equipment cost]]+Table_Controls_Input[[#This Row],[Total labor cost]])</f>
        <v/>
      </c>
      <c r="Q180" s="67" t="str">
        <f>IFERROR(Table_Controls_Input[[#This Row],[Gross measure cost]]-Table_Controls_Input[[#This Row],[Estimated incentive]], "")</f>
        <v/>
      </c>
      <c r="R180" s="69" t="str">
        <f>IFERROR(Table_Controls_Input[[#This Row],[Net measure cost]]/Table_Controls_Input[[#This Row],[Cost savings]],"")</f>
        <v/>
      </c>
      <c r="S180" s="74" t="e">
        <f>INDEX(Table_Control_PAF[PAF], MATCH(Table_Controls_Input[[#This Row],[Existing lighting controls]], Table_Control_PAF[List_Control_Types], 0))</f>
        <v>#N/A</v>
      </c>
      <c r="T180" s="74" t="e">
        <f>INDEX(Table_Measure_PAF[Proposed PAF], MATCH(Table_Controls_Input[[#This Row],[Prescriptive control measure]], Table_Measure_PAF[List_Control_Measure], 0))</f>
        <v>#N/A</v>
      </c>
      <c r="U180" s="74" t="e">
        <f>INDEX(Table_Prescript_Meas[AOH Type], MATCH(Table_Controls_Input[[#This Row],[Measure number]],Table_Prescript_Meas[Measure Number], 0))</f>
        <v>#N/A</v>
      </c>
      <c r="V180" s="74" t="e">
        <f>INDEX(Table_Prescript_Meas[AOH Type], MATCH(Table_Controls_Input[[#This Row],[Measure number]], Table_Prescript_Meas[Measure Number],0))</f>
        <v>#N/A</v>
      </c>
      <c r="W180"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80" s="4"/>
      <c r="Y180" s="4"/>
      <c r="Z180" s="4"/>
      <c r="AA180" s="4"/>
      <c r="AB180" s="4"/>
      <c r="AC180" s="4"/>
      <c r="AD180" s="4"/>
      <c r="AE180" s="4"/>
      <c r="AF180" s="4"/>
      <c r="AG180" s="4"/>
      <c r="AH180" s="4"/>
      <c r="AI180" s="4"/>
      <c r="AJ180" s="4"/>
      <c r="AK180" s="4"/>
      <c r="AL180" s="4"/>
      <c r="AM180" s="4"/>
      <c r="AN180" s="4"/>
      <c r="AO180" s="4"/>
      <c r="AP180" s="4"/>
      <c r="AQ180" s="4"/>
      <c r="AR180" s="4"/>
      <c r="AS180" s="4"/>
    </row>
    <row r="181" spans="1:45" x14ac:dyDescent="0.2">
      <c r="A181" s="4"/>
      <c r="B181" s="63">
        <v>177</v>
      </c>
      <c r="C181" s="61" t="str">
        <f>IFERROR(INDEX(Table_Prescript_Meas[Measure Number], MATCH(E181, Table_Prescript_Meas[Measure Description], 0)), "")</f>
        <v/>
      </c>
      <c r="D181" s="192"/>
      <c r="E181" s="179"/>
      <c r="F181" s="197"/>
      <c r="G181" s="179"/>
      <c r="H181" s="179"/>
      <c r="I181" s="181"/>
      <c r="J181" s="181"/>
      <c r="K181"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81" s="67" t="str">
        <f>IFERROR(Table_Controls_Input[[#This Row],[Per-unit incentive]]*Table_Controls_Input[[#This Row],[Quantity (Sensors/controller units)]],"")</f>
        <v/>
      </c>
      <c r="M181"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81"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81" s="67" t="str">
        <f t="shared" si="2"/>
        <v/>
      </c>
      <c r="P181" s="67" t="str">
        <f>IF(Table_Controls_Input[[#This Row],[Per-unit incentive]]="","",Table_Controls_Input[[#This Row],[Total equipment cost]]+Table_Controls_Input[[#This Row],[Total labor cost]])</f>
        <v/>
      </c>
      <c r="Q181" s="67" t="str">
        <f>IFERROR(Table_Controls_Input[[#This Row],[Gross measure cost]]-Table_Controls_Input[[#This Row],[Estimated incentive]], "")</f>
        <v/>
      </c>
      <c r="R181" s="69" t="str">
        <f>IFERROR(Table_Controls_Input[[#This Row],[Net measure cost]]/Table_Controls_Input[[#This Row],[Cost savings]],"")</f>
        <v/>
      </c>
      <c r="S181" s="74" t="e">
        <f>INDEX(Table_Control_PAF[PAF], MATCH(Table_Controls_Input[[#This Row],[Existing lighting controls]], Table_Control_PAF[List_Control_Types], 0))</f>
        <v>#N/A</v>
      </c>
      <c r="T181" s="74" t="e">
        <f>INDEX(Table_Measure_PAF[Proposed PAF], MATCH(Table_Controls_Input[[#This Row],[Prescriptive control measure]], Table_Measure_PAF[List_Control_Measure], 0))</f>
        <v>#N/A</v>
      </c>
      <c r="U181" s="74" t="e">
        <f>INDEX(Table_Prescript_Meas[AOH Type], MATCH(Table_Controls_Input[[#This Row],[Measure number]],Table_Prescript_Meas[Measure Number], 0))</f>
        <v>#N/A</v>
      </c>
      <c r="V181" s="74" t="e">
        <f>INDEX(Table_Prescript_Meas[AOH Type], MATCH(Table_Controls_Input[[#This Row],[Measure number]], Table_Prescript_Meas[Measure Number],0))</f>
        <v>#N/A</v>
      </c>
      <c r="W181"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81" s="4"/>
      <c r="Y181" s="4"/>
      <c r="Z181" s="4"/>
      <c r="AA181" s="4"/>
      <c r="AB181" s="4"/>
      <c r="AC181" s="4"/>
      <c r="AD181" s="4"/>
      <c r="AE181" s="4"/>
      <c r="AF181" s="4"/>
      <c r="AG181" s="4"/>
      <c r="AH181" s="4"/>
      <c r="AI181" s="4"/>
      <c r="AJ181" s="4"/>
      <c r="AK181" s="4"/>
      <c r="AL181" s="4"/>
      <c r="AM181" s="4"/>
      <c r="AN181" s="4"/>
      <c r="AO181" s="4"/>
      <c r="AP181" s="4"/>
      <c r="AQ181" s="4"/>
      <c r="AR181" s="4"/>
      <c r="AS181" s="4"/>
    </row>
    <row r="182" spans="1:45" x14ac:dyDescent="0.2">
      <c r="A182" s="4"/>
      <c r="B182" s="63">
        <v>178</v>
      </c>
      <c r="C182" s="61" t="str">
        <f>IFERROR(INDEX(Table_Prescript_Meas[Measure Number], MATCH(E182, Table_Prescript_Meas[Measure Description], 0)), "")</f>
        <v/>
      </c>
      <c r="D182" s="192"/>
      <c r="E182" s="179"/>
      <c r="F182" s="197"/>
      <c r="G182" s="179"/>
      <c r="H182" s="179"/>
      <c r="I182" s="181"/>
      <c r="J182" s="181"/>
      <c r="K182"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82" s="67" t="str">
        <f>IFERROR(Table_Controls_Input[[#This Row],[Per-unit incentive]]*Table_Controls_Input[[#This Row],[Quantity (Sensors/controller units)]],"")</f>
        <v/>
      </c>
      <c r="M182"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82"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82" s="67" t="str">
        <f t="shared" si="2"/>
        <v/>
      </c>
      <c r="P182" s="67" t="str">
        <f>IF(Table_Controls_Input[[#This Row],[Per-unit incentive]]="","",Table_Controls_Input[[#This Row],[Total equipment cost]]+Table_Controls_Input[[#This Row],[Total labor cost]])</f>
        <v/>
      </c>
      <c r="Q182" s="67" t="str">
        <f>IFERROR(Table_Controls_Input[[#This Row],[Gross measure cost]]-Table_Controls_Input[[#This Row],[Estimated incentive]], "")</f>
        <v/>
      </c>
      <c r="R182" s="69" t="str">
        <f>IFERROR(Table_Controls_Input[[#This Row],[Net measure cost]]/Table_Controls_Input[[#This Row],[Cost savings]],"")</f>
        <v/>
      </c>
      <c r="S182" s="74" t="e">
        <f>INDEX(Table_Control_PAF[PAF], MATCH(Table_Controls_Input[[#This Row],[Existing lighting controls]], Table_Control_PAF[List_Control_Types], 0))</f>
        <v>#N/A</v>
      </c>
      <c r="T182" s="74" t="e">
        <f>INDEX(Table_Measure_PAF[Proposed PAF], MATCH(Table_Controls_Input[[#This Row],[Prescriptive control measure]], Table_Measure_PAF[List_Control_Measure], 0))</f>
        <v>#N/A</v>
      </c>
      <c r="U182" s="74" t="e">
        <f>INDEX(Table_Prescript_Meas[AOH Type], MATCH(Table_Controls_Input[[#This Row],[Measure number]],Table_Prescript_Meas[Measure Number], 0))</f>
        <v>#N/A</v>
      </c>
      <c r="V182" s="74" t="e">
        <f>INDEX(Table_Prescript_Meas[AOH Type], MATCH(Table_Controls_Input[[#This Row],[Measure number]], Table_Prescript_Meas[Measure Number],0))</f>
        <v>#N/A</v>
      </c>
      <c r="W182"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82" s="4"/>
      <c r="Y182" s="4"/>
      <c r="Z182" s="4"/>
      <c r="AA182" s="4"/>
      <c r="AB182" s="4"/>
      <c r="AC182" s="4"/>
      <c r="AD182" s="4"/>
      <c r="AE182" s="4"/>
      <c r="AF182" s="4"/>
      <c r="AG182" s="4"/>
      <c r="AH182" s="4"/>
      <c r="AI182" s="4"/>
      <c r="AJ182" s="4"/>
      <c r="AK182" s="4"/>
      <c r="AL182" s="4"/>
      <c r="AM182" s="4"/>
      <c r="AN182" s="4"/>
      <c r="AO182" s="4"/>
      <c r="AP182" s="4"/>
      <c r="AQ182" s="4"/>
      <c r="AR182" s="4"/>
      <c r="AS182" s="4"/>
    </row>
    <row r="183" spans="1:45" x14ac:dyDescent="0.2">
      <c r="A183" s="4"/>
      <c r="B183" s="63">
        <v>179</v>
      </c>
      <c r="C183" s="61" t="str">
        <f>IFERROR(INDEX(Table_Prescript_Meas[Measure Number], MATCH(E183, Table_Prescript_Meas[Measure Description], 0)), "")</f>
        <v/>
      </c>
      <c r="D183" s="192"/>
      <c r="E183" s="179"/>
      <c r="F183" s="197"/>
      <c r="G183" s="179"/>
      <c r="H183" s="179"/>
      <c r="I183" s="181"/>
      <c r="J183" s="181"/>
      <c r="K183"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83" s="67" t="str">
        <f>IFERROR(Table_Controls_Input[[#This Row],[Per-unit incentive]]*Table_Controls_Input[[#This Row],[Quantity (Sensors/controller units)]],"")</f>
        <v/>
      </c>
      <c r="M183"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83"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83" s="67" t="str">
        <f t="shared" si="2"/>
        <v/>
      </c>
      <c r="P183" s="67" t="str">
        <f>IF(Table_Controls_Input[[#This Row],[Per-unit incentive]]="","",Table_Controls_Input[[#This Row],[Total equipment cost]]+Table_Controls_Input[[#This Row],[Total labor cost]])</f>
        <v/>
      </c>
      <c r="Q183" s="67" t="str">
        <f>IFERROR(Table_Controls_Input[[#This Row],[Gross measure cost]]-Table_Controls_Input[[#This Row],[Estimated incentive]], "")</f>
        <v/>
      </c>
      <c r="R183" s="69" t="str">
        <f>IFERROR(Table_Controls_Input[[#This Row],[Net measure cost]]/Table_Controls_Input[[#This Row],[Cost savings]],"")</f>
        <v/>
      </c>
      <c r="S183" s="74" t="e">
        <f>INDEX(Table_Control_PAF[PAF], MATCH(Table_Controls_Input[[#This Row],[Existing lighting controls]], Table_Control_PAF[List_Control_Types], 0))</f>
        <v>#N/A</v>
      </c>
      <c r="T183" s="74" t="e">
        <f>INDEX(Table_Measure_PAF[Proposed PAF], MATCH(Table_Controls_Input[[#This Row],[Prescriptive control measure]], Table_Measure_PAF[List_Control_Measure], 0))</f>
        <v>#N/A</v>
      </c>
      <c r="U183" s="74" t="e">
        <f>INDEX(Table_Prescript_Meas[AOH Type], MATCH(Table_Controls_Input[[#This Row],[Measure number]],Table_Prescript_Meas[Measure Number], 0))</f>
        <v>#N/A</v>
      </c>
      <c r="V183" s="74" t="e">
        <f>INDEX(Table_Prescript_Meas[AOH Type], MATCH(Table_Controls_Input[[#This Row],[Measure number]], Table_Prescript_Meas[Measure Number],0))</f>
        <v>#N/A</v>
      </c>
      <c r="W183"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83" s="4"/>
      <c r="Y183" s="4"/>
      <c r="Z183" s="4"/>
      <c r="AA183" s="4"/>
      <c r="AB183" s="4"/>
      <c r="AC183" s="4"/>
      <c r="AD183" s="4"/>
      <c r="AE183" s="4"/>
      <c r="AF183" s="4"/>
      <c r="AG183" s="4"/>
      <c r="AH183" s="4"/>
      <c r="AI183" s="4"/>
      <c r="AJ183" s="4"/>
      <c r="AK183" s="4"/>
      <c r="AL183" s="4"/>
      <c r="AM183" s="4"/>
      <c r="AN183" s="4"/>
      <c r="AO183" s="4"/>
      <c r="AP183" s="4"/>
      <c r="AQ183" s="4"/>
      <c r="AR183" s="4"/>
      <c r="AS183" s="4"/>
    </row>
    <row r="184" spans="1:45" x14ac:dyDescent="0.2">
      <c r="A184" s="4"/>
      <c r="B184" s="63">
        <v>180</v>
      </c>
      <c r="C184" s="61" t="str">
        <f>IFERROR(INDEX(Table_Prescript_Meas[Measure Number], MATCH(E184, Table_Prescript_Meas[Measure Description], 0)), "")</f>
        <v/>
      </c>
      <c r="D184" s="192"/>
      <c r="E184" s="179"/>
      <c r="F184" s="197"/>
      <c r="G184" s="179"/>
      <c r="H184" s="179"/>
      <c r="I184" s="181"/>
      <c r="J184" s="181"/>
      <c r="K184"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84" s="67" t="str">
        <f>IFERROR(Table_Controls_Input[[#This Row],[Per-unit incentive]]*Table_Controls_Input[[#This Row],[Quantity (Sensors/controller units)]],"")</f>
        <v/>
      </c>
      <c r="M184"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84"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84" s="67" t="str">
        <f t="shared" si="2"/>
        <v/>
      </c>
      <c r="P184" s="67" t="str">
        <f>IF(Table_Controls_Input[[#This Row],[Per-unit incentive]]="","",Table_Controls_Input[[#This Row],[Total equipment cost]]+Table_Controls_Input[[#This Row],[Total labor cost]])</f>
        <v/>
      </c>
      <c r="Q184" s="67" t="str">
        <f>IFERROR(Table_Controls_Input[[#This Row],[Gross measure cost]]-Table_Controls_Input[[#This Row],[Estimated incentive]], "")</f>
        <v/>
      </c>
      <c r="R184" s="69" t="str">
        <f>IFERROR(Table_Controls_Input[[#This Row],[Net measure cost]]/Table_Controls_Input[[#This Row],[Cost savings]],"")</f>
        <v/>
      </c>
      <c r="S184" s="74" t="e">
        <f>INDEX(Table_Control_PAF[PAF], MATCH(Table_Controls_Input[[#This Row],[Existing lighting controls]], Table_Control_PAF[List_Control_Types], 0))</f>
        <v>#N/A</v>
      </c>
      <c r="T184" s="74" t="e">
        <f>INDEX(Table_Measure_PAF[Proposed PAF], MATCH(Table_Controls_Input[[#This Row],[Prescriptive control measure]], Table_Measure_PAF[List_Control_Measure], 0))</f>
        <v>#N/A</v>
      </c>
      <c r="U184" s="74" t="e">
        <f>INDEX(Table_Prescript_Meas[AOH Type], MATCH(Table_Controls_Input[[#This Row],[Measure number]],Table_Prescript_Meas[Measure Number], 0))</f>
        <v>#N/A</v>
      </c>
      <c r="V184" s="74" t="e">
        <f>INDEX(Table_Prescript_Meas[AOH Type], MATCH(Table_Controls_Input[[#This Row],[Measure number]], Table_Prescript_Meas[Measure Number],0))</f>
        <v>#N/A</v>
      </c>
      <c r="W184"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84" s="4"/>
      <c r="Y184" s="4"/>
      <c r="Z184" s="4"/>
      <c r="AA184" s="4"/>
      <c r="AB184" s="4"/>
      <c r="AC184" s="4"/>
      <c r="AD184" s="4"/>
      <c r="AE184" s="4"/>
      <c r="AF184" s="4"/>
      <c r="AG184" s="4"/>
      <c r="AH184" s="4"/>
      <c r="AI184" s="4"/>
      <c r="AJ184" s="4"/>
      <c r="AK184" s="4"/>
      <c r="AL184" s="4"/>
      <c r="AM184" s="4"/>
      <c r="AN184" s="4"/>
      <c r="AO184" s="4"/>
      <c r="AP184" s="4"/>
      <c r="AQ184" s="4"/>
      <c r="AR184" s="4"/>
      <c r="AS184" s="4"/>
    </row>
    <row r="185" spans="1:45" x14ac:dyDescent="0.2">
      <c r="A185" s="4"/>
      <c r="B185" s="63">
        <v>181</v>
      </c>
      <c r="C185" s="61" t="str">
        <f>IFERROR(INDEX(Table_Prescript_Meas[Measure Number], MATCH(E185, Table_Prescript_Meas[Measure Description], 0)), "")</f>
        <v/>
      </c>
      <c r="D185" s="192"/>
      <c r="E185" s="179"/>
      <c r="F185" s="197"/>
      <c r="G185" s="179"/>
      <c r="H185" s="179"/>
      <c r="I185" s="181"/>
      <c r="J185" s="181"/>
      <c r="K185"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85" s="67" t="str">
        <f>IFERROR(Table_Controls_Input[[#This Row],[Per-unit incentive]]*Table_Controls_Input[[#This Row],[Quantity (Sensors/controller units)]],"")</f>
        <v/>
      </c>
      <c r="M185"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85"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85" s="67" t="str">
        <f t="shared" si="2"/>
        <v/>
      </c>
      <c r="P185" s="67" t="str">
        <f>IF(Table_Controls_Input[[#This Row],[Per-unit incentive]]="","",Table_Controls_Input[[#This Row],[Total equipment cost]]+Table_Controls_Input[[#This Row],[Total labor cost]])</f>
        <v/>
      </c>
      <c r="Q185" s="67" t="str">
        <f>IFERROR(Table_Controls_Input[[#This Row],[Gross measure cost]]-Table_Controls_Input[[#This Row],[Estimated incentive]], "")</f>
        <v/>
      </c>
      <c r="R185" s="69" t="str">
        <f>IFERROR(Table_Controls_Input[[#This Row],[Net measure cost]]/Table_Controls_Input[[#This Row],[Cost savings]],"")</f>
        <v/>
      </c>
      <c r="S185" s="74" t="e">
        <f>INDEX(Table_Control_PAF[PAF], MATCH(Table_Controls_Input[[#This Row],[Existing lighting controls]], Table_Control_PAF[List_Control_Types], 0))</f>
        <v>#N/A</v>
      </c>
      <c r="T185" s="74" t="e">
        <f>INDEX(Table_Measure_PAF[Proposed PAF], MATCH(Table_Controls_Input[[#This Row],[Prescriptive control measure]], Table_Measure_PAF[List_Control_Measure], 0))</f>
        <v>#N/A</v>
      </c>
      <c r="U185" s="74" t="e">
        <f>INDEX(Table_Prescript_Meas[AOH Type], MATCH(Table_Controls_Input[[#This Row],[Measure number]],Table_Prescript_Meas[Measure Number], 0))</f>
        <v>#N/A</v>
      </c>
      <c r="V185" s="74" t="e">
        <f>INDEX(Table_Prescript_Meas[AOH Type], MATCH(Table_Controls_Input[[#This Row],[Measure number]], Table_Prescript_Meas[Measure Number],0))</f>
        <v>#N/A</v>
      </c>
      <c r="W185"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85" s="4"/>
      <c r="Y185" s="4"/>
      <c r="Z185" s="4"/>
      <c r="AA185" s="4"/>
      <c r="AB185" s="4"/>
      <c r="AC185" s="4"/>
      <c r="AD185" s="4"/>
      <c r="AE185" s="4"/>
      <c r="AF185" s="4"/>
      <c r="AG185" s="4"/>
      <c r="AH185" s="4"/>
      <c r="AI185" s="4"/>
      <c r="AJ185" s="4"/>
      <c r="AK185" s="4"/>
      <c r="AL185" s="4"/>
      <c r="AM185" s="4"/>
      <c r="AN185" s="4"/>
      <c r="AO185" s="4"/>
      <c r="AP185" s="4"/>
      <c r="AQ185" s="4"/>
      <c r="AR185" s="4"/>
      <c r="AS185" s="4"/>
    </row>
    <row r="186" spans="1:45" x14ac:dyDescent="0.2">
      <c r="A186" s="4"/>
      <c r="B186" s="63">
        <v>182</v>
      </c>
      <c r="C186" s="61" t="str">
        <f>IFERROR(INDEX(Table_Prescript_Meas[Measure Number], MATCH(E186, Table_Prescript_Meas[Measure Description], 0)), "")</f>
        <v/>
      </c>
      <c r="D186" s="192"/>
      <c r="E186" s="179"/>
      <c r="F186" s="197"/>
      <c r="G186" s="179"/>
      <c r="H186" s="179"/>
      <c r="I186" s="181"/>
      <c r="J186" s="181"/>
      <c r="K186"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86" s="67" t="str">
        <f>IFERROR(Table_Controls_Input[[#This Row],[Per-unit incentive]]*Table_Controls_Input[[#This Row],[Quantity (Sensors/controller units)]],"")</f>
        <v/>
      </c>
      <c r="M186"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86"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86" s="67" t="str">
        <f t="shared" si="2"/>
        <v/>
      </c>
      <c r="P186" s="67" t="str">
        <f>IF(Table_Controls_Input[[#This Row],[Per-unit incentive]]="","",Table_Controls_Input[[#This Row],[Total equipment cost]]+Table_Controls_Input[[#This Row],[Total labor cost]])</f>
        <v/>
      </c>
      <c r="Q186" s="67" t="str">
        <f>IFERROR(Table_Controls_Input[[#This Row],[Gross measure cost]]-Table_Controls_Input[[#This Row],[Estimated incentive]], "")</f>
        <v/>
      </c>
      <c r="R186" s="69" t="str">
        <f>IFERROR(Table_Controls_Input[[#This Row],[Net measure cost]]/Table_Controls_Input[[#This Row],[Cost savings]],"")</f>
        <v/>
      </c>
      <c r="S186" s="74" t="e">
        <f>INDEX(Table_Control_PAF[PAF], MATCH(Table_Controls_Input[[#This Row],[Existing lighting controls]], Table_Control_PAF[List_Control_Types], 0))</f>
        <v>#N/A</v>
      </c>
      <c r="T186" s="74" t="e">
        <f>INDEX(Table_Measure_PAF[Proposed PAF], MATCH(Table_Controls_Input[[#This Row],[Prescriptive control measure]], Table_Measure_PAF[List_Control_Measure], 0))</f>
        <v>#N/A</v>
      </c>
      <c r="U186" s="74" t="e">
        <f>INDEX(Table_Prescript_Meas[AOH Type], MATCH(Table_Controls_Input[[#This Row],[Measure number]],Table_Prescript_Meas[Measure Number], 0))</f>
        <v>#N/A</v>
      </c>
      <c r="V186" s="74" t="e">
        <f>INDEX(Table_Prescript_Meas[AOH Type], MATCH(Table_Controls_Input[[#This Row],[Measure number]], Table_Prescript_Meas[Measure Number],0))</f>
        <v>#N/A</v>
      </c>
      <c r="W186"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86" s="4"/>
      <c r="Y186" s="4"/>
      <c r="Z186" s="4"/>
      <c r="AA186" s="4"/>
      <c r="AB186" s="4"/>
      <c r="AC186" s="4"/>
      <c r="AD186" s="4"/>
      <c r="AE186" s="4"/>
      <c r="AF186" s="4"/>
      <c r="AG186" s="4"/>
      <c r="AH186" s="4"/>
      <c r="AI186" s="4"/>
      <c r="AJ186" s="4"/>
      <c r="AK186" s="4"/>
      <c r="AL186" s="4"/>
      <c r="AM186" s="4"/>
      <c r="AN186" s="4"/>
      <c r="AO186" s="4"/>
      <c r="AP186" s="4"/>
      <c r="AQ186" s="4"/>
      <c r="AR186" s="4"/>
      <c r="AS186" s="4"/>
    </row>
    <row r="187" spans="1:45" x14ac:dyDescent="0.2">
      <c r="A187" s="4"/>
      <c r="B187" s="63">
        <v>183</v>
      </c>
      <c r="C187" s="61" t="str">
        <f>IFERROR(INDEX(Table_Prescript_Meas[Measure Number], MATCH(E187, Table_Prescript_Meas[Measure Description], 0)), "")</f>
        <v/>
      </c>
      <c r="D187" s="192"/>
      <c r="E187" s="179"/>
      <c r="F187" s="197"/>
      <c r="G187" s="179"/>
      <c r="H187" s="179"/>
      <c r="I187" s="181"/>
      <c r="J187" s="181"/>
      <c r="K187"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87" s="67" t="str">
        <f>IFERROR(Table_Controls_Input[[#This Row],[Per-unit incentive]]*Table_Controls_Input[[#This Row],[Quantity (Sensors/controller units)]],"")</f>
        <v/>
      </c>
      <c r="M187"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87"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87" s="67" t="str">
        <f t="shared" si="2"/>
        <v/>
      </c>
      <c r="P187" s="67" t="str">
        <f>IF(Table_Controls_Input[[#This Row],[Per-unit incentive]]="","",Table_Controls_Input[[#This Row],[Total equipment cost]]+Table_Controls_Input[[#This Row],[Total labor cost]])</f>
        <v/>
      </c>
      <c r="Q187" s="67" t="str">
        <f>IFERROR(Table_Controls_Input[[#This Row],[Gross measure cost]]-Table_Controls_Input[[#This Row],[Estimated incentive]], "")</f>
        <v/>
      </c>
      <c r="R187" s="69" t="str">
        <f>IFERROR(Table_Controls_Input[[#This Row],[Net measure cost]]/Table_Controls_Input[[#This Row],[Cost savings]],"")</f>
        <v/>
      </c>
      <c r="S187" s="74" t="e">
        <f>INDEX(Table_Control_PAF[PAF], MATCH(Table_Controls_Input[[#This Row],[Existing lighting controls]], Table_Control_PAF[List_Control_Types], 0))</f>
        <v>#N/A</v>
      </c>
      <c r="T187" s="74" t="e">
        <f>INDEX(Table_Measure_PAF[Proposed PAF], MATCH(Table_Controls_Input[[#This Row],[Prescriptive control measure]], Table_Measure_PAF[List_Control_Measure], 0))</f>
        <v>#N/A</v>
      </c>
      <c r="U187" s="74" t="e">
        <f>INDEX(Table_Prescript_Meas[AOH Type], MATCH(Table_Controls_Input[[#This Row],[Measure number]],Table_Prescript_Meas[Measure Number], 0))</f>
        <v>#N/A</v>
      </c>
      <c r="V187" s="74" t="e">
        <f>INDEX(Table_Prescript_Meas[AOH Type], MATCH(Table_Controls_Input[[#This Row],[Measure number]], Table_Prescript_Meas[Measure Number],0))</f>
        <v>#N/A</v>
      </c>
      <c r="W187"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87" s="4"/>
      <c r="Y187" s="4"/>
      <c r="Z187" s="4"/>
      <c r="AA187" s="4"/>
      <c r="AB187" s="4"/>
      <c r="AC187" s="4"/>
      <c r="AD187" s="4"/>
      <c r="AE187" s="4"/>
      <c r="AF187" s="4"/>
      <c r="AG187" s="4"/>
      <c r="AH187" s="4"/>
      <c r="AI187" s="4"/>
      <c r="AJ187" s="4"/>
      <c r="AK187" s="4"/>
      <c r="AL187" s="4"/>
      <c r="AM187" s="4"/>
      <c r="AN187" s="4"/>
      <c r="AO187" s="4"/>
      <c r="AP187" s="4"/>
      <c r="AQ187" s="4"/>
      <c r="AR187" s="4"/>
      <c r="AS187" s="4"/>
    </row>
    <row r="188" spans="1:45" x14ac:dyDescent="0.2">
      <c r="A188" s="4"/>
      <c r="B188" s="63">
        <v>184</v>
      </c>
      <c r="C188" s="61" t="str">
        <f>IFERROR(INDEX(Table_Prescript_Meas[Measure Number], MATCH(E188, Table_Prescript_Meas[Measure Description], 0)), "")</f>
        <v/>
      </c>
      <c r="D188" s="192"/>
      <c r="E188" s="179"/>
      <c r="F188" s="197"/>
      <c r="G188" s="179"/>
      <c r="H188" s="179"/>
      <c r="I188" s="181"/>
      <c r="J188" s="181"/>
      <c r="K188"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88" s="67" t="str">
        <f>IFERROR(Table_Controls_Input[[#This Row],[Per-unit incentive]]*Table_Controls_Input[[#This Row],[Quantity (Sensors/controller units)]],"")</f>
        <v/>
      </c>
      <c r="M188"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88"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88" s="67" t="str">
        <f t="shared" si="2"/>
        <v/>
      </c>
      <c r="P188" s="67" t="str">
        <f>IF(Table_Controls_Input[[#This Row],[Per-unit incentive]]="","",Table_Controls_Input[[#This Row],[Total equipment cost]]+Table_Controls_Input[[#This Row],[Total labor cost]])</f>
        <v/>
      </c>
      <c r="Q188" s="67" t="str">
        <f>IFERROR(Table_Controls_Input[[#This Row],[Gross measure cost]]-Table_Controls_Input[[#This Row],[Estimated incentive]], "")</f>
        <v/>
      </c>
      <c r="R188" s="69" t="str">
        <f>IFERROR(Table_Controls_Input[[#This Row],[Net measure cost]]/Table_Controls_Input[[#This Row],[Cost savings]],"")</f>
        <v/>
      </c>
      <c r="S188" s="74" t="e">
        <f>INDEX(Table_Control_PAF[PAF], MATCH(Table_Controls_Input[[#This Row],[Existing lighting controls]], Table_Control_PAF[List_Control_Types], 0))</f>
        <v>#N/A</v>
      </c>
      <c r="T188" s="74" t="e">
        <f>INDEX(Table_Measure_PAF[Proposed PAF], MATCH(Table_Controls_Input[[#This Row],[Prescriptive control measure]], Table_Measure_PAF[List_Control_Measure], 0))</f>
        <v>#N/A</v>
      </c>
      <c r="U188" s="74" t="e">
        <f>INDEX(Table_Prescript_Meas[AOH Type], MATCH(Table_Controls_Input[[#This Row],[Measure number]],Table_Prescript_Meas[Measure Number], 0))</f>
        <v>#N/A</v>
      </c>
      <c r="V188" s="74" t="e">
        <f>INDEX(Table_Prescript_Meas[AOH Type], MATCH(Table_Controls_Input[[#This Row],[Measure number]], Table_Prescript_Meas[Measure Number],0))</f>
        <v>#N/A</v>
      </c>
      <c r="W188"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88" s="4"/>
      <c r="Y188" s="4"/>
      <c r="Z188" s="4"/>
      <c r="AA188" s="4"/>
      <c r="AB188" s="4"/>
      <c r="AC188" s="4"/>
      <c r="AD188" s="4"/>
      <c r="AE188" s="4"/>
      <c r="AF188" s="4"/>
      <c r="AG188" s="4"/>
      <c r="AH188" s="4"/>
      <c r="AI188" s="4"/>
      <c r="AJ188" s="4"/>
      <c r="AK188" s="4"/>
      <c r="AL188" s="4"/>
      <c r="AM188" s="4"/>
      <c r="AN188" s="4"/>
      <c r="AO188" s="4"/>
      <c r="AP188" s="4"/>
      <c r="AQ188" s="4"/>
      <c r="AR188" s="4"/>
      <c r="AS188" s="4"/>
    </row>
    <row r="189" spans="1:45" x14ac:dyDescent="0.2">
      <c r="A189" s="4"/>
      <c r="B189" s="63">
        <v>185</v>
      </c>
      <c r="C189" s="61" t="str">
        <f>IFERROR(INDEX(Table_Prescript_Meas[Measure Number], MATCH(E189, Table_Prescript_Meas[Measure Description], 0)), "")</f>
        <v/>
      </c>
      <c r="D189" s="192"/>
      <c r="E189" s="179"/>
      <c r="F189" s="197"/>
      <c r="G189" s="179"/>
      <c r="H189" s="179"/>
      <c r="I189" s="181"/>
      <c r="J189" s="181"/>
      <c r="K189"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89" s="67" t="str">
        <f>IFERROR(Table_Controls_Input[[#This Row],[Per-unit incentive]]*Table_Controls_Input[[#This Row],[Quantity (Sensors/controller units)]],"")</f>
        <v/>
      </c>
      <c r="M189"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89"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89" s="67" t="str">
        <f t="shared" si="2"/>
        <v/>
      </c>
      <c r="P189" s="67" t="str">
        <f>IF(Table_Controls_Input[[#This Row],[Per-unit incentive]]="","",Table_Controls_Input[[#This Row],[Total equipment cost]]+Table_Controls_Input[[#This Row],[Total labor cost]])</f>
        <v/>
      </c>
      <c r="Q189" s="67" t="str">
        <f>IFERROR(Table_Controls_Input[[#This Row],[Gross measure cost]]-Table_Controls_Input[[#This Row],[Estimated incentive]], "")</f>
        <v/>
      </c>
      <c r="R189" s="69" t="str">
        <f>IFERROR(Table_Controls_Input[[#This Row],[Net measure cost]]/Table_Controls_Input[[#This Row],[Cost savings]],"")</f>
        <v/>
      </c>
      <c r="S189" s="74" t="e">
        <f>INDEX(Table_Control_PAF[PAF], MATCH(Table_Controls_Input[[#This Row],[Existing lighting controls]], Table_Control_PAF[List_Control_Types], 0))</f>
        <v>#N/A</v>
      </c>
      <c r="T189" s="74" t="e">
        <f>INDEX(Table_Measure_PAF[Proposed PAF], MATCH(Table_Controls_Input[[#This Row],[Prescriptive control measure]], Table_Measure_PAF[List_Control_Measure], 0))</f>
        <v>#N/A</v>
      </c>
      <c r="U189" s="74" t="e">
        <f>INDEX(Table_Prescript_Meas[AOH Type], MATCH(Table_Controls_Input[[#This Row],[Measure number]],Table_Prescript_Meas[Measure Number], 0))</f>
        <v>#N/A</v>
      </c>
      <c r="V189" s="74" t="e">
        <f>INDEX(Table_Prescript_Meas[AOH Type], MATCH(Table_Controls_Input[[#This Row],[Measure number]], Table_Prescript_Meas[Measure Number],0))</f>
        <v>#N/A</v>
      </c>
      <c r="W189"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89" s="4"/>
      <c r="Y189" s="4"/>
      <c r="Z189" s="4"/>
      <c r="AA189" s="4"/>
      <c r="AB189" s="4"/>
      <c r="AC189" s="4"/>
      <c r="AD189" s="4"/>
      <c r="AE189" s="4"/>
      <c r="AF189" s="4"/>
      <c r="AG189" s="4"/>
      <c r="AH189" s="4"/>
      <c r="AI189" s="4"/>
      <c r="AJ189" s="4"/>
      <c r="AK189" s="4"/>
      <c r="AL189" s="4"/>
      <c r="AM189" s="4"/>
      <c r="AN189" s="4"/>
      <c r="AO189" s="4"/>
      <c r="AP189" s="4"/>
      <c r="AQ189" s="4"/>
      <c r="AR189" s="4"/>
      <c r="AS189" s="4"/>
    </row>
    <row r="190" spans="1:45" x14ac:dyDescent="0.2">
      <c r="A190" s="4"/>
      <c r="B190" s="63">
        <v>186</v>
      </c>
      <c r="C190" s="61" t="str">
        <f>IFERROR(INDEX(Table_Prescript_Meas[Measure Number], MATCH(E190, Table_Prescript_Meas[Measure Description], 0)), "")</f>
        <v/>
      </c>
      <c r="D190" s="192"/>
      <c r="E190" s="179"/>
      <c r="F190" s="197"/>
      <c r="G190" s="179"/>
      <c r="H190" s="179"/>
      <c r="I190" s="181"/>
      <c r="J190" s="181"/>
      <c r="K190"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90" s="67" t="str">
        <f>IFERROR(Table_Controls_Input[[#This Row],[Per-unit incentive]]*Table_Controls_Input[[#This Row],[Quantity (Sensors/controller units)]],"")</f>
        <v/>
      </c>
      <c r="M190"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90"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90" s="67" t="str">
        <f t="shared" si="2"/>
        <v/>
      </c>
      <c r="P190" s="67" t="str">
        <f>IF(Table_Controls_Input[[#This Row],[Per-unit incentive]]="","",Table_Controls_Input[[#This Row],[Total equipment cost]]+Table_Controls_Input[[#This Row],[Total labor cost]])</f>
        <v/>
      </c>
      <c r="Q190" s="67" t="str">
        <f>IFERROR(Table_Controls_Input[[#This Row],[Gross measure cost]]-Table_Controls_Input[[#This Row],[Estimated incentive]], "")</f>
        <v/>
      </c>
      <c r="R190" s="69" t="str">
        <f>IFERROR(Table_Controls_Input[[#This Row],[Net measure cost]]/Table_Controls_Input[[#This Row],[Cost savings]],"")</f>
        <v/>
      </c>
      <c r="S190" s="74" t="e">
        <f>INDEX(Table_Control_PAF[PAF], MATCH(Table_Controls_Input[[#This Row],[Existing lighting controls]], Table_Control_PAF[List_Control_Types], 0))</f>
        <v>#N/A</v>
      </c>
      <c r="T190" s="74" t="e">
        <f>INDEX(Table_Measure_PAF[Proposed PAF], MATCH(Table_Controls_Input[[#This Row],[Prescriptive control measure]], Table_Measure_PAF[List_Control_Measure], 0))</f>
        <v>#N/A</v>
      </c>
      <c r="U190" s="74" t="e">
        <f>INDEX(Table_Prescript_Meas[AOH Type], MATCH(Table_Controls_Input[[#This Row],[Measure number]],Table_Prescript_Meas[Measure Number], 0))</f>
        <v>#N/A</v>
      </c>
      <c r="V190" s="74" t="e">
        <f>INDEX(Table_Prescript_Meas[AOH Type], MATCH(Table_Controls_Input[[#This Row],[Measure number]], Table_Prescript_Meas[Measure Number],0))</f>
        <v>#N/A</v>
      </c>
      <c r="W190"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90" s="4"/>
      <c r="Y190" s="4"/>
      <c r="Z190" s="4"/>
      <c r="AA190" s="4"/>
      <c r="AB190" s="4"/>
      <c r="AC190" s="4"/>
      <c r="AD190" s="4"/>
      <c r="AE190" s="4"/>
      <c r="AF190" s="4"/>
      <c r="AG190" s="4"/>
      <c r="AH190" s="4"/>
      <c r="AI190" s="4"/>
      <c r="AJ190" s="4"/>
      <c r="AK190" s="4"/>
      <c r="AL190" s="4"/>
      <c r="AM190" s="4"/>
      <c r="AN190" s="4"/>
      <c r="AO190" s="4"/>
      <c r="AP190" s="4"/>
      <c r="AQ190" s="4"/>
      <c r="AR190" s="4"/>
      <c r="AS190" s="4"/>
    </row>
    <row r="191" spans="1:45" x14ac:dyDescent="0.2">
      <c r="A191" s="4"/>
      <c r="B191" s="63">
        <v>187</v>
      </c>
      <c r="C191" s="61" t="str">
        <f>IFERROR(INDEX(Table_Prescript_Meas[Measure Number], MATCH(E191, Table_Prescript_Meas[Measure Description], 0)), "")</f>
        <v/>
      </c>
      <c r="D191" s="192"/>
      <c r="E191" s="179"/>
      <c r="F191" s="197"/>
      <c r="G191" s="179"/>
      <c r="H191" s="179"/>
      <c r="I191" s="181"/>
      <c r="J191" s="181"/>
      <c r="K191"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91" s="67" t="str">
        <f>IFERROR(Table_Controls_Input[[#This Row],[Per-unit incentive]]*Table_Controls_Input[[#This Row],[Quantity (Sensors/controller units)]],"")</f>
        <v/>
      </c>
      <c r="M191"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91"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91" s="67" t="str">
        <f t="shared" si="2"/>
        <v/>
      </c>
      <c r="P191" s="67" t="str">
        <f>IF(Table_Controls_Input[[#This Row],[Per-unit incentive]]="","",Table_Controls_Input[[#This Row],[Total equipment cost]]+Table_Controls_Input[[#This Row],[Total labor cost]])</f>
        <v/>
      </c>
      <c r="Q191" s="67" t="str">
        <f>IFERROR(Table_Controls_Input[[#This Row],[Gross measure cost]]-Table_Controls_Input[[#This Row],[Estimated incentive]], "")</f>
        <v/>
      </c>
      <c r="R191" s="69" t="str">
        <f>IFERROR(Table_Controls_Input[[#This Row],[Net measure cost]]/Table_Controls_Input[[#This Row],[Cost savings]],"")</f>
        <v/>
      </c>
      <c r="S191" s="74" t="e">
        <f>INDEX(Table_Control_PAF[PAF], MATCH(Table_Controls_Input[[#This Row],[Existing lighting controls]], Table_Control_PAF[List_Control_Types], 0))</f>
        <v>#N/A</v>
      </c>
      <c r="T191" s="74" t="e">
        <f>INDEX(Table_Measure_PAF[Proposed PAF], MATCH(Table_Controls_Input[[#This Row],[Prescriptive control measure]], Table_Measure_PAF[List_Control_Measure], 0))</f>
        <v>#N/A</v>
      </c>
      <c r="U191" s="74" t="e">
        <f>INDEX(Table_Prescript_Meas[AOH Type], MATCH(Table_Controls_Input[[#This Row],[Measure number]],Table_Prescript_Meas[Measure Number], 0))</f>
        <v>#N/A</v>
      </c>
      <c r="V191" s="74" t="e">
        <f>INDEX(Table_Prescript_Meas[AOH Type], MATCH(Table_Controls_Input[[#This Row],[Measure number]], Table_Prescript_Meas[Measure Number],0))</f>
        <v>#N/A</v>
      </c>
      <c r="W191"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91" s="4"/>
      <c r="Y191" s="4"/>
      <c r="Z191" s="4"/>
      <c r="AA191" s="4"/>
      <c r="AB191" s="4"/>
      <c r="AC191" s="4"/>
      <c r="AD191" s="4"/>
      <c r="AE191" s="4"/>
      <c r="AF191" s="4"/>
      <c r="AG191" s="4"/>
      <c r="AH191" s="4"/>
      <c r="AI191" s="4"/>
      <c r="AJ191" s="4"/>
      <c r="AK191" s="4"/>
      <c r="AL191" s="4"/>
      <c r="AM191" s="4"/>
      <c r="AN191" s="4"/>
      <c r="AO191" s="4"/>
      <c r="AP191" s="4"/>
      <c r="AQ191" s="4"/>
      <c r="AR191" s="4"/>
      <c r="AS191" s="4"/>
    </row>
    <row r="192" spans="1:45" x14ac:dyDescent="0.2">
      <c r="A192" s="4"/>
      <c r="B192" s="63">
        <v>188</v>
      </c>
      <c r="C192" s="61" t="str">
        <f>IFERROR(INDEX(Table_Prescript_Meas[Measure Number], MATCH(E192, Table_Prescript_Meas[Measure Description], 0)), "")</f>
        <v/>
      </c>
      <c r="D192" s="192"/>
      <c r="E192" s="179"/>
      <c r="F192" s="197"/>
      <c r="G192" s="179"/>
      <c r="H192" s="179"/>
      <c r="I192" s="181"/>
      <c r="J192" s="181"/>
      <c r="K192"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92" s="67" t="str">
        <f>IFERROR(Table_Controls_Input[[#This Row],[Per-unit incentive]]*Table_Controls_Input[[#This Row],[Quantity (Sensors/controller units)]],"")</f>
        <v/>
      </c>
      <c r="M192"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92"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92" s="67" t="str">
        <f t="shared" si="2"/>
        <v/>
      </c>
      <c r="P192" s="67" t="str">
        <f>IF(Table_Controls_Input[[#This Row],[Per-unit incentive]]="","",Table_Controls_Input[[#This Row],[Total equipment cost]]+Table_Controls_Input[[#This Row],[Total labor cost]])</f>
        <v/>
      </c>
      <c r="Q192" s="67" t="str">
        <f>IFERROR(Table_Controls_Input[[#This Row],[Gross measure cost]]-Table_Controls_Input[[#This Row],[Estimated incentive]], "")</f>
        <v/>
      </c>
      <c r="R192" s="69" t="str">
        <f>IFERROR(Table_Controls_Input[[#This Row],[Net measure cost]]/Table_Controls_Input[[#This Row],[Cost savings]],"")</f>
        <v/>
      </c>
      <c r="S192" s="74" t="e">
        <f>INDEX(Table_Control_PAF[PAF], MATCH(Table_Controls_Input[[#This Row],[Existing lighting controls]], Table_Control_PAF[List_Control_Types], 0))</f>
        <v>#N/A</v>
      </c>
      <c r="T192" s="74" t="e">
        <f>INDEX(Table_Measure_PAF[Proposed PAF], MATCH(Table_Controls_Input[[#This Row],[Prescriptive control measure]], Table_Measure_PAF[List_Control_Measure], 0))</f>
        <v>#N/A</v>
      </c>
      <c r="U192" s="74" t="e">
        <f>INDEX(Table_Prescript_Meas[AOH Type], MATCH(Table_Controls_Input[[#This Row],[Measure number]],Table_Prescript_Meas[Measure Number], 0))</f>
        <v>#N/A</v>
      </c>
      <c r="V192" s="74" t="e">
        <f>INDEX(Table_Prescript_Meas[AOH Type], MATCH(Table_Controls_Input[[#This Row],[Measure number]], Table_Prescript_Meas[Measure Number],0))</f>
        <v>#N/A</v>
      </c>
      <c r="W192"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92" s="4"/>
      <c r="Y192" s="4"/>
      <c r="Z192" s="4"/>
      <c r="AA192" s="4"/>
      <c r="AB192" s="4"/>
      <c r="AC192" s="4"/>
      <c r="AD192" s="4"/>
      <c r="AE192" s="4"/>
      <c r="AF192" s="4"/>
      <c r="AG192" s="4"/>
      <c r="AH192" s="4"/>
      <c r="AI192" s="4"/>
      <c r="AJ192" s="4"/>
      <c r="AK192" s="4"/>
      <c r="AL192" s="4"/>
      <c r="AM192" s="4"/>
      <c r="AN192" s="4"/>
      <c r="AO192" s="4"/>
      <c r="AP192" s="4"/>
      <c r="AQ192" s="4"/>
      <c r="AR192" s="4"/>
      <c r="AS192" s="4"/>
    </row>
    <row r="193" spans="1:45" x14ac:dyDescent="0.2">
      <c r="A193" s="4"/>
      <c r="B193" s="63">
        <v>189</v>
      </c>
      <c r="C193" s="61" t="str">
        <f>IFERROR(INDEX(Table_Prescript_Meas[Measure Number], MATCH(E193, Table_Prescript_Meas[Measure Description], 0)), "")</f>
        <v/>
      </c>
      <c r="D193" s="192"/>
      <c r="E193" s="179"/>
      <c r="F193" s="197"/>
      <c r="G193" s="179"/>
      <c r="H193" s="179"/>
      <c r="I193" s="181"/>
      <c r="J193" s="181"/>
      <c r="K193"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93" s="67" t="str">
        <f>IFERROR(Table_Controls_Input[[#This Row],[Per-unit incentive]]*Table_Controls_Input[[#This Row],[Quantity (Sensors/controller units)]],"")</f>
        <v/>
      </c>
      <c r="M193"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93"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93" s="67" t="str">
        <f t="shared" si="2"/>
        <v/>
      </c>
      <c r="P193" s="67" t="str">
        <f>IF(Table_Controls_Input[[#This Row],[Per-unit incentive]]="","",Table_Controls_Input[[#This Row],[Total equipment cost]]+Table_Controls_Input[[#This Row],[Total labor cost]])</f>
        <v/>
      </c>
      <c r="Q193" s="67" t="str">
        <f>IFERROR(Table_Controls_Input[[#This Row],[Gross measure cost]]-Table_Controls_Input[[#This Row],[Estimated incentive]], "")</f>
        <v/>
      </c>
      <c r="R193" s="69" t="str">
        <f>IFERROR(Table_Controls_Input[[#This Row],[Net measure cost]]/Table_Controls_Input[[#This Row],[Cost savings]],"")</f>
        <v/>
      </c>
      <c r="S193" s="74" t="e">
        <f>INDEX(Table_Control_PAF[PAF], MATCH(Table_Controls_Input[[#This Row],[Existing lighting controls]], Table_Control_PAF[List_Control_Types], 0))</f>
        <v>#N/A</v>
      </c>
      <c r="T193" s="74" t="e">
        <f>INDEX(Table_Measure_PAF[Proposed PAF], MATCH(Table_Controls_Input[[#This Row],[Prescriptive control measure]], Table_Measure_PAF[List_Control_Measure], 0))</f>
        <v>#N/A</v>
      </c>
      <c r="U193" s="74" t="e">
        <f>INDEX(Table_Prescript_Meas[AOH Type], MATCH(Table_Controls_Input[[#This Row],[Measure number]],Table_Prescript_Meas[Measure Number], 0))</f>
        <v>#N/A</v>
      </c>
      <c r="V193" s="74" t="e">
        <f>INDEX(Table_Prescript_Meas[AOH Type], MATCH(Table_Controls_Input[[#This Row],[Measure number]], Table_Prescript_Meas[Measure Number],0))</f>
        <v>#N/A</v>
      </c>
      <c r="W193"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93" s="4"/>
      <c r="Y193" s="4"/>
      <c r="Z193" s="4"/>
      <c r="AA193" s="4"/>
      <c r="AB193" s="4"/>
      <c r="AC193" s="4"/>
      <c r="AD193" s="4"/>
      <c r="AE193" s="4"/>
      <c r="AF193" s="4"/>
      <c r="AG193" s="4"/>
      <c r="AH193" s="4"/>
      <c r="AI193" s="4"/>
      <c r="AJ193" s="4"/>
      <c r="AK193" s="4"/>
      <c r="AL193" s="4"/>
      <c r="AM193" s="4"/>
      <c r="AN193" s="4"/>
      <c r="AO193" s="4"/>
      <c r="AP193" s="4"/>
      <c r="AQ193" s="4"/>
      <c r="AR193" s="4"/>
      <c r="AS193" s="4"/>
    </row>
    <row r="194" spans="1:45" x14ac:dyDescent="0.2">
      <c r="A194" s="4"/>
      <c r="B194" s="63">
        <v>190</v>
      </c>
      <c r="C194" s="61" t="str">
        <f>IFERROR(INDEX(Table_Prescript_Meas[Measure Number], MATCH(E194, Table_Prescript_Meas[Measure Description], 0)), "")</f>
        <v/>
      </c>
      <c r="D194" s="192"/>
      <c r="E194" s="179"/>
      <c r="F194" s="197"/>
      <c r="G194" s="179"/>
      <c r="H194" s="179"/>
      <c r="I194" s="181"/>
      <c r="J194" s="181"/>
      <c r="K194"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94" s="67" t="str">
        <f>IFERROR(Table_Controls_Input[[#This Row],[Per-unit incentive]]*Table_Controls_Input[[#This Row],[Quantity (Sensors/controller units)]],"")</f>
        <v/>
      </c>
      <c r="M194"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94"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94" s="67" t="str">
        <f t="shared" si="2"/>
        <v/>
      </c>
      <c r="P194" s="67" t="str">
        <f>IF(Table_Controls_Input[[#This Row],[Per-unit incentive]]="","",Table_Controls_Input[[#This Row],[Total equipment cost]]+Table_Controls_Input[[#This Row],[Total labor cost]])</f>
        <v/>
      </c>
      <c r="Q194" s="67" t="str">
        <f>IFERROR(Table_Controls_Input[[#This Row],[Gross measure cost]]-Table_Controls_Input[[#This Row],[Estimated incentive]], "")</f>
        <v/>
      </c>
      <c r="R194" s="69" t="str">
        <f>IFERROR(Table_Controls_Input[[#This Row],[Net measure cost]]/Table_Controls_Input[[#This Row],[Cost savings]],"")</f>
        <v/>
      </c>
      <c r="S194" s="74" t="e">
        <f>INDEX(Table_Control_PAF[PAF], MATCH(Table_Controls_Input[[#This Row],[Existing lighting controls]], Table_Control_PAF[List_Control_Types], 0))</f>
        <v>#N/A</v>
      </c>
      <c r="T194" s="74" t="e">
        <f>INDEX(Table_Measure_PAF[Proposed PAF], MATCH(Table_Controls_Input[[#This Row],[Prescriptive control measure]], Table_Measure_PAF[List_Control_Measure], 0))</f>
        <v>#N/A</v>
      </c>
      <c r="U194" s="74" t="e">
        <f>INDEX(Table_Prescript_Meas[AOH Type], MATCH(Table_Controls_Input[[#This Row],[Measure number]],Table_Prescript_Meas[Measure Number], 0))</f>
        <v>#N/A</v>
      </c>
      <c r="V194" s="74" t="e">
        <f>INDEX(Table_Prescript_Meas[AOH Type], MATCH(Table_Controls_Input[[#This Row],[Measure number]], Table_Prescript_Meas[Measure Number],0))</f>
        <v>#N/A</v>
      </c>
      <c r="W194"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94" s="4"/>
      <c r="Y194" s="4"/>
      <c r="Z194" s="4"/>
      <c r="AA194" s="4"/>
      <c r="AB194" s="4"/>
      <c r="AC194" s="4"/>
      <c r="AD194" s="4"/>
      <c r="AE194" s="4"/>
      <c r="AF194" s="4"/>
      <c r="AG194" s="4"/>
      <c r="AH194" s="4"/>
      <c r="AI194" s="4"/>
      <c r="AJ194" s="4"/>
      <c r="AK194" s="4"/>
      <c r="AL194" s="4"/>
      <c r="AM194" s="4"/>
      <c r="AN194" s="4"/>
      <c r="AO194" s="4"/>
      <c r="AP194" s="4"/>
      <c r="AQ194" s="4"/>
      <c r="AR194" s="4"/>
      <c r="AS194" s="4"/>
    </row>
    <row r="195" spans="1:45" x14ac:dyDescent="0.2">
      <c r="A195" s="4"/>
      <c r="B195" s="63">
        <v>191</v>
      </c>
      <c r="C195" s="61" t="str">
        <f>IFERROR(INDEX(Table_Prescript_Meas[Measure Number], MATCH(E195, Table_Prescript_Meas[Measure Description], 0)), "")</f>
        <v/>
      </c>
      <c r="D195" s="192"/>
      <c r="E195" s="179"/>
      <c r="F195" s="197"/>
      <c r="G195" s="179"/>
      <c r="H195" s="179"/>
      <c r="I195" s="181"/>
      <c r="J195" s="181"/>
      <c r="K195"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95" s="67" t="str">
        <f>IFERROR(Table_Controls_Input[[#This Row],[Per-unit incentive]]*Table_Controls_Input[[#This Row],[Quantity (Sensors/controller units)]],"")</f>
        <v/>
      </c>
      <c r="M195"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95"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95" s="67" t="str">
        <f t="shared" si="2"/>
        <v/>
      </c>
      <c r="P195" s="67" t="str">
        <f>IF(Table_Controls_Input[[#This Row],[Per-unit incentive]]="","",Table_Controls_Input[[#This Row],[Total equipment cost]]+Table_Controls_Input[[#This Row],[Total labor cost]])</f>
        <v/>
      </c>
      <c r="Q195" s="67" t="str">
        <f>IFERROR(Table_Controls_Input[[#This Row],[Gross measure cost]]-Table_Controls_Input[[#This Row],[Estimated incentive]], "")</f>
        <v/>
      </c>
      <c r="R195" s="69" t="str">
        <f>IFERROR(Table_Controls_Input[[#This Row],[Net measure cost]]/Table_Controls_Input[[#This Row],[Cost savings]],"")</f>
        <v/>
      </c>
      <c r="S195" s="74" t="e">
        <f>INDEX(Table_Control_PAF[PAF], MATCH(Table_Controls_Input[[#This Row],[Existing lighting controls]], Table_Control_PAF[List_Control_Types], 0))</f>
        <v>#N/A</v>
      </c>
      <c r="T195" s="74" t="e">
        <f>INDEX(Table_Measure_PAF[Proposed PAF], MATCH(Table_Controls_Input[[#This Row],[Prescriptive control measure]], Table_Measure_PAF[List_Control_Measure], 0))</f>
        <v>#N/A</v>
      </c>
      <c r="U195" s="74" t="e">
        <f>INDEX(Table_Prescript_Meas[AOH Type], MATCH(Table_Controls_Input[[#This Row],[Measure number]],Table_Prescript_Meas[Measure Number], 0))</f>
        <v>#N/A</v>
      </c>
      <c r="V195" s="74" t="e">
        <f>INDEX(Table_Prescript_Meas[AOH Type], MATCH(Table_Controls_Input[[#This Row],[Measure number]], Table_Prescript_Meas[Measure Number],0))</f>
        <v>#N/A</v>
      </c>
      <c r="W195"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95" s="4"/>
      <c r="Y195" s="4"/>
      <c r="Z195" s="4"/>
      <c r="AA195" s="4"/>
      <c r="AB195" s="4"/>
      <c r="AC195" s="4"/>
      <c r="AD195" s="4"/>
      <c r="AE195" s="4"/>
      <c r="AF195" s="4"/>
      <c r="AG195" s="4"/>
      <c r="AH195" s="4"/>
      <c r="AI195" s="4"/>
      <c r="AJ195" s="4"/>
      <c r="AK195" s="4"/>
      <c r="AL195" s="4"/>
      <c r="AM195" s="4"/>
      <c r="AN195" s="4"/>
      <c r="AO195" s="4"/>
      <c r="AP195" s="4"/>
      <c r="AQ195" s="4"/>
      <c r="AR195" s="4"/>
      <c r="AS195" s="4"/>
    </row>
    <row r="196" spans="1:45" x14ac:dyDescent="0.2">
      <c r="A196" s="4"/>
      <c r="B196" s="63">
        <v>192</v>
      </c>
      <c r="C196" s="61" t="str">
        <f>IFERROR(INDEX(Table_Prescript_Meas[Measure Number], MATCH(E196, Table_Prescript_Meas[Measure Description], 0)), "")</f>
        <v/>
      </c>
      <c r="D196" s="192"/>
      <c r="E196" s="179"/>
      <c r="F196" s="197"/>
      <c r="G196" s="179"/>
      <c r="H196" s="179"/>
      <c r="I196" s="181"/>
      <c r="J196" s="181"/>
      <c r="K196"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96" s="67" t="str">
        <f>IFERROR(Table_Controls_Input[[#This Row],[Per-unit incentive]]*Table_Controls_Input[[#This Row],[Quantity (Sensors/controller units)]],"")</f>
        <v/>
      </c>
      <c r="M196"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96"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96" s="67" t="str">
        <f t="shared" si="2"/>
        <v/>
      </c>
      <c r="P196" s="67" t="str">
        <f>IF(Table_Controls_Input[[#This Row],[Per-unit incentive]]="","",Table_Controls_Input[[#This Row],[Total equipment cost]]+Table_Controls_Input[[#This Row],[Total labor cost]])</f>
        <v/>
      </c>
      <c r="Q196" s="67" t="str">
        <f>IFERROR(Table_Controls_Input[[#This Row],[Gross measure cost]]-Table_Controls_Input[[#This Row],[Estimated incentive]], "")</f>
        <v/>
      </c>
      <c r="R196" s="69" t="str">
        <f>IFERROR(Table_Controls_Input[[#This Row],[Net measure cost]]/Table_Controls_Input[[#This Row],[Cost savings]],"")</f>
        <v/>
      </c>
      <c r="S196" s="74" t="e">
        <f>INDEX(Table_Control_PAF[PAF], MATCH(Table_Controls_Input[[#This Row],[Existing lighting controls]], Table_Control_PAF[List_Control_Types], 0))</f>
        <v>#N/A</v>
      </c>
      <c r="T196" s="74" t="e">
        <f>INDEX(Table_Measure_PAF[Proposed PAF], MATCH(Table_Controls_Input[[#This Row],[Prescriptive control measure]], Table_Measure_PAF[List_Control_Measure], 0))</f>
        <v>#N/A</v>
      </c>
      <c r="U196" s="74" t="e">
        <f>INDEX(Table_Prescript_Meas[AOH Type], MATCH(Table_Controls_Input[[#This Row],[Measure number]],Table_Prescript_Meas[Measure Number], 0))</f>
        <v>#N/A</v>
      </c>
      <c r="V196" s="74" t="e">
        <f>INDEX(Table_Prescript_Meas[AOH Type], MATCH(Table_Controls_Input[[#This Row],[Measure number]], Table_Prescript_Meas[Measure Number],0))</f>
        <v>#N/A</v>
      </c>
      <c r="W196"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96" s="4"/>
      <c r="Y196" s="4"/>
      <c r="Z196" s="4"/>
      <c r="AA196" s="4"/>
      <c r="AB196" s="4"/>
      <c r="AC196" s="4"/>
      <c r="AD196" s="4"/>
      <c r="AE196" s="4"/>
      <c r="AF196" s="4"/>
      <c r="AG196" s="4"/>
      <c r="AH196" s="4"/>
      <c r="AI196" s="4"/>
      <c r="AJ196" s="4"/>
      <c r="AK196" s="4"/>
      <c r="AL196" s="4"/>
      <c r="AM196" s="4"/>
      <c r="AN196" s="4"/>
      <c r="AO196" s="4"/>
      <c r="AP196" s="4"/>
      <c r="AQ196" s="4"/>
      <c r="AR196" s="4"/>
      <c r="AS196" s="4"/>
    </row>
    <row r="197" spans="1:45" x14ac:dyDescent="0.2">
      <c r="A197" s="4"/>
      <c r="B197" s="63">
        <v>193</v>
      </c>
      <c r="C197" s="61" t="str">
        <f>IFERROR(INDEX(Table_Prescript_Meas[Measure Number], MATCH(E197, Table_Prescript_Meas[Measure Description], 0)), "")</f>
        <v/>
      </c>
      <c r="D197" s="192"/>
      <c r="E197" s="179"/>
      <c r="F197" s="197"/>
      <c r="G197" s="179"/>
      <c r="H197" s="179"/>
      <c r="I197" s="181"/>
      <c r="J197" s="181"/>
      <c r="K197"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97" s="67" t="str">
        <f>IFERROR(Table_Controls_Input[[#This Row],[Per-unit incentive]]*Table_Controls_Input[[#This Row],[Quantity (Sensors/controller units)]],"")</f>
        <v/>
      </c>
      <c r="M197"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97"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97" s="67" t="str">
        <f t="shared" ref="O197:O204" si="3">IFERROR(M197*Input_AvgkWhRate, "")</f>
        <v/>
      </c>
      <c r="P197" s="67" t="str">
        <f>IF(Table_Controls_Input[[#This Row],[Per-unit incentive]]="","",Table_Controls_Input[[#This Row],[Total equipment cost]]+Table_Controls_Input[[#This Row],[Total labor cost]])</f>
        <v/>
      </c>
      <c r="Q197" s="67" t="str">
        <f>IFERROR(Table_Controls_Input[[#This Row],[Gross measure cost]]-Table_Controls_Input[[#This Row],[Estimated incentive]], "")</f>
        <v/>
      </c>
      <c r="R197" s="69" t="str">
        <f>IFERROR(Table_Controls_Input[[#This Row],[Net measure cost]]/Table_Controls_Input[[#This Row],[Cost savings]],"")</f>
        <v/>
      </c>
      <c r="S197" s="74" t="e">
        <f>INDEX(Table_Control_PAF[PAF], MATCH(Table_Controls_Input[[#This Row],[Existing lighting controls]], Table_Control_PAF[List_Control_Types], 0))</f>
        <v>#N/A</v>
      </c>
      <c r="T197" s="74" t="e">
        <f>INDEX(Table_Measure_PAF[Proposed PAF], MATCH(Table_Controls_Input[[#This Row],[Prescriptive control measure]], Table_Measure_PAF[List_Control_Measure], 0))</f>
        <v>#N/A</v>
      </c>
      <c r="U197" s="74" t="e">
        <f>INDEX(Table_Prescript_Meas[AOH Type], MATCH(Table_Controls_Input[[#This Row],[Measure number]],Table_Prescript_Meas[Measure Number], 0))</f>
        <v>#N/A</v>
      </c>
      <c r="V197" s="74" t="e">
        <f>INDEX(Table_Prescript_Meas[AOH Type], MATCH(Table_Controls_Input[[#This Row],[Measure number]], Table_Prescript_Meas[Measure Number],0))</f>
        <v>#N/A</v>
      </c>
      <c r="W197"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97" s="4"/>
      <c r="Y197" s="4"/>
      <c r="Z197" s="4"/>
      <c r="AA197" s="4"/>
      <c r="AB197" s="4"/>
      <c r="AC197" s="4"/>
      <c r="AD197" s="4"/>
      <c r="AE197" s="4"/>
      <c r="AF197" s="4"/>
      <c r="AG197" s="4"/>
      <c r="AH197" s="4"/>
      <c r="AI197" s="4"/>
      <c r="AJ197" s="4"/>
      <c r="AK197" s="4"/>
      <c r="AL197" s="4"/>
      <c r="AM197" s="4"/>
      <c r="AN197" s="4"/>
      <c r="AO197" s="4"/>
      <c r="AP197" s="4"/>
      <c r="AQ197" s="4"/>
      <c r="AR197" s="4"/>
      <c r="AS197" s="4"/>
    </row>
    <row r="198" spans="1:45" x14ac:dyDescent="0.2">
      <c r="A198" s="4"/>
      <c r="B198" s="63">
        <v>194</v>
      </c>
      <c r="C198" s="61" t="str">
        <f>IFERROR(INDEX(Table_Prescript_Meas[Measure Number], MATCH(E198, Table_Prescript_Meas[Measure Description], 0)), "")</f>
        <v/>
      </c>
      <c r="D198" s="192"/>
      <c r="E198" s="179"/>
      <c r="F198" s="197"/>
      <c r="G198" s="179"/>
      <c r="H198" s="179"/>
      <c r="I198" s="181"/>
      <c r="J198" s="181"/>
      <c r="K198"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98" s="67" t="str">
        <f>IFERROR(Table_Controls_Input[[#This Row],[Per-unit incentive]]*Table_Controls_Input[[#This Row],[Quantity (Sensors/controller units)]],"")</f>
        <v/>
      </c>
      <c r="M198"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98"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98" s="67" t="str">
        <f t="shared" si="3"/>
        <v/>
      </c>
      <c r="P198" s="67" t="str">
        <f>IF(Table_Controls_Input[[#This Row],[Per-unit incentive]]="","",Table_Controls_Input[[#This Row],[Total equipment cost]]+Table_Controls_Input[[#This Row],[Total labor cost]])</f>
        <v/>
      </c>
      <c r="Q198" s="67" t="str">
        <f>IFERROR(Table_Controls_Input[[#This Row],[Gross measure cost]]-Table_Controls_Input[[#This Row],[Estimated incentive]], "")</f>
        <v/>
      </c>
      <c r="R198" s="69" t="str">
        <f>IFERROR(Table_Controls_Input[[#This Row],[Net measure cost]]/Table_Controls_Input[[#This Row],[Cost savings]],"")</f>
        <v/>
      </c>
      <c r="S198" s="74" t="e">
        <f>INDEX(Table_Control_PAF[PAF], MATCH(Table_Controls_Input[[#This Row],[Existing lighting controls]], Table_Control_PAF[List_Control_Types], 0))</f>
        <v>#N/A</v>
      </c>
      <c r="T198" s="74" t="e">
        <f>INDEX(Table_Measure_PAF[Proposed PAF], MATCH(Table_Controls_Input[[#This Row],[Prescriptive control measure]], Table_Measure_PAF[List_Control_Measure], 0))</f>
        <v>#N/A</v>
      </c>
      <c r="U198" s="74" t="e">
        <f>INDEX(Table_Prescript_Meas[AOH Type], MATCH(Table_Controls_Input[[#This Row],[Measure number]],Table_Prescript_Meas[Measure Number], 0))</f>
        <v>#N/A</v>
      </c>
      <c r="V198" s="74" t="e">
        <f>INDEX(Table_Prescript_Meas[AOH Type], MATCH(Table_Controls_Input[[#This Row],[Measure number]], Table_Prescript_Meas[Measure Number],0))</f>
        <v>#N/A</v>
      </c>
      <c r="W198"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98" s="4"/>
      <c r="Y198" s="4"/>
      <c r="Z198" s="4"/>
      <c r="AA198" s="4"/>
      <c r="AB198" s="4"/>
      <c r="AC198" s="4"/>
      <c r="AD198" s="4"/>
      <c r="AE198" s="4"/>
      <c r="AF198" s="4"/>
      <c r="AG198" s="4"/>
      <c r="AH198" s="4"/>
      <c r="AI198" s="4"/>
      <c r="AJ198" s="4"/>
      <c r="AK198" s="4"/>
      <c r="AL198" s="4"/>
      <c r="AM198" s="4"/>
      <c r="AN198" s="4"/>
      <c r="AO198" s="4"/>
      <c r="AP198" s="4"/>
      <c r="AQ198" s="4"/>
      <c r="AR198" s="4"/>
      <c r="AS198" s="4"/>
    </row>
    <row r="199" spans="1:45" x14ac:dyDescent="0.2">
      <c r="A199" s="4"/>
      <c r="B199" s="63">
        <v>195</v>
      </c>
      <c r="C199" s="61" t="str">
        <f>IFERROR(INDEX(Table_Prescript_Meas[Measure Number], MATCH(E199, Table_Prescript_Meas[Measure Description], 0)), "")</f>
        <v/>
      </c>
      <c r="D199" s="192"/>
      <c r="E199" s="179"/>
      <c r="F199" s="197"/>
      <c r="G199" s="179"/>
      <c r="H199" s="179"/>
      <c r="I199" s="181"/>
      <c r="J199" s="181"/>
      <c r="K199"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199" s="67" t="str">
        <f>IFERROR(Table_Controls_Input[[#This Row],[Per-unit incentive]]*Table_Controls_Input[[#This Row],[Quantity (Sensors/controller units)]],"")</f>
        <v/>
      </c>
      <c r="M199"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199"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199" s="67" t="str">
        <f t="shared" si="3"/>
        <v/>
      </c>
      <c r="P199" s="67" t="str">
        <f>IF(Table_Controls_Input[[#This Row],[Per-unit incentive]]="","",Table_Controls_Input[[#This Row],[Total equipment cost]]+Table_Controls_Input[[#This Row],[Total labor cost]])</f>
        <v/>
      </c>
      <c r="Q199" s="67" t="str">
        <f>IFERROR(Table_Controls_Input[[#This Row],[Gross measure cost]]-Table_Controls_Input[[#This Row],[Estimated incentive]], "")</f>
        <v/>
      </c>
      <c r="R199" s="69" t="str">
        <f>IFERROR(Table_Controls_Input[[#This Row],[Net measure cost]]/Table_Controls_Input[[#This Row],[Cost savings]],"")</f>
        <v/>
      </c>
      <c r="S199" s="74" t="e">
        <f>INDEX(Table_Control_PAF[PAF], MATCH(Table_Controls_Input[[#This Row],[Existing lighting controls]], Table_Control_PAF[List_Control_Types], 0))</f>
        <v>#N/A</v>
      </c>
      <c r="T199" s="74" t="e">
        <f>INDEX(Table_Measure_PAF[Proposed PAF], MATCH(Table_Controls_Input[[#This Row],[Prescriptive control measure]], Table_Measure_PAF[List_Control_Measure], 0))</f>
        <v>#N/A</v>
      </c>
      <c r="U199" s="74" t="e">
        <f>INDEX(Table_Prescript_Meas[AOH Type], MATCH(Table_Controls_Input[[#This Row],[Measure number]],Table_Prescript_Meas[Measure Number], 0))</f>
        <v>#N/A</v>
      </c>
      <c r="V199" s="74" t="e">
        <f>INDEX(Table_Prescript_Meas[AOH Type], MATCH(Table_Controls_Input[[#This Row],[Measure number]], Table_Prescript_Meas[Measure Number],0))</f>
        <v>#N/A</v>
      </c>
      <c r="W199"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199" s="4"/>
      <c r="Y199" s="4"/>
      <c r="Z199" s="4"/>
      <c r="AA199" s="4"/>
      <c r="AB199" s="4"/>
      <c r="AC199" s="4"/>
      <c r="AD199" s="4"/>
      <c r="AE199" s="4"/>
      <c r="AF199" s="4"/>
      <c r="AG199" s="4"/>
      <c r="AH199" s="4"/>
      <c r="AI199" s="4"/>
      <c r="AJ199" s="4"/>
      <c r="AK199" s="4"/>
      <c r="AL199" s="4"/>
      <c r="AM199" s="4"/>
      <c r="AN199" s="4"/>
      <c r="AO199" s="4"/>
      <c r="AP199" s="4"/>
      <c r="AQ199" s="4"/>
      <c r="AR199" s="4"/>
      <c r="AS199" s="4"/>
    </row>
    <row r="200" spans="1:45" x14ac:dyDescent="0.2">
      <c r="A200" s="4"/>
      <c r="B200" s="63">
        <v>196</v>
      </c>
      <c r="C200" s="61" t="str">
        <f>IFERROR(INDEX(Table_Prescript_Meas[Measure Number], MATCH(E200, Table_Prescript_Meas[Measure Description], 0)), "")</f>
        <v/>
      </c>
      <c r="D200" s="192"/>
      <c r="E200" s="179"/>
      <c r="F200" s="197"/>
      <c r="G200" s="179"/>
      <c r="H200" s="179"/>
      <c r="I200" s="181"/>
      <c r="J200" s="181"/>
      <c r="K200"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200" s="67" t="str">
        <f>IFERROR(Table_Controls_Input[[#This Row],[Per-unit incentive]]*Table_Controls_Input[[#This Row],[Quantity (Sensors/controller units)]],"")</f>
        <v/>
      </c>
      <c r="M200"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200"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200" s="67" t="str">
        <f t="shared" si="3"/>
        <v/>
      </c>
      <c r="P200" s="67" t="str">
        <f>IF(Table_Controls_Input[[#This Row],[Per-unit incentive]]="","",Table_Controls_Input[[#This Row],[Total equipment cost]]+Table_Controls_Input[[#This Row],[Total labor cost]])</f>
        <v/>
      </c>
      <c r="Q200" s="67" t="str">
        <f>IFERROR(Table_Controls_Input[[#This Row],[Gross measure cost]]-Table_Controls_Input[[#This Row],[Estimated incentive]], "")</f>
        <v/>
      </c>
      <c r="R200" s="69" t="str">
        <f>IFERROR(Table_Controls_Input[[#This Row],[Net measure cost]]/Table_Controls_Input[[#This Row],[Cost savings]],"")</f>
        <v/>
      </c>
      <c r="S200" s="74" t="e">
        <f>INDEX(Table_Control_PAF[PAF], MATCH(Table_Controls_Input[[#This Row],[Existing lighting controls]], Table_Control_PAF[List_Control_Types], 0))</f>
        <v>#N/A</v>
      </c>
      <c r="T200" s="74" t="e">
        <f>INDEX(Table_Measure_PAF[Proposed PAF], MATCH(Table_Controls_Input[[#This Row],[Prescriptive control measure]], Table_Measure_PAF[List_Control_Measure], 0))</f>
        <v>#N/A</v>
      </c>
      <c r="U200" s="74" t="e">
        <f>INDEX(Table_Prescript_Meas[AOH Type], MATCH(Table_Controls_Input[[#This Row],[Measure number]],Table_Prescript_Meas[Measure Number], 0))</f>
        <v>#N/A</v>
      </c>
      <c r="V200" s="74" t="e">
        <f>INDEX(Table_Prescript_Meas[AOH Type], MATCH(Table_Controls_Input[[#This Row],[Measure number]], Table_Prescript_Meas[Measure Number],0))</f>
        <v>#N/A</v>
      </c>
      <c r="W200"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200" s="4"/>
      <c r="Y200" s="4"/>
      <c r="Z200" s="4"/>
      <c r="AA200" s="4"/>
      <c r="AB200" s="4"/>
      <c r="AC200" s="4"/>
      <c r="AD200" s="4"/>
      <c r="AE200" s="4"/>
      <c r="AF200" s="4"/>
      <c r="AG200" s="4"/>
      <c r="AH200" s="4"/>
      <c r="AI200" s="4"/>
      <c r="AJ200" s="4"/>
      <c r="AK200" s="4"/>
      <c r="AL200" s="4"/>
      <c r="AM200" s="4"/>
      <c r="AN200" s="4"/>
      <c r="AO200" s="4"/>
      <c r="AP200" s="4"/>
      <c r="AQ200" s="4"/>
      <c r="AR200" s="4"/>
      <c r="AS200" s="4"/>
    </row>
    <row r="201" spans="1:45" x14ac:dyDescent="0.2">
      <c r="A201" s="4"/>
      <c r="B201" s="63">
        <v>197</v>
      </c>
      <c r="C201" s="61" t="str">
        <f>IFERROR(INDEX(Table_Prescript_Meas[Measure Number], MATCH(E201, Table_Prescript_Meas[Measure Description], 0)), "")</f>
        <v/>
      </c>
      <c r="D201" s="192"/>
      <c r="E201" s="179"/>
      <c r="F201" s="197"/>
      <c r="G201" s="179"/>
      <c r="H201" s="179"/>
      <c r="I201" s="181"/>
      <c r="J201" s="181"/>
      <c r="K201"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201" s="67" t="str">
        <f>IFERROR(Table_Controls_Input[[#This Row],[Per-unit incentive]]*Table_Controls_Input[[#This Row],[Quantity (Sensors/controller units)]],"")</f>
        <v/>
      </c>
      <c r="M201"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201"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201" s="67" t="str">
        <f t="shared" si="3"/>
        <v/>
      </c>
      <c r="P201" s="67" t="str">
        <f>IF(Table_Controls_Input[[#This Row],[Per-unit incentive]]="","",Table_Controls_Input[[#This Row],[Total equipment cost]]+Table_Controls_Input[[#This Row],[Total labor cost]])</f>
        <v/>
      </c>
      <c r="Q201" s="67" t="str">
        <f>IFERROR(Table_Controls_Input[[#This Row],[Gross measure cost]]-Table_Controls_Input[[#This Row],[Estimated incentive]], "")</f>
        <v/>
      </c>
      <c r="R201" s="69" t="str">
        <f>IFERROR(Table_Controls_Input[[#This Row],[Net measure cost]]/Table_Controls_Input[[#This Row],[Cost savings]],"")</f>
        <v/>
      </c>
      <c r="S201" s="74" t="e">
        <f>INDEX(Table_Control_PAF[PAF], MATCH(Table_Controls_Input[[#This Row],[Existing lighting controls]], Table_Control_PAF[List_Control_Types], 0))</f>
        <v>#N/A</v>
      </c>
      <c r="T201" s="74" t="e">
        <f>INDEX(Table_Measure_PAF[Proposed PAF], MATCH(Table_Controls_Input[[#This Row],[Prescriptive control measure]], Table_Measure_PAF[List_Control_Measure], 0))</f>
        <v>#N/A</v>
      </c>
      <c r="U201" s="74" t="e">
        <f>INDEX(Table_Prescript_Meas[AOH Type], MATCH(Table_Controls_Input[[#This Row],[Measure number]],Table_Prescript_Meas[Measure Number], 0))</f>
        <v>#N/A</v>
      </c>
      <c r="V201" s="74" t="e">
        <f>INDEX(Table_Prescript_Meas[AOH Type], MATCH(Table_Controls_Input[[#This Row],[Measure number]], Table_Prescript_Meas[Measure Number],0))</f>
        <v>#N/A</v>
      </c>
      <c r="W201"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201" s="4"/>
      <c r="Y201" s="4"/>
      <c r="Z201" s="4"/>
      <c r="AA201" s="4"/>
      <c r="AB201" s="4"/>
      <c r="AC201" s="4"/>
      <c r="AD201" s="4"/>
      <c r="AE201" s="4"/>
      <c r="AF201" s="4"/>
      <c r="AG201" s="4"/>
      <c r="AH201" s="4"/>
      <c r="AI201" s="4"/>
      <c r="AJ201" s="4"/>
      <c r="AK201" s="4"/>
      <c r="AL201" s="4"/>
      <c r="AM201" s="4"/>
      <c r="AN201" s="4"/>
      <c r="AO201" s="4"/>
      <c r="AP201" s="4"/>
      <c r="AQ201" s="4"/>
      <c r="AR201" s="4"/>
      <c r="AS201" s="4"/>
    </row>
    <row r="202" spans="1:45" x14ac:dyDescent="0.2">
      <c r="A202" s="4"/>
      <c r="B202" s="63">
        <v>198</v>
      </c>
      <c r="C202" s="61" t="str">
        <f>IFERROR(INDEX(Table_Prescript_Meas[Measure Number], MATCH(E202, Table_Prescript_Meas[Measure Description], 0)), "")</f>
        <v/>
      </c>
      <c r="D202" s="192"/>
      <c r="E202" s="179"/>
      <c r="F202" s="197"/>
      <c r="G202" s="179"/>
      <c r="H202" s="179"/>
      <c r="I202" s="181"/>
      <c r="J202" s="181"/>
      <c r="K202"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202" s="67" t="str">
        <f>IFERROR(Table_Controls_Input[[#This Row],[Per-unit incentive]]*Table_Controls_Input[[#This Row],[Quantity (Sensors/controller units)]],"")</f>
        <v/>
      </c>
      <c r="M202"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202"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202" s="67" t="str">
        <f t="shared" si="3"/>
        <v/>
      </c>
      <c r="P202" s="67" t="str">
        <f>IF(Table_Controls_Input[[#This Row],[Per-unit incentive]]="","",Table_Controls_Input[[#This Row],[Total equipment cost]]+Table_Controls_Input[[#This Row],[Total labor cost]])</f>
        <v/>
      </c>
      <c r="Q202" s="67" t="str">
        <f>IFERROR(Table_Controls_Input[[#This Row],[Gross measure cost]]-Table_Controls_Input[[#This Row],[Estimated incentive]], "")</f>
        <v/>
      </c>
      <c r="R202" s="69" t="str">
        <f>IFERROR(Table_Controls_Input[[#This Row],[Net measure cost]]/Table_Controls_Input[[#This Row],[Cost savings]],"")</f>
        <v/>
      </c>
      <c r="S202" s="74" t="e">
        <f>INDEX(Table_Control_PAF[PAF], MATCH(Table_Controls_Input[[#This Row],[Existing lighting controls]], Table_Control_PAF[List_Control_Types], 0))</f>
        <v>#N/A</v>
      </c>
      <c r="T202" s="74" t="e">
        <f>INDEX(Table_Measure_PAF[Proposed PAF], MATCH(Table_Controls_Input[[#This Row],[Prescriptive control measure]], Table_Measure_PAF[List_Control_Measure], 0))</f>
        <v>#N/A</v>
      </c>
      <c r="U202" s="74" t="e">
        <f>INDEX(Table_Prescript_Meas[AOH Type], MATCH(Table_Controls_Input[[#This Row],[Measure number]],Table_Prescript_Meas[Measure Number], 0))</f>
        <v>#N/A</v>
      </c>
      <c r="V202" s="74" t="e">
        <f>INDEX(Table_Prescript_Meas[AOH Type], MATCH(Table_Controls_Input[[#This Row],[Measure number]], Table_Prescript_Meas[Measure Number],0))</f>
        <v>#N/A</v>
      </c>
      <c r="W202"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202" s="4"/>
      <c r="Y202" s="4"/>
      <c r="Z202" s="4"/>
      <c r="AA202" s="4"/>
      <c r="AB202" s="4"/>
      <c r="AC202" s="4"/>
      <c r="AD202" s="4"/>
      <c r="AE202" s="4"/>
      <c r="AF202" s="4"/>
      <c r="AG202" s="4"/>
      <c r="AH202" s="4"/>
      <c r="AI202" s="4"/>
      <c r="AJ202" s="4"/>
      <c r="AK202" s="4"/>
      <c r="AL202" s="4"/>
      <c r="AM202" s="4"/>
      <c r="AN202" s="4"/>
      <c r="AO202" s="4"/>
      <c r="AP202" s="4"/>
      <c r="AQ202" s="4"/>
      <c r="AR202" s="4"/>
      <c r="AS202" s="4"/>
    </row>
    <row r="203" spans="1:45" x14ac:dyDescent="0.2">
      <c r="A203" s="4"/>
      <c r="B203" s="63">
        <v>199</v>
      </c>
      <c r="C203" s="61" t="str">
        <f>IFERROR(INDEX(Table_Prescript_Meas[Measure Number], MATCH(E203, Table_Prescript_Meas[Measure Description], 0)), "")</f>
        <v/>
      </c>
      <c r="D203" s="192"/>
      <c r="E203" s="179"/>
      <c r="F203" s="197"/>
      <c r="G203" s="179"/>
      <c r="H203" s="179"/>
      <c r="I203" s="181"/>
      <c r="J203" s="181"/>
      <c r="K203"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203" s="67" t="str">
        <f>IFERROR(Table_Controls_Input[[#This Row],[Per-unit incentive]]*Table_Controls_Input[[#This Row],[Quantity (Sensors/controller units)]],"")</f>
        <v/>
      </c>
      <c r="M203"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203"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203" s="67" t="str">
        <f t="shared" si="3"/>
        <v/>
      </c>
      <c r="P203" s="67" t="str">
        <f>IF(Table_Controls_Input[[#This Row],[Per-unit incentive]]="","",Table_Controls_Input[[#This Row],[Total equipment cost]]+Table_Controls_Input[[#This Row],[Total labor cost]])</f>
        <v/>
      </c>
      <c r="Q203" s="67" t="str">
        <f>IFERROR(Table_Controls_Input[[#This Row],[Gross measure cost]]-Table_Controls_Input[[#This Row],[Estimated incentive]], "")</f>
        <v/>
      </c>
      <c r="R203" s="69" t="str">
        <f>IFERROR(Table_Controls_Input[[#This Row],[Net measure cost]]/Table_Controls_Input[[#This Row],[Cost savings]],"")</f>
        <v/>
      </c>
      <c r="S203" s="74" t="e">
        <f>INDEX(Table_Control_PAF[PAF], MATCH(Table_Controls_Input[[#This Row],[Existing lighting controls]], Table_Control_PAF[List_Control_Types], 0))</f>
        <v>#N/A</v>
      </c>
      <c r="T203" s="74" t="e">
        <f>INDEX(Table_Measure_PAF[Proposed PAF], MATCH(Table_Controls_Input[[#This Row],[Prescriptive control measure]], Table_Measure_PAF[List_Control_Measure], 0))</f>
        <v>#N/A</v>
      </c>
      <c r="U203" s="74" t="e">
        <f>INDEX(Table_Prescript_Meas[AOH Type], MATCH(Table_Controls_Input[[#This Row],[Measure number]],Table_Prescript_Meas[Measure Number], 0))</f>
        <v>#N/A</v>
      </c>
      <c r="V203" s="74" t="e">
        <f>INDEX(Table_Prescript_Meas[AOH Type], MATCH(Table_Controls_Input[[#This Row],[Measure number]], Table_Prescript_Meas[Measure Number],0))</f>
        <v>#N/A</v>
      </c>
      <c r="W203"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203" s="4"/>
      <c r="Y203" s="4"/>
      <c r="Z203" s="4"/>
      <c r="AA203" s="4"/>
      <c r="AB203" s="4"/>
      <c r="AC203" s="4"/>
      <c r="AD203" s="4"/>
      <c r="AE203" s="4"/>
      <c r="AF203" s="4"/>
      <c r="AG203" s="4"/>
      <c r="AH203" s="4"/>
      <c r="AI203" s="4"/>
      <c r="AJ203" s="4"/>
      <c r="AK203" s="4"/>
      <c r="AL203" s="4"/>
      <c r="AM203" s="4"/>
      <c r="AN203" s="4"/>
      <c r="AO203" s="4"/>
      <c r="AP203" s="4"/>
      <c r="AQ203" s="4"/>
      <c r="AR203" s="4"/>
      <c r="AS203" s="4"/>
    </row>
    <row r="204" spans="1:45" x14ac:dyDescent="0.2">
      <c r="A204" s="4"/>
      <c r="B204" s="64">
        <v>200</v>
      </c>
      <c r="C204" s="70" t="str">
        <f>IFERROR(INDEX(Table_Prescript_Meas[Measure Number], MATCH(E204, Table_Prescript_Meas[Measure Description], 0)), "")</f>
        <v/>
      </c>
      <c r="D204" s="193"/>
      <c r="E204" s="179"/>
      <c r="F204" s="197"/>
      <c r="G204" s="179"/>
      <c r="H204" s="183"/>
      <c r="I204" s="184"/>
      <c r="J204" s="184"/>
      <c r="K204" s="67" t="str">
        <f>IFERROR(IF(Input_ProgramType=References!$AO$4, INDEX(Table_Prescript_Meas[Incentive - SC], MATCH(Table_Controls_Input[[#This Row],[Measure number]], Table_Prescript_Meas[Measure Number], 0)), INDEX(Table_Prescript_Meas[Incentive - LC], MATCH(Table_Controls_Input[[#This Row],[Measure number]],Table_Prescript_Meas[Measure Number], 0))), "")</f>
        <v/>
      </c>
      <c r="L204" s="67" t="str">
        <f>IFERROR(Table_Controls_Input[[#This Row],[Per-unit incentive]]*Table_Controls_Input[[#This Row],[Quantity (Sensors/controller units)]],"")</f>
        <v/>
      </c>
      <c r="M204" s="69" t="str">
        <f>IFERROR(IF(Table_Controls_Input[[#This Row],[AOH Type]]="List_Bldg_Types", Table_Controls_Input[[#This Row],[Watts controlled]]/1000*(Table_Controls_Input[[#This Row],[Existing PAF]]-Table_Controls_Input[[#This Row],[Proposed PAF]])*Table_Controls_Input[[#This Row],[Calc AOH]]*INDEX(Table_Bldg_IEFD_IEFC[IEFE], MATCH(Input_HVACType, Table_Bldg_IEFD_IEFC[List_HVAC], 0)), Table_Controls_Input[[#This Row],[Watts controlled]]*(1-0.51)*Table_Controls_Input[[#This Row],[Calc AOH]]/1000), "")</f>
        <v/>
      </c>
      <c r="N204" s="73" t="str">
        <f>IFERROR(IF(Table_Controls_Input[[#This Row],[AOH Type]]="List_Bldg_Types",Table_Controls_Input[[#This Row],[Watts controlled]]/1000*(Table_Controls_Input[[#This Row],[Existing PAF]]-Table_Controls_Input[[#This Row],[Proposed PAF]])*INDEX(Table_Bldg_IEFD_IEFC[IEFD], MATCH(Input_HVACType, Table_Bldg_IEFD_IEFC[List_HVAC], 0))*0.26, Table_Controls_Input[[#This Row],[Watts controlled]]*(1-0.51)/1000), "")</f>
        <v/>
      </c>
      <c r="O204" s="67" t="str">
        <f t="shared" si="3"/>
        <v/>
      </c>
      <c r="P204" s="67" t="str">
        <f>IF(Table_Controls_Input[[#This Row],[Per-unit incentive]]="","",Table_Controls_Input[[#This Row],[Total equipment cost]]+Table_Controls_Input[[#This Row],[Total labor cost]])</f>
        <v/>
      </c>
      <c r="Q204" s="67" t="str">
        <f>IFERROR(Table_Controls_Input[[#This Row],[Gross measure cost]]-Table_Controls_Input[[#This Row],[Estimated incentive]], "")</f>
        <v/>
      </c>
      <c r="R204" s="69" t="str">
        <f>IFERROR(Table_Controls_Input[[#This Row],[Net measure cost]]/Table_Controls_Input[[#This Row],[Cost savings]],"")</f>
        <v/>
      </c>
      <c r="S204" s="74" t="e">
        <f>INDEX(Table_Control_PAF[PAF], MATCH(Table_Controls_Input[[#This Row],[Existing lighting controls]], Table_Control_PAF[List_Control_Types], 0))</f>
        <v>#N/A</v>
      </c>
      <c r="T204" s="74" t="e">
        <f>INDEX(Table_Measure_PAF[Proposed PAF], MATCH(Table_Controls_Input[[#This Row],[Prescriptive control measure]], Table_Measure_PAF[List_Control_Measure], 0))</f>
        <v>#N/A</v>
      </c>
      <c r="U204" s="74" t="e">
        <f>INDEX(Table_Prescript_Meas[AOH Type], MATCH(Table_Controls_Input[[#This Row],[Measure number]],Table_Prescript_Meas[Measure Number], 0))</f>
        <v>#N/A</v>
      </c>
      <c r="V204" s="74" t="e">
        <f>INDEX(Table_Prescript_Meas[AOH Type], MATCH(Table_Controls_Input[[#This Row],[Measure number]], Table_Prescript_Meas[Measure Number],0))</f>
        <v>#N/A</v>
      </c>
      <c r="W204" s="74" t="e">
        <f>IF(Table_Controls_Input[[#This Row],[AOH Type]]=Table_Bldg_Type[[#Headers],[List_Bldg_Types]], INDEX(Table_Bldg_Type[AOH], MATCH(Input_BldgType, Table_Bldg_Type[List_Bldg_Types], 0)), INDEX(Table_Bdg_Indep_AOH[AOH], MATCH(Table_Controls_Input[[#This Row],[AOH Type]], Table_Bdg_Indep_AOH[List_Special_AOHs], 0)))</f>
        <v>#N/A</v>
      </c>
      <c r="X204" s="4"/>
      <c r="Y204" s="4"/>
      <c r="Z204" s="4"/>
      <c r="AA204" s="4"/>
      <c r="AB204" s="4"/>
      <c r="AC204" s="4"/>
      <c r="AD204" s="4"/>
      <c r="AE204" s="4"/>
      <c r="AF204" s="4"/>
      <c r="AG204" s="4"/>
      <c r="AH204" s="4"/>
      <c r="AI204" s="4"/>
      <c r="AJ204" s="4"/>
      <c r="AK204" s="4"/>
      <c r="AL204" s="4"/>
      <c r="AM204" s="4"/>
      <c r="AN204" s="4"/>
      <c r="AO204" s="4"/>
      <c r="AP204" s="4"/>
      <c r="AQ204" s="4"/>
      <c r="AR204" s="4"/>
      <c r="AS204" s="4"/>
    </row>
    <row r="206" spans="1:45" x14ac:dyDescent="0.2">
      <c r="S206"/>
      <c r="T206"/>
      <c r="U206"/>
      <c r="V206"/>
      <c r="W206"/>
    </row>
    <row r="207" spans="1:45" x14ac:dyDescent="0.2">
      <c r="B207" s="149" t="s">
        <v>27</v>
      </c>
      <c r="S207"/>
      <c r="T207"/>
      <c r="U207"/>
      <c r="V207"/>
      <c r="W207"/>
    </row>
    <row r="208" spans="1:45" x14ac:dyDescent="0.2">
      <c r="B208" s="149" t="str">
        <f>Value_Application_Version</f>
        <v>Version 4.1 - 2026</v>
      </c>
      <c r="S208"/>
      <c r="T208"/>
      <c r="U208"/>
      <c r="V208"/>
      <c r="W208"/>
    </row>
    <row r="209" customFormat="1" ht="12.75" customHeight="1" x14ac:dyDescent="0.2"/>
  </sheetData>
  <sheetProtection algorithmName="SHA-512" hashValue="llNDbBGh8yTSc2/b0QD5lnNXMTMDoBD8YIG6JMD6YYklp72BD7S6Od+OM18QHR3HC3qXCz4STuwrIJwHGK7zWA==" saltValue="7kfCepWt+nltftXLAje1ew==" spinCount="100000" sheet="1" selectLockedCells="1"/>
  <mergeCells count="2">
    <mergeCell ref="H3:J3"/>
    <mergeCell ref="B2:O2"/>
  </mergeCells>
  <conditionalFormatting sqref="G5:J204">
    <cfRule type="expression" dxfId="3" priority="8">
      <formula>OR($E5="", #REF!=0)</formula>
    </cfRule>
  </conditionalFormatting>
  <dataValidations count="2">
    <dataValidation type="list" allowBlank="1" showInputMessage="1" showErrorMessage="1" sqref="E5:E204" xr:uid="{897FF72C-386B-424A-B71E-8AE7D60785F0}">
      <formula1>List_Control_Measure</formula1>
    </dataValidation>
    <dataValidation type="list" allowBlank="1" showInputMessage="1" showErrorMessage="1" sqref="G5:G204" xr:uid="{FABF4231-8C29-49AD-92FA-5B2C19039232}">
      <formula1>List_Control_Types</formula1>
    </dataValidation>
  </dataValidations>
  <pageMargins left="0.7" right="0.7" top="0.75" bottom="0.75" header="0.3" footer="0.3"/>
  <pageSetup scale="75" fitToWidth="0" fitToHeight="0" orientation="landscape" verticalDpi="4294967293" r:id="rId1"/>
  <drawing r:id="rId2"/>
  <legacyDrawing r:id="rId3"/>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8B7FC-593D-4DF9-802F-5120F7FFFBB0}">
  <sheetPr>
    <tabColor theme="2"/>
  </sheetPr>
  <dimension ref="A1:I1341"/>
  <sheetViews>
    <sheetView showGridLines="0" showRowColHeaders="0" workbookViewId="0">
      <selection activeCell="A2" sqref="A2:H2"/>
    </sheetView>
  </sheetViews>
  <sheetFormatPr defaultRowHeight="12.75" x14ac:dyDescent="0.2"/>
  <cols>
    <col min="1" max="1" width="7.28515625" style="6" customWidth="1"/>
    <col min="2" max="2" width="18.85546875" style="6" bestFit="1" customWidth="1"/>
    <col min="3" max="3" width="7.7109375" style="6" customWidth="1"/>
    <col min="4" max="4" width="7.28515625" style="6" customWidth="1"/>
    <col min="5" max="5" width="11.7109375" style="6" customWidth="1"/>
    <col min="6" max="6" width="9.7109375" style="6" customWidth="1"/>
    <col min="7" max="7" width="11" style="6" bestFit="1" customWidth="1"/>
    <col min="8" max="8" width="90.28515625" style="6" bestFit="1" customWidth="1"/>
    <col min="9" max="9" width="24.28515625" style="6" customWidth="1"/>
  </cols>
  <sheetData>
    <row r="1" spans="1:9" ht="44.25" customHeight="1" x14ac:dyDescent="0.2"/>
    <row r="2" spans="1:9" ht="46.5" customHeight="1" x14ac:dyDescent="0.2">
      <c r="A2" s="266" t="s">
        <v>173</v>
      </c>
      <c r="B2" s="266"/>
      <c r="C2" s="266"/>
      <c r="D2" s="266"/>
      <c r="E2" s="266"/>
      <c r="F2" s="266"/>
      <c r="G2" s="266"/>
      <c r="H2" s="266"/>
      <c r="I2" s="106"/>
    </row>
    <row r="3" spans="1:9" ht="26.25" customHeight="1" x14ac:dyDescent="0.2">
      <c r="A3" s="275" t="s">
        <v>174</v>
      </c>
      <c r="B3" s="275"/>
      <c r="C3" s="275"/>
      <c r="D3" s="275"/>
      <c r="E3" s="275"/>
      <c r="F3" s="275"/>
      <c r="G3" s="275"/>
      <c r="H3" s="275"/>
      <c r="I3" s="275"/>
    </row>
    <row r="4" spans="1:9" x14ac:dyDescent="0.2">
      <c r="A4" s="275" t="s">
        <v>175</v>
      </c>
      <c r="B4" s="275"/>
      <c r="C4" s="275"/>
      <c r="D4" s="275"/>
      <c r="E4" s="275"/>
      <c r="F4" s="275"/>
      <c r="G4" s="275"/>
      <c r="H4" s="275"/>
      <c r="I4" s="275"/>
    </row>
    <row r="6" spans="1:9" s="12" customFormat="1" ht="51" x14ac:dyDescent="0.2">
      <c r="A6" s="199" t="s">
        <v>176</v>
      </c>
      <c r="B6" s="199" t="s">
        <v>177</v>
      </c>
      <c r="C6" s="199" t="s">
        <v>178</v>
      </c>
      <c r="D6" s="199" t="s">
        <v>179</v>
      </c>
      <c r="E6" s="199" t="s">
        <v>180</v>
      </c>
      <c r="F6" s="199" t="s">
        <v>181</v>
      </c>
      <c r="G6" s="199" t="s">
        <v>182</v>
      </c>
      <c r="H6" s="199" t="s">
        <v>183</v>
      </c>
      <c r="I6" s="199" t="s">
        <v>184</v>
      </c>
    </row>
    <row r="7" spans="1:9" x14ac:dyDescent="0.2">
      <c r="A7" s="6">
        <v>1</v>
      </c>
      <c r="B7" s="6" t="s">
        <v>185</v>
      </c>
      <c r="C7" s="6">
        <v>1</v>
      </c>
      <c r="D7" s="6" t="s">
        <v>186</v>
      </c>
      <c r="E7" s="6" t="s">
        <v>186</v>
      </c>
      <c r="F7" s="6" t="s">
        <v>186</v>
      </c>
      <c r="G7" s="6" t="s">
        <v>187</v>
      </c>
      <c r="H7" s="47" t="s">
        <v>188</v>
      </c>
      <c r="I7" s="122" t="s">
        <v>189</v>
      </c>
    </row>
    <row r="8" spans="1:9" x14ac:dyDescent="0.2">
      <c r="A8" s="6">
        <v>2</v>
      </c>
      <c r="B8" s="6" t="s">
        <v>185</v>
      </c>
      <c r="C8" s="6">
        <v>2</v>
      </c>
      <c r="D8" s="6" t="s">
        <v>186</v>
      </c>
      <c r="E8" s="6" t="s">
        <v>186</v>
      </c>
      <c r="F8" s="6" t="s">
        <v>186</v>
      </c>
      <c r="G8" s="6" t="s">
        <v>187</v>
      </c>
      <c r="H8" s="47" t="s">
        <v>190</v>
      </c>
      <c r="I8" s="122" t="s">
        <v>191</v>
      </c>
    </row>
    <row r="9" spans="1:9" x14ac:dyDescent="0.2">
      <c r="A9" s="6">
        <v>3</v>
      </c>
      <c r="B9" s="6" t="s">
        <v>185</v>
      </c>
      <c r="C9" s="6">
        <v>3</v>
      </c>
      <c r="D9" s="6" t="s">
        <v>186</v>
      </c>
      <c r="E9" s="6" t="s">
        <v>186</v>
      </c>
      <c r="F9" s="6" t="s">
        <v>186</v>
      </c>
      <c r="G9" s="6" t="s">
        <v>187</v>
      </c>
      <c r="H9" s="47" t="s">
        <v>192</v>
      </c>
      <c r="I9" s="122" t="s">
        <v>193</v>
      </c>
    </row>
    <row r="10" spans="1:9" x14ac:dyDescent="0.2">
      <c r="A10" s="6">
        <v>4</v>
      </c>
      <c r="B10" s="6" t="s">
        <v>185</v>
      </c>
      <c r="C10" s="6">
        <v>4</v>
      </c>
      <c r="D10" s="6" t="s">
        <v>186</v>
      </c>
      <c r="E10" s="6" t="s">
        <v>186</v>
      </c>
      <c r="F10" s="6" t="s">
        <v>186</v>
      </c>
      <c r="G10" s="6" t="s">
        <v>187</v>
      </c>
      <c r="H10" s="47" t="s">
        <v>194</v>
      </c>
      <c r="I10" s="122" t="s">
        <v>195</v>
      </c>
    </row>
    <row r="11" spans="1:9" x14ac:dyDescent="0.2">
      <c r="A11" s="6">
        <v>5</v>
      </c>
      <c r="B11" s="6" t="s">
        <v>185</v>
      </c>
      <c r="C11" s="6">
        <v>5</v>
      </c>
      <c r="D11" s="6" t="s">
        <v>186</v>
      </c>
      <c r="E11" s="6" t="s">
        <v>186</v>
      </c>
      <c r="F11" s="6" t="s">
        <v>186</v>
      </c>
      <c r="G11" s="6" t="s">
        <v>187</v>
      </c>
      <c r="H11" s="47" t="s">
        <v>196</v>
      </c>
      <c r="I11" s="122" t="s">
        <v>197</v>
      </c>
    </row>
    <row r="12" spans="1:9" x14ac:dyDescent="0.2">
      <c r="A12" s="6">
        <v>6</v>
      </c>
      <c r="B12" s="6" t="s">
        <v>185</v>
      </c>
      <c r="C12" s="6">
        <v>6</v>
      </c>
      <c r="D12" s="6" t="s">
        <v>186</v>
      </c>
      <c r="E12" s="6" t="s">
        <v>186</v>
      </c>
      <c r="F12" s="6" t="s">
        <v>186</v>
      </c>
      <c r="G12" s="6" t="s">
        <v>187</v>
      </c>
      <c r="H12" s="47" t="s">
        <v>198</v>
      </c>
      <c r="I12" s="122" t="s">
        <v>199</v>
      </c>
    </row>
    <row r="13" spans="1:9" x14ac:dyDescent="0.2">
      <c r="A13" s="6">
        <v>7</v>
      </c>
      <c r="B13" s="6" t="s">
        <v>185</v>
      </c>
      <c r="C13" s="6">
        <v>7</v>
      </c>
      <c r="D13" s="6" t="s">
        <v>186</v>
      </c>
      <c r="E13" s="6" t="s">
        <v>186</v>
      </c>
      <c r="F13" s="6" t="s">
        <v>186</v>
      </c>
      <c r="G13" s="6" t="s">
        <v>187</v>
      </c>
      <c r="H13" s="47" t="s">
        <v>200</v>
      </c>
      <c r="I13" s="122" t="s">
        <v>201</v>
      </c>
    </row>
    <row r="14" spans="1:9" x14ac:dyDescent="0.2">
      <c r="A14" s="6">
        <v>8</v>
      </c>
      <c r="B14" s="6" t="s">
        <v>185</v>
      </c>
      <c r="C14" s="6">
        <v>8</v>
      </c>
      <c r="D14" s="6" t="s">
        <v>186</v>
      </c>
      <c r="E14" s="6" t="s">
        <v>186</v>
      </c>
      <c r="F14" s="6" t="s">
        <v>186</v>
      </c>
      <c r="G14" s="6" t="s">
        <v>187</v>
      </c>
      <c r="H14" s="47" t="s">
        <v>202</v>
      </c>
      <c r="I14" s="122" t="s">
        <v>203</v>
      </c>
    </row>
    <row r="15" spans="1:9" x14ac:dyDescent="0.2">
      <c r="A15" s="6">
        <v>9</v>
      </c>
      <c r="B15" s="6" t="s">
        <v>185</v>
      </c>
      <c r="C15" s="6">
        <v>9</v>
      </c>
      <c r="D15" s="6" t="s">
        <v>186</v>
      </c>
      <c r="E15" s="6" t="s">
        <v>186</v>
      </c>
      <c r="F15" s="6" t="s">
        <v>186</v>
      </c>
      <c r="G15" s="6" t="s">
        <v>187</v>
      </c>
      <c r="H15" s="47" t="s">
        <v>204</v>
      </c>
      <c r="I15" s="122" t="s">
        <v>205</v>
      </c>
    </row>
    <row r="16" spans="1:9" x14ac:dyDescent="0.2">
      <c r="A16" s="6">
        <v>10</v>
      </c>
      <c r="B16" s="6" t="s">
        <v>185</v>
      </c>
      <c r="C16" s="6">
        <v>10</v>
      </c>
      <c r="D16" s="6" t="s">
        <v>186</v>
      </c>
      <c r="E16" s="6" t="s">
        <v>186</v>
      </c>
      <c r="F16" s="6" t="s">
        <v>186</v>
      </c>
      <c r="G16" s="6" t="s">
        <v>187</v>
      </c>
      <c r="H16" s="47" t="s">
        <v>206</v>
      </c>
      <c r="I16" s="122" t="s">
        <v>207</v>
      </c>
    </row>
    <row r="17" spans="1:9" x14ac:dyDescent="0.2">
      <c r="A17" s="6">
        <v>11</v>
      </c>
      <c r="B17" s="6" t="s">
        <v>185</v>
      </c>
      <c r="C17" s="6">
        <v>11</v>
      </c>
      <c r="D17" s="6" t="s">
        <v>186</v>
      </c>
      <c r="E17" s="6" t="s">
        <v>186</v>
      </c>
      <c r="F17" s="6" t="s">
        <v>186</v>
      </c>
      <c r="G17" s="6" t="s">
        <v>187</v>
      </c>
      <c r="H17" s="47" t="s">
        <v>208</v>
      </c>
      <c r="I17" s="122" t="s">
        <v>209</v>
      </c>
    </row>
    <row r="18" spans="1:9" x14ac:dyDescent="0.2">
      <c r="A18" s="6">
        <v>12</v>
      </c>
      <c r="B18" s="6" t="s">
        <v>185</v>
      </c>
      <c r="C18" s="6">
        <v>12</v>
      </c>
      <c r="D18" s="6" t="s">
        <v>186</v>
      </c>
      <c r="E18" s="6" t="s">
        <v>186</v>
      </c>
      <c r="F18" s="6" t="s">
        <v>186</v>
      </c>
      <c r="G18" s="6" t="s">
        <v>187</v>
      </c>
      <c r="H18" s="47" t="s">
        <v>210</v>
      </c>
      <c r="I18" s="122" t="s">
        <v>211</v>
      </c>
    </row>
    <row r="19" spans="1:9" x14ac:dyDescent="0.2">
      <c r="A19" s="6">
        <v>13</v>
      </c>
      <c r="B19" s="6" t="s">
        <v>185</v>
      </c>
      <c r="C19" s="6">
        <v>13</v>
      </c>
      <c r="D19" s="6" t="s">
        <v>186</v>
      </c>
      <c r="E19" s="6" t="s">
        <v>186</v>
      </c>
      <c r="F19" s="6" t="s">
        <v>186</v>
      </c>
      <c r="G19" s="6" t="s">
        <v>187</v>
      </c>
      <c r="H19" s="47" t="s">
        <v>212</v>
      </c>
      <c r="I19" s="122" t="s">
        <v>213</v>
      </c>
    </row>
    <row r="20" spans="1:9" x14ac:dyDescent="0.2">
      <c r="A20" s="6">
        <v>14</v>
      </c>
      <c r="B20" s="6" t="s">
        <v>185</v>
      </c>
      <c r="C20" s="6">
        <v>14</v>
      </c>
      <c r="D20" s="6" t="s">
        <v>186</v>
      </c>
      <c r="E20" s="6" t="s">
        <v>186</v>
      </c>
      <c r="F20" s="6" t="s">
        <v>186</v>
      </c>
      <c r="G20" s="6" t="s">
        <v>187</v>
      </c>
      <c r="H20" s="47" t="s">
        <v>214</v>
      </c>
      <c r="I20" s="122" t="s">
        <v>215</v>
      </c>
    </row>
    <row r="21" spans="1:9" x14ac:dyDescent="0.2">
      <c r="A21" s="6">
        <v>15</v>
      </c>
      <c r="B21" s="6" t="s">
        <v>185</v>
      </c>
      <c r="C21" s="6">
        <v>15</v>
      </c>
      <c r="D21" s="6" t="s">
        <v>186</v>
      </c>
      <c r="E21" s="6" t="s">
        <v>186</v>
      </c>
      <c r="F21" s="6" t="s">
        <v>186</v>
      </c>
      <c r="G21" s="6" t="s">
        <v>187</v>
      </c>
      <c r="H21" s="47" t="s">
        <v>216</v>
      </c>
      <c r="I21" s="122" t="s">
        <v>217</v>
      </c>
    </row>
    <row r="22" spans="1:9" x14ac:dyDescent="0.2">
      <c r="A22" s="6">
        <v>16</v>
      </c>
      <c r="B22" s="6" t="s">
        <v>185</v>
      </c>
      <c r="C22" s="6">
        <v>16</v>
      </c>
      <c r="D22" s="6" t="s">
        <v>186</v>
      </c>
      <c r="E22" s="6" t="s">
        <v>186</v>
      </c>
      <c r="F22" s="6" t="s">
        <v>186</v>
      </c>
      <c r="G22" s="6" t="s">
        <v>187</v>
      </c>
      <c r="H22" s="47" t="s">
        <v>218</v>
      </c>
      <c r="I22" s="122" t="s">
        <v>219</v>
      </c>
    </row>
    <row r="23" spans="1:9" x14ac:dyDescent="0.2">
      <c r="A23" s="6">
        <v>17</v>
      </c>
      <c r="B23" s="6" t="s">
        <v>185</v>
      </c>
      <c r="C23" s="6">
        <v>17</v>
      </c>
      <c r="D23" s="6" t="s">
        <v>186</v>
      </c>
      <c r="E23" s="6" t="s">
        <v>186</v>
      </c>
      <c r="F23" s="6" t="s">
        <v>186</v>
      </c>
      <c r="G23" s="6" t="s">
        <v>187</v>
      </c>
      <c r="H23" s="47" t="s">
        <v>220</v>
      </c>
      <c r="I23" s="122" t="s">
        <v>221</v>
      </c>
    </row>
    <row r="24" spans="1:9" x14ac:dyDescent="0.2">
      <c r="A24" s="6">
        <v>18</v>
      </c>
      <c r="B24" s="6" t="s">
        <v>185</v>
      </c>
      <c r="C24" s="6">
        <v>18</v>
      </c>
      <c r="D24" s="6" t="s">
        <v>186</v>
      </c>
      <c r="E24" s="6" t="s">
        <v>186</v>
      </c>
      <c r="F24" s="6" t="s">
        <v>186</v>
      </c>
      <c r="G24" s="6" t="s">
        <v>187</v>
      </c>
      <c r="H24" s="47" t="s">
        <v>222</v>
      </c>
      <c r="I24" s="122" t="s">
        <v>223</v>
      </c>
    </row>
    <row r="25" spans="1:9" x14ac:dyDescent="0.2">
      <c r="A25" s="6">
        <v>19</v>
      </c>
      <c r="B25" s="6" t="s">
        <v>185</v>
      </c>
      <c r="C25" s="6">
        <v>19</v>
      </c>
      <c r="D25" s="6" t="s">
        <v>186</v>
      </c>
      <c r="E25" s="6" t="s">
        <v>186</v>
      </c>
      <c r="F25" s="6" t="s">
        <v>186</v>
      </c>
      <c r="G25" s="6" t="s">
        <v>187</v>
      </c>
      <c r="H25" s="47" t="s">
        <v>224</v>
      </c>
      <c r="I25" s="122" t="s">
        <v>225</v>
      </c>
    </row>
    <row r="26" spans="1:9" x14ac:dyDescent="0.2">
      <c r="A26" s="6">
        <v>20</v>
      </c>
      <c r="B26" s="6" t="s">
        <v>185</v>
      </c>
      <c r="C26" s="6">
        <v>20</v>
      </c>
      <c r="D26" s="6" t="s">
        <v>186</v>
      </c>
      <c r="E26" s="6" t="s">
        <v>186</v>
      </c>
      <c r="F26" s="6" t="s">
        <v>186</v>
      </c>
      <c r="G26" s="6" t="s">
        <v>187</v>
      </c>
      <c r="H26" s="47" t="s">
        <v>226</v>
      </c>
      <c r="I26" s="122" t="s">
        <v>227</v>
      </c>
    </row>
    <row r="27" spans="1:9" x14ac:dyDescent="0.2">
      <c r="A27" s="6">
        <v>21</v>
      </c>
      <c r="B27" s="6" t="s">
        <v>185</v>
      </c>
      <c r="C27" s="6">
        <v>21</v>
      </c>
      <c r="D27" s="6" t="s">
        <v>186</v>
      </c>
      <c r="E27" s="6" t="s">
        <v>186</v>
      </c>
      <c r="F27" s="6" t="s">
        <v>186</v>
      </c>
      <c r="G27" s="6" t="s">
        <v>187</v>
      </c>
      <c r="H27" s="47" t="s">
        <v>228</v>
      </c>
      <c r="I27" s="122" t="s">
        <v>229</v>
      </c>
    </row>
    <row r="28" spans="1:9" x14ac:dyDescent="0.2">
      <c r="A28" s="6">
        <v>22</v>
      </c>
      <c r="B28" s="6" t="s">
        <v>185</v>
      </c>
      <c r="C28" s="6">
        <v>22</v>
      </c>
      <c r="D28" s="6" t="s">
        <v>186</v>
      </c>
      <c r="E28" s="6" t="s">
        <v>186</v>
      </c>
      <c r="F28" s="6" t="s">
        <v>186</v>
      </c>
      <c r="G28" s="6" t="s">
        <v>187</v>
      </c>
      <c r="H28" s="47" t="s">
        <v>230</v>
      </c>
      <c r="I28" s="122" t="s">
        <v>231</v>
      </c>
    </row>
    <row r="29" spans="1:9" x14ac:dyDescent="0.2">
      <c r="A29" s="6">
        <v>23</v>
      </c>
      <c r="B29" s="6" t="s">
        <v>185</v>
      </c>
      <c r="C29" s="6">
        <v>23</v>
      </c>
      <c r="D29" s="6" t="s">
        <v>186</v>
      </c>
      <c r="E29" s="6" t="s">
        <v>186</v>
      </c>
      <c r="F29" s="6" t="s">
        <v>186</v>
      </c>
      <c r="G29" s="6" t="s">
        <v>187</v>
      </c>
      <c r="H29" s="47" t="s">
        <v>232</v>
      </c>
      <c r="I29" s="122" t="s">
        <v>233</v>
      </c>
    </row>
    <row r="30" spans="1:9" x14ac:dyDescent="0.2">
      <c r="A30" s="6">
        <v>24</v>
      </c>
      <c r="B30" s="6" t="s">
        <v>185</v>
      </c>
      <c r="C30" s="6">
        <v>24</v>
      </c>
      <c r="D30" s="6" t="s">
        <v>186</v>
      </c>
      <c r="E30" s="6" t="s">
        <v>186</v>
      </c>
      <c r="F30" s="6" t="s">
        <v>186</v>
      </c>
      <c r="G30" s="6" t="s">
        <v>187</v>
      </c>
      <c r="H30" s="47" t="s">
        <v>234</v>
      </c>
      <c r="I30" s="122" t="s">
        <v>235</v>
      </c>
    </row>
    <row r="31" spans="1:9" x14ac:dyDescent="0.2">
      <c r="A31" s="6">
        <v>25</v>
      </c>
      <c r="B31" s="6" t="s">
        <v>185</v>
      </c>
      <c r="C31" s="6">
        <v>25</v>
      </c>
      <c r="D31" s="6" t="s">
        <v>186</v>
      </c>
      <c r="E31" s="6" t="s">
        <v>186</v>
      </c>
      <c r="F31" s="6" t="s">
        <v>186</v>
      </c>
      <c r="G31" s="6" t="s">
        <v>187</v>
      </c>
      <c r="H31" s="47" t="s">
        <v>236</v>
      </c>
      <c r="I31" s="122" t="s">
        <v>237</v>
      </c>
    </row>
    <row r="32" spans="1:9" x14ac:dyDescent="0.2">
      <c r="A32" s="6">
        <v>26</v>
      </c>
      <c r="B32" s="6" t="s">
        <v>185</v>
      </c>
      <c r="C32" s="6">
        <v>26</v>
      </c>
      <c r="D32" s="6" t="s">
        <v>186</v>
      </c>
      <c r="E32" s="6" t="s">
        <v>186</v>
      </c>
      <c r="F32" s="6" t="s">
        <v>186</v>
      </c>
      <c r="G32" s="6" t="s">
        <v>187</v>
      </c>
      <c r="H32" s="47" t="s">
        <v>238</v>
      </c>
      <c r="I32" s="122" t="s">
        <v>239</v>
      </c>
    </row>
    <row r="33" spans="1:9" x14ac:dyDescent="0.2">
      <c r="A33" s="6">
        <v>27</v>
      </c>
      <c r="B33" s="6" t="s">
        <v>185</v>
      </c>
      <c r="C33" s="6">
        <v>27</v>
      </c>
      <c r="D33" s="6" t="s">
        <v>186</v>
      </c>
      <c r="E33" s="6" t="s">
        <v>186</v>
      </c>
      <c r="F33" s="6" t="s">
        <v>186</v>
      </c>
      <c r="G33" s="6" t="s">
        <v>187</v>
      </c>
      <c r="H33" s="47" t="s">
        <v>240</v>
      </c>
      <c r="I33" s="122" t="s">
        <v>241</v>
      </c>
    </row>
    <row r="34" spans="1:9" x14ac:dyDescent="0.2">
      <c r="A34" s="6">
        <v>28</v>
      </c>
      <c r="B34" s="6" t="s">
        <v>185</v>
      </c>
      <c r="C34" s="6">
        <v>28</v>
      </c>
      <c r="D34" s="6" t="s">
        <v>186</v>
      </c>
      <c r="E34" s="6" t="s">
        <v>186</v>
      </c>
      <c r="F34" s="6" t="s">
        <v>186</v>
      </c>
      <c r="G34" s="6" t="s">
        <v>187</v>
      </c>
      <c r="H34" s="47" t="s">
        <v>242</v>
      </c>
      <c r="I34" s="122" t="s">
        <v>243</v>
      </c>
    </row>
    <row r="35" spans="1:9" x14ac:dyDescent="0.2">
      <c r="A35" s="6">
        <v>29</v>
      </c>
      <c r="B35" s="6" t="s">
        <v>185</v>
      </c>
      <c r="C35" s="6">
        <v>29</v>
      </c>
      <c r="D35" s="6" t="s">
        <v>186</v>
      </c>
      <c r="E35" s="6" t="s">
        <v>186</v>
      </c>
      <c r="F35" s="6" t="s">
        <v>186</v>
      </c>
      <c r="G35" s="6" t="s">
        <v>187</v>
      </c>
      <c r="H35" s="47" t="s">
        <v>244</v>
      </c>
      <c r="I35" s="122" t="s">
        <v>245</v>
      </c>
    </row>
    <row r="36" spans="1:9" x14ac:dyDescent="0.2">
      <c r="A36" s="6">
        <v>30</v>
      </c>
      <c r="B36" s="6" t="s">
        <v>185</v>
      </c>
      <c r="C36" s="6">
        <v>30</v>
      </c>
      <c r="D36" s="6" t="s">
        <v>186</v>
      </c>
      <c r="E36" s="6" t="s">
        <v>186</v>
      </c>
      <c r="F36" s="6" t="s">
        <v>186</v>
      </c>
      <c r="G36" s="6" t="s">
        <v>187</v>
      </c>
      <c r="H36" s="47" t="s">
        <v>246</v>
      </c>
      <c r="I36" s="122" t="s">
        <v>247</v>
      </c>
    </row>
    <row r="37" spans="1:9" x14ac:dyDescent="0.2">
      <c r="A37" s="6">
        <v>31</v>
      </c>
      <c r="B37" s="6" t="s">
        <v>185</v>
      </c>
      <c r="C37" s="6">
        <v>31</v>
      </c>
      <c r="D37" s="6" t="s">
        <v>186</v>
      </c>
      <c r="E37" s="6" t="s">
        <v>186</v>
      </c>
      <c r="F37" s="6" t="s">
        <v>186</v>
      </c>
      <c r="G37" s="6" t="s">
        <v>187</v>
      </c>
      <c r="H37" s="47" t="s">
        <v>248</v>
      </c>
      <c r="I37" s="122" t="s">
        <v>249</v>
      </c>
    </row>
    <row r="38" spans="1:9" x14ac:dyDescent="0.2">
      <c r="A38" s="6">
        <v>32</v>
      </c>
      <c r="B38" s="6" t="s">
        <v>185</v>
      </c>
      <c r="C38" s="6">
        <v>32</v>
      </c>
      <c r="D38" s="6" t="s">
        <v>186</v>
      </c>
      <c r="E38" s="6" t="s">
        <v>186</v>
      </c>
      <c r="F38" s="6" t="s">
        <v>186</v>
      </c>
      <c r="G38" s="6" t="s">
        <v>187</v>
      </c>
      <c r="H38" s="47" t="s">
        <v>250</v>
      </c>
      <c r="I38" s="122" t="s">
        <v>251</v>
      </c>
    </row>
    <row r="39" spans="1:9" x14ac:dyDescent="0.2">
      <c r="A39" s="6">
        <v>33</v>
      </c>
      <c r="B39" s="6" t="s">
        <v>185</v>
      </c>
      <c r="C39" s="6">
        <v>33</v>
      </c>
      <c r="D39" s="6" t="s">
        <v>186</v>
      </c>
      <c r="E39" s="6" t="s">
        <v>186</v>
      </c>
      <c r="F39" s="6" t="s">
        <v>186</v>
      </c>
      <c r="G39" s="6" t="s">
        <v>187</v>
      </c>
      <c r="H39" s="47" t="s">
        <v>252</v>
      </c>
      <c r="I39" s="122" t="s">
        <v>253</v>
      </c>
    </row>
    <row r="40" spans="1:9" x14ac:dyDescent="0.2">
      <c r="A40" s="6">
        <v>34</v>
      </c>
      <c r="B40" s="6" t="s">
        <v>185</v>
      </c>
      <c r="C40" s="6">
        <v>34</v>
      </c>
      <c r="D40" s="6" t="s">
        <v>186</v>
      </c>
      <c r="E40" s="6" t="s">
        <v>186</v>
      </c>
      <c r="F40" s="6" t="s">
        <v>186</v>
      </c>
      <c r="G40" s="6" t="s">
        <v>187</v>
      </c>
      <c r="H40" s="47" t="s">
        <v>254</v>
      </c>
      <c r="I40" s="122" t="s">
        <v>255</v>
      </c>
    </row>
    <row r="41" spans="1:9" x14ac:dyDescent="0.2">
      <c r="A41" s="6">
        <v>35</v>
      </c>
      <c r="B41" s="6" t="s">
        <v>185</v>
      </c>
      <c r="C41" s="6">
        <v>35</v>
      </c>
      <c r="D41" s="6" t="s">
        <v>186</v>
      </c>
      <c r="E41" s="6" t="s">
        <v>186</v>
      </c>
      <c r="F41" s="6" t="s">
        <v>186</v>
      </c>
      <c r="G41" s="6" t="s">
        <v>187</v>
      </c>
      <c r="H41" s="47" t="s">
        <v>256</v>
      </c>
      <c r="I41" s="122" t="s">
        <v>257</v>
      </c>
    </row>
    <row r="42" spans="1:9" x14ac:dyDescent="0.2">
      <c r="A42" s="6">
        <v>36</v>
      </c>
      <c r="B42" s="6" t="s">
        <v>185</v>
      </c>
      <c r="C42" s="6">
        <v>36</v>
      </c>
      <c r="D42" s="6" t="s">
        <v>186</v>
      </c>
      <c r="E42" s="6" t="s">
        <v>186</v>
      </c>
      <c r="F42" s="6" t="s">
        <v>186</v>
      </c>
      <c r="G42" s="6" t="s">
        <v>187</v>
      </c>
      <c r="H42" s="47" t="s">
        <v>258</v>
      </c>
      <c r="I42" s="122" t="s">
        <v>259</v>
      </c>
    </row>
    <row r="43" spans="1:9" x14ac:dyDescent="0.2">
      <c r="A43" s="6">
        <v>37</v>
      </c>
      <c r="B43" s="6" t="s">
        <v>185</v>
      </c>
      <c r="C43" s="6">
        <v>37</v>
      </c>
      <c r="D43" s="6" t="s">
        <v>186</v>
      </c>
      <c r="E43" s="6" t="s">
        <v>186</v>
      </c>
      <c r="F43" s="6" t="s">
        <v>186</v>
      </c>
      <c r="G43" s="6" t="s">
        <v>187</v>
      </c>
      <c r="H43" s="47" t="s">
        <v>260</v>
      </c>
      <c r="I43" s="122" t="s">
        <v>261</v>
      </c>
    </row>
    <row r="44" spans="1:9" x14ac:dyDescent="0.2">
      <c r="A44" s="6">
        <v>38</v>
      </c>
      <c r="B44" s="6" t="s">
        <v>185</v>
      </c>
      <c r="C44" s="6">
        <v>38</v>
      </c>
      <c r="D44" s="6" t="s">
        <v>186</v>
      </c>
      <c r="E44" s="6" t="s">
        <v>186</v>
      </c>
      <c r="F44" s="6" t="s">
        <v>186</v>
      </c>
      <c r="G44" s="6" t="s">
        <v>187</v>
      </c>
      <c r="H44" s="47" t="s">
        <v>262</v>
      </c>
      <c r="I44" s="122" t="s">
        <v>263</v>
      </c>
    </row>
    <row r="45" spans="1:9" x14ac:dyDescent="0.2">
      <c r="A45" s="6">
        <v>39</v>
      </c>
      <c r="B45" s="6" t="s">
        <v>185</v>
      </c>
      <c r="C45" s="6">
        <v>39</v>
      </c>
      <c r="D45" s="6" t="s">
        <v>186</v>
      </c>
      <c r="E45" s="6" t="s">
        <v>186</v>
      </c>
      <c r="F45" s="6" t="s">
        <v>186</v>
      </c>
      <c r="G45" s="6" t="s">
        <v>187</v>
      </c>
      <c r="H45" s="47" t="s">
        <v>264</v>
      </c>
      <c r="I45" s="122" t="s">
        <v>265</v>
      </c>
    </row>
    <row r="46" spans="1:9" x14ac:dyDescent="0.2">
      <c r="A46" s="6">
        <v>40</v>
      </c>
      <c r="B46" s="6" t="s">
        <v>185</v>
      </c>
      <c r="C46" s="6">
        <v>40</v>
      </c>
      <c r="D46" s="6" t="s">
        <v>186</v>
      </c>
      <c r="E46" s="6" t="s">
        <v>186</v>
      </c>
      <c r="F46" s="6" t="s">
        <v>186</v>
      </c>
      <c r="G46" s="6" t="s">
        <v>187</v>
      </c>
      <c r="H46" s="47" t="s">
        <v>266</v>
      </c>
      <c r="I46" s="122" t="s">
        <v>267</v>
      </c>
    </row>
    <row r="47" spans="1:9" x14ac:dyDescent="0.2">
      <c r="A47" s="6">
        <v>41</v>
      </c>
      <c r="B47" s="6" t="s">
        <v>185</v>
      </c>
      <c r="C47" s="6">
        <v>41</v>
      </c>
      <c r="D47" s="6" t="s">
        <v>186</v>
      </c>
      <c r="E47" s="6" t="s">
        <v>186</v>
      </c>
      <c r="F47" s="6" t="s">
        <v>186</v>
      </c>
      <c r="G47" s="6" t="s">
        <v>187</v>
      </c>
      <c r="H47" s="47" t="s">
        <v>268</v>
      </c>
      <c r="I47" s="122" t="s">
        <v>269</v>
      </c>
    </row>
    <row r="48" spans="1:9" x14ac:dyDescent="0.2">
      <c r="A48" s="6">
        <v>42</v>
      </c>
      <c r="B48" s="6" t="s">
        <v>185</v>
      </c>
      <c r="C48" s="6">
        <v>42</v>
      </c>
      <c r="D48" s="6" t="s">
        <v>186</v>
      </c>
      <c r="E48" s="6" t="s">
        <v>186</v>
      </c>
      <c r="F48" s="6" t="s">
        <v>186</v>
      </c>
      <c r="G48" s="6" t="s">
        <v>187</v>
      </c>
      <c r="H48" s="47" t="s">
        <v>270</v>
      </c>
      <c r="I48" s="122" t="s">
        <v>271</v>
      </c>
    </row>
    <row r="49" spans="1:9" x14ac:dyDescent="0.2">
      <c r="A49" s="6">
        <v>43</v>
      </c>
      <c r="B49" s="6" t="s">
        <v>185</v>
      </c>
      <c r="C49" s="6">
        <v>43</v>
      </c>
      <c r="D49" s="6" t="s">
        <v>186</v>
      </c>
      <c r="E49" s="6" t="s">
        <v>186</v>
      </c>
      <c r="F49" s="6" t="s">
        <v>186</v>
      </c>
      <c r="G49" s="6" t="s">
        <v>187</v>
      </c>
      <c r="H49" s="47" t="s">
        <v>272</v>
      </c>
      <c r="I49" s="122" t="s">
        <v>273</v>
      </c>
    </row>
    <row r="50" spans="1:9" x14ac:dyDescent="0.2">
      <c r="A50" s="6">
        <v>44</v>
      </c>
      <c r="B50" s="6" t="s">
        <v>185</v>
      </c>
      <c r="C50" s="6">
        <v>44</v>
      </c>
      <c r="D50" s="6" t="s">
        <v>186</v>
      </c>
      <c r="E50" s="6" t="s">
        <v>186</v>
      </c>
      <c r="F50" s="6" t="s">
        <v>186</v>
      </c>
      <c r="G50" s="6" t="s">
        <v>187</v>
      </c>
      <c r="H50" s="47" t="s">
        <v>274</v>
      </c>
      <c r="I50" s="122" t="s">
        <v>275</v>
      </c>
    </row>
    <row r="51" spans="1:9" x14ac:dyDescent="0.2">
      <c r="A51" s="6">
        <v>45</v>
      </c>
      <c r="B51" s="6" t="s">
        <v>185</v>
      </c>
      <c r="C51" s="6">
        <v>45</v>
      </c>
      <c r="D51" s="6" t="s">
        <v>186</v>
      </c>
      <c r="E51" s="6" t="s">
        <v>186</v>
      </c>
      <c r="F51" s="6" t="s">
        <v>186</v>
      </c>
      <c r="G51" s="6" t="s">
        <v>187</v>
      </c>
      <c r="H51" s="47" t="s">
        <v>276</v>
      </c>
      <c r="I51" s="122" t="s">
        <v>277</v>
      </c>
    </row>
    <row r="52" spans="1:9" x14ac:dyDescent="0.2">
      <c r="A52" s="6">
        <v>46</v>
      </c>
      <c r="B52" s="6" t="s">
        <v>185</v>
      </c>
      <c r="C52" s="6">
        <v>46</v>
      </c>
      <c r="D52" s="6" t="s">
        <v>186</v>
      </c>
      <c r="E52" s="6" t="s">
        <v>186</v>
      </c>
      <c r="F52" s="6" t="s">
        <v>186</v>
      </c>
      <c r="G52" s="6" t="s">
        <v>187</v>
      </c>
      <c r="H52" s="47" t="s">
        <v>278</v>
      </c>
      <c r="I52" s="122" t="s">
        <v>279</v>
      </c>
    </row>
    <row r="53" spans="1:9" x14ac:dyDescent="0.2">
      <c r="A53" s="6">
        <v>47</v>
      </c>
      <c r="B53" s="6" t="s">
        <v>185</v>
      </c>
      <c r="C53" s="6">
        <v>47</v>
      </c>
      <c r="D53" s="6" t="s">
        <v>186</v>
      </c>
      <c r="E53" s="6" t="s">
        <v>186</v>
      </c>
      <c r="F53" s="6" t="s">
        <v>186</v>
      </c>
      <c r="G53" s="6" t="s">
        <v>187</v>
      </c>
      <c r="H53" s="47" t="s">
        <v>280</v>
      </c>
      <c r="I53" s="122" t="s">
        <v>281</v>
      </c>
    </row>
    <row r="54" spans="1:9" x14ac:dyDescent="0.2">
      <c r="A54" s="6">
        <v>48</v>
      </c>
      <c r="B54" s="6" t="s">
        <v>185</v>
      </c>
      <c r="C54" s="6">
        <v>48</v>
      </c>
      <c r="D54" s="6" t="s">
        <v>186</v>
      </c>
      <c r="E54" s="6" t="s">
        <v>186</v>
      </c>
      <c r="F54" s="6" t="s">
        <v>186</v>
      </c>
      <c r="G54" s="6" t="s">
        <v>187</v>
      </c>
      <c r="H54" s="47" t="s">
        <v>282</v>
      </c>
      <c r="I54" s="122" t="s">
        <v>283</v>
      </c>
    </row>
    <row r="55" spans="1:9" x14ac:dyDescent="0.2">
      <c r="A55" s="6">
        <v>49</v>
      </c>
      <c r="B55" s="6" t="s">
        <v>185</v>
      </c>
      <c r="C55" s="6">
        <v>49</v>
      </c>
      <c r="D55" s="6" t="s">
        <v>186</v>
      </c>
      <c r="E55" s="6" t="s">
        <v>186</v>
      </c>
      <c r="F55" s="6" t="s">
        <v>186</v>
      </c>
      <c r="G55" s="6" t="s">
        <v>187</v>
      </c>
      <c r="H55" s="47" t="s">
        <v>284</v>
      </c>
      <c r="I55" s="122" t="s">
        <v>285</v>
      </c>
    </row>
    <row r="56" spans="1:9" x14ac:dyDescent="0.2">
      <c r="A56" s="6">
        <v>50</v>
      </c>
      <c r="B56" s="6" t="s">
        <v>185</v>
      </c>
      <c r="C56" s="6">
        <v>50</v>
      </c>
      <c r="D56" s="6" t="s">
        <v>186</v>
      </c>
      <c r="E56" s="6" t="s">
        <v>186</v>
      </c>
      <c r="F56" s="6" t="s">
        <v>186</v>
      </c>
      <c r="G56" s="6" t="s">
        <v>187</v>
      </c>
      <c r="H56" s="47" t="s">
        <v>286</v>
      </c>
      <c r="I56" s="122" t="s">
        <v>287</v>
      </c>
    </row>
    <row r="57" spans="1:9" x14ac:dyDescent="0.2">
      <c r="A57" s="6">
        <v>51</v>
      </c>
      <c r="B57" s="6" t="s">
        <v>185</v>
      </c>
      <c r="C57" s="6">
        <v>1</v>
      </c>
      <c r="D57" s="6" t="s">
        <v>186</v>
      </c>
      <c r="E57" s="6" t="s">
        <v>186</v>
      </c>
      <c r="F57" s="6" t="s">
        <v>186</v>
      </c>
      <c r="G57" s="6" t="s">
        <v>187</v>
      </c>
      <c r="H57" s="47" t="s">
        <v>288</v>
      </c>
      <c r="I57" s="122" t="s">
        <v>289</v>
      </c>
    </row>
    <row r="58" spans="1:9" x14ac:dyDescent="0.2">
      <c r="A58" s="6">
        <v>52</v>
      </c>
      <c r="B58" s="6" t="s">
        <v>185</v>
      </c>
      <c r="C58" s="6">
        <v>2</v>
      </c>
      <c r="D58" s="6" t="s">
        <v>186</v>
      </c>
      <c r="E58" s="6" t="s">
        <v>186</v>
      </c>
      <c r="F58" s="6" t="s">
        <v>186</v>
      </c>
      <c r="G58" s="6" t="s">
        <v>187</v>
      </c>
      <c r="H58" s="47" t="s">
        <v>290</v>
      </c>
      <c r="I58" s="122" t="s">
        <v>291</v>
      </c>
    </row>
    <row r="59" spans="1:9" x14ac:dyDescent="0.2">
      <c r="A59" s="6">
        <v>53</v>
      </c>
      <c r="B59" s="6" t="s">
        <v>185</v>
      </c>
      <c r="C59" s="6">
        <v>3</v>
      </c>
      <c r="D59" s="6" t="s">
        <v>186</v>
      </c>
      <c r="E59" s="6" t="s">
        <v>186</v>
      </c>
      <c r="F59" s="6" t="s">
        <v>186</v>
      </c>
      <c r="G59" s="6" t="s">
        <v>187</v>
      </c>
      <c r="H59" s="47" t="s">
        <v>292</v>
      </c>
      <c r="I59" s="122" t="s">
        <v>293</v>
      </c>
    </row>
    <row r="60" spans="1:9" x14ac:dyDescent="0.2">
      <c r="A60" s="6">
        <v>54</v>
      </c>
      <c r="B60" s="6" t="s">
        <v>185</v>
      </c>
      <c r="C60" s="6">
        <v>4</v>
      </c>
      <c r="D60" s="6" t="s">
        <v>186</v>
      </c>
      <c r="E60" s="6" t="s">
        <v>186</v>
      </c>
      <c r="F60" s="6" t="s">
        <v>186</v>
      </c>
      <c r="G60" s="6" t="s">
        <v>187</v>
      </c>
      <c r="H60" s="47" t="s">
        <v>294</v>
      </c>
      <c r="I60" s="122" t="s">
        <v>295</v>
      </c>
    </row>
    <row r="61" spans="1:9" x14ac:dyDescent="0.2">
      <c r="A61" s="6">
        <v>55</v>
      </c>
      <c r="B61" s="6" t="s">
        <v>185</v>
      </c>
      <c r="C61" s="6">
        <v>5</v>
      </c>
      <c r="D61" s="6" t="s">
        <v>186</v>
      </c>
      <c r="E61" s="6" t="s">
        <v>186</v>
      </c>
      <c r="F61" s="6" t="s">
        <v>186</v>
      </c>
      <c r="G61" s="6" t="s">
        <v>187</v>
      </c>
      <c r="H61" s="47" t="s">
        <v>296</v>
      </c>
      <c r="I61" s="122" t="s">
        <v>297</v>
      </c>
    </row>
    <row r="62" spans="1:9" x14ac:dyDescent="0.2">
      <c r="A62" s="6">
        <v>56</v>
      </c>
      <c r="B62" s="6" t="s">
        <v>185</v>
      </c>
      <c r="C62" s="6">
        <v>6</v>
      </c>
      <c r="D62" s="6" t="s">
        <v>186</v>
      </c>
      <c r="E62" s="6" t="s">
        <v>186</v>
      </c>
      <c r="F62" s="6" t="s">
        <v>186</v>
      </c>
      <c r="G62" s="6" t="s">
        <v>187</v>
      </c>
      <c r="H62" s="47" t="s">
        <v>298</v>
      </c>
      <c r="I62" s="122" t="s">
        <v>299</v>
      </c>
    </row>
    <row r="63" spans="1:9" x14ac:dyDescent="0.2">
      <c r="A63" s="6">
        <v>57</v>
      </c>
      <c r="B63" s="6" t="s">
        <v>185</v>
      </c>
      <c r="C63" s="6">
        <v>7</v>
      </c>
      <c r="D63" s="6" t="s">
        <v>186</v>
      </c>
      <c r="E63" s="6" t="s">
        <v>186</v>
      </c>
      <c r="F63" s="6" t="s">
        <v>186</v>
      </c>
      <c r="G63" s="6" t="s">
        <v>187</v>
      </c>
      <c r="H63" s="47" t="s">
        <v>300</v>
      </c>
      <c r="I63" s="122" t="s">
        <v>301</v>
      </c>
    </row>
    <row r="64" spans="1:9" x14ac:dyDescent="0.2">
      <c r="A64" s="6">
        <v>58</v>
      </c>
      <c r="B64" s="6" t="s">
        <v>185</v>
      </c>
      <c r="C64" s="6">
        <v>8</v>
      </c>
      <c r="D64" s="6" t="s">
        <v>186</v>
      </c>
      <c r="E64" s="6" t="s">
        <v>186</v>
      </c>
      <c r="F64" s="6" t="s">
        <v>186</v>
      </c>
      <c r="G64" s="6" t="s">
        <v>187</v>
      </c>
      <c r="H64" s="47" t="s">
        <v>302</v>
      </c>
      <c r="I64" s="122" t="s">
        <v>303</v>
      </c>
    </row>
    <row r="65" spans="1:9" x14ac:dyDescent="0.2">
      <c r="A65" s="6">
        <v>59</v>
      </c>
      <c r="B65" s="6" t="s">
        <v>185</v>
      </c>
      <c r="C65" s="6">
        <v>9</v>
      </c>
      <c r="D65" s="6" t="s">
        <v>186</v>
      </c>
      <c r="E65" s="6" t="s">
        <v>186</v>
      </c>
      <c r="F65" s="6" t="s">
        <v>186</v>
      </c>
      <c r="G65" s="6" t="s">
        <v>187</v>
      </c>
      <c r="H65" s="47" t="s">
        <v>304</v>
      </c>
      <c r="I65" s="122" t="s">
        <v>305</v>
      </c>
    </row>
    <row r="66" spans="1:9" x14ac:dyDescent="0.2">
      <c r="A66" s="6">
        <v>60</v>
      </c>
      <c r="B66" s="6" t="s">
        <v>185</v>
      </c>
      <c r="C66" s="6">
        <v>10</v>
      </c>
      <c r="D66" s="6" t="s">
        <v>186</v>
      </c>
      <c r="E66" s="6" t="s">
        <v>186</v>
      </c>
      <c r="F66" s="6" t="s">
        <v>186</v>
      </c>
      <c r="G66" s="6" t="s">
        <v>187</v>
      </c>
      <c r="H66" s="47" t="s">
        <v>306</v>
      </c>
      <c r="I66" s="122" t="s">
        <v>307</v>
      </c>
    </row>
    <row r="67" spans="1:9" x14ac:dyDescent="0.2">
      <c r="A67" s="6">
        <v>61</v>
      </c>
      <c r="B67" s="6" t="s">
        <v>185</v>
      </c>
      <c r="C67" s="6">
        <v>11</v>
      </c>
      <c r="D67" s="6" t="s">
        <v>186</v>
      </c>
      <c r="E67" s="6" t="s">
        <v>186</v>
      </c>
      <c r="F67" s="6" t="s">
        <v>186</v>
      </c>
      <c r="G67" s="6" t="s">
        <v>187</v>
      </c>
      <c r="H67" s="47" t="s">
        <v>308</v>
      </c>
      <c r="I67" s="122" t="s">
        <v>309</v>
      </c>
    </row>
    <row r="68" spans="1:9" x14ac:dyDescent="0.2">
      <c r="A68" s="6">
        <v>62</v>
      </c>
      <c r="B68" s="6" t="s">
        <v>185</v>
      </c>
      <c r="C68" s="6">
        <v>12</v>
      </c>
      <c r="D68" s="6" t="s">
        <v>186</v>
      </c>
      <c r="E68" s="6" t="s">
        <v>186</v>
      </c>
      <c r="F68" s="6" t="s">
        <v>186</v>
      </c>
      <c r="G68" s="6" t="s">
        <v>187</v>
      </c>
      <c r="H68" s="47" t="s">
        <v>310</v>
      </c>
      <c r="I68" s="122" t="s">
        <v>311</v>
      </c>
    </row>
    <row r="69" spans="1:9" x14ac:dyDescent="0.2">
      <c r="A69" s="6">
        <v>63</v>
      </c>
      <c r="B69" s="6" t="s">
        <v>185</v>
      </c>
      <c r="C69" s="6">
        <v>13</v>
      </c>
      <c r="D69" s="6" t="s">
        <v>186</v>
      </c>
      <c r="E69" s="6" t="s">
        <v>186</v>
      </c>
      <c r="F69" s="6" t="s">
        <v>186</v>
      </c>
      <c r="G69" s="6" t="s">
        <v>187</v>
      </c>
      <c r="H69" s="47" t="s">
        <v>312</v>
      </c>
      <c r="I69" s="122" t="s">
        <v>313</v>
      </c>
    </row>
    <row r="70" spans="1:9" x14ac:dyDescent="0.2">
      <c r="A70" s="6">
        <v>64</v>
      </c>
      <c r="B70" s="6" t="s">
        <v>185</v>
      </c>
      <c r="C70" s="6">
        <v>14</v>
      </c>
      <c r="D70" s="6" t="s">
        <v>186</v>
      </c>
      <c r="E70" s="6" t="s">
        <v>186</v>
      </c>
      <c r="F70" s="6" t="s">
        <v>186</v>
      </c>
      <c r="G70" s="6" t="s">
        <v>187</v>
      </c>
      <c r="H70" s="47" t="s">
        <v>314</v>
      </c>
      <c r="I70" s="122" t="s">
        <v>315</v>
      </c>
    </row>
    <row r="71" spans="1:9" x14ac:dyDescent="0.2">
      <c r="A71" s="6">
        <v>65</v>
      </c>
      <c r="B71" s="6" t="s">
        <v>185</v>
      </c>
      <c r="C71" s="6">
        <v>15</v>
      </c>
      <c r="D71" s="6" t="s">
        <v>186</v>
      </c>
      <c r="E71" s="6" t="s">
        <v>186</v>
      </c>
      <c r="F71" s="6" t="s">
        <v>186</v>
      </c>
      <c r="G71" s="6" t="s">
        <v>187</v>
      </c>
      <c r="H71" s="47" t="s">
        <v>316</v>
      </c>
      <c r="I71" s="122" t="s">
        <v>317</v>
      </c>
    </row>
    <row r="72" spans="1:9" x14ac:dyDescent="0.2">
      <c r="A72" s="6">
        <v>66</v>
      </c>
      <c r="B72" s="6" t="s">
        <v>185</v>
      </c>
      <c r="C72" s="6">
        <v>16</v>
      </c>
      <c r="D72" s="6" t="s">
        <v>186</v>
      </c>
      <c r="E72" s="6" t="s">
        <v>186</v>
      </c>
      <c r="F72" s="6" t="s">
        <v>186</v>
      </c>
      <c r="G72" s="6" t="s">
        <v>187</v>
      </c>
      <c r="H72" s="47" t="s">
        <v>318</v>
      </c>
      <c r="I72" s="122" t="s">
        <v>319</v>
      </c>
    </row>
    <row r="73" spans="1:9" x14ac:dyDescent="0.2">
      <c r="A73" s="6">
        <v>67</v>
      </c>
      <c r="B73" s="6" t="s">
        <v>185</v>
      </c>
      <c r="C73" s="6">
        <v>17</v>
      </c>
      <c r="D73" s="6" t="s">
        <v>186</v>
      </c>
      <c r="E73" s="6" t="s">
        <v>186</v>
      </c>
      <c r="F73" s="6" t="s">
        <v>186</v>
      </c>
      <c r="G73" s="6" t="s">
        <v>187</v>
      </c>
      <c r="H73" s="47" t="s">
        <v>320</v>
      </c>
      <c r="I73" s="122" t="s">
        <v>321</v>
      </c>
    </row>
    <row r="74" spans="1:9" x14ac:dyDescent="0.2">
      <c r="A74" s="6">
        <v>68</v>
      </c>
      <c r="B74" s="6" t="s">
        <v>185</v>
      </c>
      <c r="C74" s="6">
        <v>18</v>
      </c>
      <c r="D74" s="6" t="s">
        <v>186</v>
      </c>
      <c r="E74" s="6" t="s">
        <v>186</v>
      </c>
      <c r="F74" s="6" t="s">
        <v>186</v>
      </c>
      <c r="G74" s="6" t="s">
        <v>187</v>
      </c>
      <c r="H74" s="47" t="s">
        <v>322</v>
      </c>
      <c r="I74" s="122" t="s">
        <v>323</v>
      </c>
    </row>
    <row r="75" spans="1:9" x14ac:dyDescent="0.2">
      <c r="A75" s="6">
        <v>69</v>
      </c>
      <c r="B75" s="6" t="s">
        <v>185</v>
      </c>
      <c r="C75" s="6">
        <v>19</v>
      </c>
      <c r="D75" s="6" t="s">
        <v>186</v>
      </c>
      <c r="E75" s="6" t="s">
        <v>186</v>
      </c>
      <c r="F75" s="6" t="s">
        <v>186</v>
      </c>
      <c r="G75" s="6" t="s">
        <v>187</v>
      </c>
      <c r="H75" s="47" t="s">
        <v>324</v>
      </c>
      <c r="I75" s="122" t="s">
        <v>325</v>
      </c>
    </row>
    <row r="76" spans="1:9" x14ac:dyDescent="0.2">
      <c r="A76" s="6">
        <v>70</v>
      </c>
      <c r="B76" s="6" t="s">
        <v>185</v>
      </c>
      <c r="C76" s="6">
        <v>20</v>
      </c>
      <c r="D76" s="6" t="s">
        <v>186</v>
      </c>
      <c r="E76" s="6" t="s">
        <v>186</v>
      </c>
      <c r="F76" s="6" t="s">
        <v>186</v>
      </c>
      <c r="G76" s="6" t="s">
        <v>187</v>
      </c>
      <c r="H76" s="47" t="s">
        <v>326</v>
      </c>
      <c r="I76" s="122" t="s">
        <v>327</v>
      </c>
    </row>
    <row r="77" spans="1:9" x14ac:dyDescent="0.2">
      <c r="A77" s="6">
        <v>71</v>
      </c>
      <c r="B77" s="6" t="s">
        <v>185</v>
      </c>
      <c r="C77" s="6">
        <v>21</v>
      </c>
      <c r="D77" s="6" t="s">
        <v>186</v>
      </c>
      <c r="E77" s="6" t="s">
        <v>186</v>
      </c>
      <c r="F77" s="6" t="s">
        <v>186</v>
      </c>
      <c r="G77" s="6" t="s">
        <v>187</v>
      </c>
      <c r="H77" s="47" t="s">
        <v>328</v>
      </c>
      <c r="I77" s="122" t="s">
        <v>329</v>
      </c>
    </row>
    <row r="78" spans="1:9" x14ac:dyDescent="0.2">
      <c r="A78" s="6">
        <v>72</v>
      </c>
      <c r="B78" s="6" t="s">
        <v>185</v>
      </c>
      <c r="C78" s="6">
        <v>22</v>
      </c>
      <c r="D78" s="6" t="s">
        <v>186</v>
      </c>
      <c r="E78" s="6" t="s">
        <v>186</v>
      </c>
      <c r="F78" s="6" t="s">
        <v>186</v>
      </c>
      <c r="G78" s="6" t="s">
        <v>187</v>
      </c>
      <c r="H78" s="47" t="s">
        <v>330</v>
      </c>
      <c r="I78" s="122" t="s">
        <v>331</v>
      </c>
    </row>
    <row r="79" spans="1:9" x14ac:dyDescent="0.2">
      <c r="A79" s="6">
        <v>73</v>
      </c>
      <c r="B79" s="6" t="s">
        <v>185</v>
      </c>
      <c r="C79" s="6">
        <v>23</v>
      </c>
      <c r="D79" s="6" t="s">
        <v>186</v>
      </c>
      <c r="E79" s="6" t="s">
        <v>186</v>
      </c>
      <c r="F79" s="6" t="s">
        <v>186</v>
      </c>
      <c r="G79" s="6" t="s">
        <v>187</v>
      </c>
      <c r="H79" s="47" t="s">
        <v>332</v>
      </c>
      <c r="I79" s="122" t="s">
        <v>333</v>
      </c>
    </row>
    <row r="80" spans="1:9" x14ac:dyDescent="0.2">
      <c r="A80" s="6">
        <v>74</v>
      </c>
      <c r="B80" s="6" t="s">
        <v>185</v>
      </c>
      <c r="C80" s="6">
        <v>24</v>
      </c>
      <c r="D80" s="6" t="s">
        <v>186</v>
      </c>
      <c r="E80" s="6" t="s">
        <v>186</v>
      </c>
      <c r="F80" s="6" t="s">
        <v>186</v>
      </c>
      <c r="G80" s="6" t="s">
        <v>187</v>
      </c>
      <c r="H80" s="47" t="s">
        <v>334</v>
      </c>
      <c r="I80" s="122" t="s">
        <v>335</v>
      </c>
    </row>
    <row r="81" spans="1:9" x14ac:dyDescent="0.2">
      <c r="A81" s="6">
        <v>75</v>
      </c>
      <c r="B81" s="6" t="s">
        <v>185</v>
      </c>
      <c r="C81" s="6">
        <v>25</v>
      </c>
      <c r="D81" s="6" t="s">
        <v>186</v>
      </c>
      <c r="E81" s="6" t="s">
        <v>186</v>
      </c>
      <c r="F81" s="6" t="s">
        <v>186</v>
      </c>
      <c r="G81" s="6" t="s">
        <v>187</v>
      </c>
      <c r="H81" s="47" t="s">
        <v>336</v>
      </c>
      <c r="I81" s="122" t="s">
        <v>337</v>
      </c>
    </row>
    <row r="82" spans="1:9" x14ac:dyDescent="0.2">
      <c r="A82" s="6">
        <v>76</v>
      </c>
      <c r="B82" s="6" t="s">
        <v>185</v>
      </c>
      <c r="C82" s="6">
        <v>26</v>
      </c>
      <c r="D82" s="6" t="s">
        <v>186</v>
      </c>
      <c r="E82" s="6" t="s">
        <v>186</v>
      </c>
      <c r="F82" s="6" t="s">
        <v>186</v>
      </c>
      <c r="G82" s="6" t="s">
        <v>187</v>
      </c>
      <c r="H82" s="47" t="s">
        <v>338</v>
      </c>
      <c r="I82" s="122" t="s">
        <v>339</v>
      </c>
    </row>
    <row r="83" spans="1:9" x14ac:dyDescent="0.2">
      <c r="A83" s="6">
        <v>77</v>
      </c>
      <c r="B83" s="6" t="s">
        <v>185</v>
      </c>
      <c r="C83" s="6">
        <v>27</v>
      </c>
      <c r="D83" s="6" t="s">
        <v>186</v>
      </c>
      <c r="E83" s="6" t="s">
        <v>186</v>
      </c>
      <c r="F83" s="6" t="s">
        <v>186</v>
      </c>
      <c r="G83" s="6" t="s">
        <v>187</v>
      </c>
      <c r="H83" s="47" t="s">
        <v>340</v>
      </c>
      <c r="I83" s="122" t="s">
        <v>341</v>
      </c>
    </row>
    <row r="84" spans="1:9" x14ac:dyDescent="0.2">
      <c r="A84" s="6">
        <v>78</v>
      </c>
      <c r="B84" s="6" t="s">
        <v>185</v>
      </c>
      <c r="C84" s="6">
        <v>28</v>
      </c>
      <c r="D84" s="6" t="s">
        <v>186</v>
      </c>
      <c r="E84" s="6" t="s">
        <v>186</v>
      </c>
      <c r="F84" s="6" t="s">
        <v>186</v>
      </c>
      <c r="G84" s="6" t="s">
        <v>187</v>
      </c>
      <c r="H84" s="47" t="s">
        <v>342</v>
      </c>
      <c r="I84" s="122" t="s">
        <v>343</v>
      </c>
    </row>
    <row r="85" spans="1:9" x14ac:dyDescent="0.2">
      <c r="A85" s="6">
        <v>79</v>
      </c>
      <c r="B85" s="6" t="s">
        <v>185</v>
      </c>
      <c r="C85" s="6">
        <v>29</v>
      </c>
      <c r="D85" s="6" t="s">
        <v>186</v>
      </c>
      <c r="E85" s="6" t="s">
        <v>186</v>
      </c>
      <c r="F85" s="6" t="s">
        <v>186</v>
      </c>
      <c r="G85" s="6" t="s">
        <v>187</v>
      </c>
      <c r="H85" s="47" t="s">
        <v>344</v>
      </c>
      <c r="I85" s="122" t="s">
        <v>345</v>
      </c>
    </row>
    <row r="86" spans="1:9" x14ac:dyDescent="0.2">
      <c r="A86" s="6">
        <v>80</v>
      </c>
      <c r="B86" s="6" t="s">
        <v>185</v>
      </c>
      <c r="C86" s="6">
        <v>30</v>
      </c>
      <c r="D86" s="6" t="s">
        <v>186</v>
      </c>
      <c r="E86" s="6" t="s">
        <v>186</v>
      </c>
      <c r="F86" s="6" t="s">
        <v>186</v>
      </c>
      <c r="G86" s="6" t="s">
        <v>187</v>
      </c>
      <c r="H86" s="47" t="s">
        <v>346</v>
      </c>
      <c r="I86" s="122" t="s">
        <v>347</v>
      </c>
    </row>
    <row r="87" spans="1:9" x14ac:dyDescent="0.2">
      <c r="A87" s="6">
        <v>81</v>
      </c>
      <c r="B87" s="6" t="s">
        <v>185</v>
      </c>
      <c r="C87" s="6">
        <v>31</v>
      </c>
      <c r="D87" s="6" t="s">
        <v>186</v>
      </c>
      <c r="E87" s="6" t="s">
        <v>186</v>
      </c>
      <c r="F87" s="6" t="s">
        <v>186</v>
      </c>
      <c r="G87" s="6" t="s">
        <v>187</v>
      </c>
      <c r="H87" s="47" t="s">
        <v>348</v>
      </c>
      <c r="I87" s="122" t="s">
        <v>349</v>
      </c>
    </row>
    <row r="88" spans="1:9" x14ac:dyDescent="0.2">
      <c r="A88" s="6">
        <v>82</v>
      </c>
      <c r="B88" s="6" t="s">
        <v>185</v>
      </c>
      <c r="C88" s="6">
        <v>32</v>
      </c>
      <c r="D88" s="6" t="s">
        <v>186</v>
      </c>
      <c r="E88" s="6" t="s">
        <v>186</v>
      </c>
      <c r="F88" s="6" t="s">
        <v>186</v>
      </c>
      <c r="G88" s="6" t="s">
        <v>187</v>
      </c>
      <c r="H88" s="47" t="s">
        <v>350</v>
      </c>
      <c r="I88" s="122" t="s">
        <v>351</v>
      </c>
    </row>
    <row r="89" spans="1:9" x14ac:dyDescent="0.2">
      <c r="A89" s="6">
        <v>83</v>
      </c>
      <c r="B89" s="6" t="s">
        <v>185</v>
      </c>
      <c r="C89" s="6">
        <v>33</v>
      </c>
      <c r="D89" s="6" t="s">
        <v>186</v>
      </c>
      <c r="E89" s="6" t="s">
        <v>186</v>
      </c>
      <c r="F89" s="6" t="s">
        <v>186</v>
      </c>
      <c r="G89" s="6" t="s">
        <v>187</v>
      </c>
      <c r="H89" s="47" t="s">
        <v>352</v>
      </c>
      <c r="I89" s="122" t="s">
        <v>353</v>
      </c>
    </row>
    <row r="90" spans="1:9" x14ac:dyDescent="0.2">
      <c r="A90" s="6">
        <v>84</v>
      </c>
      <c r="B90" s="6" t="s">
        <v>185</v>
      </c>
      <c r="C90" s="6">
        <v>34</v>
      </c>
      <c r="D90" s="6" t="s">
        <v>186</v>
      </c>
      <c r="E90" s="6" t="s">
        <v>186</v>
      </c>
      <c r="F90" s="6" t="s">
        <v>186</v>
      </c>
      <c r="G90" s="6" t="s">
        <v>187</v>
      </c>
      <c r="H90" s="47" t="s">
        <v>354</v>
      </c>
      <c r="I90" s="122" t="s">
        <v>355</v>
      </c>
    </row>
    <row r="91" spans="1:9" x14ac:dyDescent="0.2">
      <c r="A91" s="6">
        <v>85</v>
      </c>
      <c r="B91" s="6" t="s">
        <v>185</v>
      </c>
      <c r="C91" s="6">
        <v>35</v>
      </c>
      <c r="D91" s="6" t="s">
        <v>186</v>
      </c>
      <c r="E91" s="6" t="s">
        <v>186</v>
      </c>
      <c r="F91" s="6" t="s">
        <v>186</v>
      </c>
      <c r="G91" s="6" t="s">
        <v>187</v>
      </c>
      <c r="H91" s="47" t="s">
        <v>356</v>
      </c>
      <c r="I91" s="122" t="s">
        <v>357</v>
      </c>
    </row>
    <row r="92" spans="1:9" x14ac:dyDescent="0.2">
      <c r="A92" s="6">
        <v>86</v>
      </c>
      <c r="B92" s="6" t="s">
        <v>185</v>
      </c>
      <c r="C92" s="6">
        <v>36</v>
      </c>
      <c r="D92" s="6" t="s">
        <v>186</v>
      </c>
      <c r="E92" s="6" t="s">
        <v>186</v>
      </c>
      <c r="F92" s="6" t="s">
        <v>186</v>
      </c>
      <c r="G92" s="6" t="s">
        <v>187</v>
      </c>
      <c r="H92" s="47" t="s">
        <v>358</v>
      </c>
      <c r="I92" s="122" t="s">
        <v>359</v>
      </c>
    </row>
    <row r="93" spans="1:9" x14ac:dyDescent="0.2">
      <c r="A93" s="6">
        <v>87</v>
      </c>
      <c r="B93" s="6" t="s">
        <v>185</v>
      </c>
      <c r="C93" s="6">
        <v>37</v>
      </c>
      <c r="D93" s="6" t="s">
        <v>186</v>
      </c>
      <c r="E93" s="6" t="s">
        <v>186</v>
      </c>
      <c r="F93" s="6" t="s">
        <v>186</v>
      </c>
      <c r="G93" s="6" t="s">
        <v>187</v>
      </c>
      <c r="H93" s="47" t="s">
        <v>360</v>
      </c>
      <c r="I93" s="122" t="s">
        <v>361</v>
      </c>
    </row>
    <row r="94" spans="1:9" x14ac:dyDescent="0.2">
      <c r="A94" s="6">
        <v>88</v>
      </c>
      <c r="B94" s="6" t="s">
        <v>185</v>
      </c>
      <c r="C94" s="6">
        <v>38</v>
      </c>
      <c r="D94" s="6" t="s">
        <v>186</v>
      </c>
      <c r="E94" s="6" t="s">
        <v>186</v>
      </c>
      <c r="F94" s="6" t="s">
        <v>186</v>
      </c>
      <c r="G94" s="6" t="s">
        <v>187</v>
      </c>
      <c r="H94" s="47" t="s">
        <v>362</v>
      </c>
      <c r="I94" s="122" t="s">
        <v>363</v>
      </c>
    </row>
    <row r="95" spans="1:9" x14ac:dyDescent="0.2">
      <c r="A95" s="6">
        <v>89</v>
      </c>
      <c r="B95" s="6" t="s">
        <v>185</v>
      </c>
      <c r="C95" s="6">
        <v>39</v>
      </c>
      <c r="D95" s="6" t="s">
        <v>186</v>
      </c>
      <c r="E95" s="6" t="s">
        <v>186</v>
      </c>
      <c r="F95" s="6" t="s">
        <v>186</v>
      </c>
      <c r="G95" s="6" t="s">
        <v>187</v>
      </c>
      <c r="H95" s="47" t="s">
        <v>364</v>
      </c>
      <c r="I95" s="122" t="s">
        <v>365</v>
      </c>
    </row>
    <row r="96" spans="1:9" x14ac:dyDescent="0.2">
      <c r="A96" s="6">
        <v>90</v>
      </c>
      <c r="B96" s="6" t="s">
        <v>185</v>
      </c>
      <c r="C96" s="6">
        <v>40</v>
      </c>
      <c r="D96" s="6" t="s">
        <v>186</v>
      </c>
      <c r="E96" s="6" t="s">
        <v>186</v>
      </c>
      <c r="F96" s="6" t="s">
        <v>186</v>
      </c>
      <c r="G96" s="6" t="s">
        <v>187</v>
      </c>
      <c r="H96" s="47" t="s">
        <v>366</v>
      </c>
      <c r="I96" s="122" t="s">
        <v>367</v>
      </c>
    </row>
    <row r="97" spans="1:9" x14ac:dyDescent="0.2">
      <c r="A97" s="6">
        <v>91</v>
      </c>
      <c r="B97" s="6" t="s">
        <v>185</v>
      </c>
      <c r="C97" s="6">
        <v>41</v>
      </c>
      <c r="D97" s="6" t="s">
        <v>186</v>
      </c>
      <c r="E97" s="6" t="s">
        <v>186</v>
      </c>
      <c r="F97" s="6" t="s">
        <v>186</v>
      </c>
      <c r="G97" s="6" t="s">
        <v>187</v>
      </c>
      <c r="H97" s="47" t="s">
        <v>368</v>
      </c>
      <c r="I97" s="122" t="s">
        <v>369</v>
      </c>
    </row>
    <row r="98" spans="1:9" x14ac:dyDescent="0.2">
      <c r="A98" s="6">
        <v>92</v>
      </c>
      <c r="B98" s="6" t="s">
        <v>185</v>
      </c>
      <c r="C98" s="6">
        <v>42</v>
      </c>
      <c r="D98" s="6" t="s">
        <v>186</v>
      </c>
      <c r="E98" s="6" t="s">
        <v>186</v>
      </c>
      <c r="F98" s="6" t="s">
        <v>186</v>
      </c>
      <c r="G98" s="6" t="s">
        <v>187</v>
      </c>
      <c r="H98" s="47" t="s">
        <v>370</v>
      </c>
      <c r="I98" s="122" t="s">
        <v>371</v>
      </c>
    </row>
    <row r="99" spans="1:9" x14ac:dyDescent="0.2">
      <c r="A99" s="6">
        <v>93</v>
      </c>
      <c r="B99" s="6" t="s">
        <v>185</v>
      </c>
      <c r="C99" s="6">
        <v>43</v>
      </c>
      <c r="D99" s="6" t="s">
        <v>186</v>
      </c>
      <c r="E99" s="6" t="s">
        <v>186</v>
      </c>
      <c r="F99" s="6" t="s">
        <v>186</v>
      </c>
      <c r="G99" s="6" t="s">
        <v>187</v>
      </c>
      <c r="H99" s="47" t="s">
        <v>372</v>
      </c>
      <c r="I99" s="122" t="s">
        <v>373</v>
      </c>
    </row>
    <row r="100" spans="1:9" x14ac:dyDescent="0.2">
      <c r="A100" s="6">
        <v>94</v>
      </c>
      <c r="B100" s="6" t="s">
        <v>185</v>
      </c>
      <c r="C100" s="6">
        <v>44</v>
      </c>
      <c r="D100" s="6" t="s">
        <v>186</v>
      </c>
      <c r="E100" s="6" t="s">
        <v>186</v>
      </c>
      <c r="F100" s="6" t="s">
        <v>186</v>
      </c>
      <c r="G100" s="6" t="s">
        <v>187</v>
      </c>
      <c r="H100" s="47" t="s">
        <v>374</v>
      </c>
      <c r="I100" s="122" t="s">
        <v>375</v>
      </c>
    </row>
    <row r="101" spans="1:9" x14ac:dyDescent="0.2">
      <c r="A101" s="6">
        <v>95</v>
      </c>
      <c r="B101" s="6" t="s">
        <v>185</v>
      </c>
      <c r="C101" s="6">
        <v>45</v>
      </c>
      <c r="D101" s="6" t="s">
        <v>186</v>
      </c>
      <c r="E101" s="6" t="s">
        <v>186</v>
      </c>
      <c r="F101" s="6" t="s">
        <v>186</v>
      </c>
      <c r="G101" s="6" t="s">
        <v>187</v>
      </c>
      <c r="H101" s="47" t="s">
        <v>376</v>
      </c>
      <c r="I101" s="122" t="s">
        <v>377</v>
      </c>
    </row>
    <row r="102" spans="1:9" x14ac:dyDescent="0.2">
      <c r="A102" s="6">
        <v>96</v>
      </c>
      <c r="B102" s="6" t="s">
        <v>185</v>
      </c>
      <c r="C102" s="6">
        <v>46</v>
      </c>
      <c r="D102" s="6" t="s">
        <v>186</v>
      </c>
      <c r="E102" s="6" t="s">
        <v>186</v>
      </c>
      <c r="F102" s="6" t="s">
        <v>186</v>
      </c>
      <c r="G102" s="6" t="s">
        <v>187</v>
      </c>
      <c r="H102" s="47" t="s">
        <v>378</v>
      </c>
      <c r="I102" s="122" t="s">
        <v>379</v>
      </c>
    </row>
    <row r="103" spans="1:9" x14ac:dyDescent="0.2">
      <c r="A103" s="6">
        <v>97</v>
      </c>
      <c r="B103" s="6" t="s">
        <v>185</v>
      </c>
      <c r="C103" s="6">
        <v>47</v>
      </c>
      <c r="D103" s="6" t="s">
        <v>186</v>
      </c>
      <c r="E103" s="6" t="s">
        <v>186</v>
      </c>
      <c r="F103" s="6" t="s">
        <v>186</v>
      </c>
      <c r="G103" s="6" t="s">
        <v>187</v>
      </c>
      <c r="H103" s="47" t="s">
        <v>380</v>
      </c>
      <c r="I103" s="122" t="s">
        <v>381</v>
      </c>
    </row>
    <row r="104" spans="1:9" x14ac:dyDescent="0.2">
      <c r="A104" s="6">
        <v>98</v>
      </c>
      <c r="B104" s="6" t="s">
        <v>185</v>
      </c>
      <c r="C104" s="6">
        <v>48</v>
      </c>
      <c r="D104" s="6" t="s">
        <v>186</v>
      </c>
      <c r="E104" s="6" t="s">
        <v>186</v>
      </c>
      <c r="F104" s="6" t="s">
        <v>186</v>
      </c>
      <c r="G104" s="6" t="s">
        <v>187</v>
      </c>
      <c r="H104" s="47" t="s">
        <v>382</v>
      </c>
      <c r="I104" s="122" t="s">
        <v>383</v>
      </c>
    </row>
    <row r="105" spans="1:9" x14ac:dyDescent="0.2">
      <c r="A105" s="6">
        <v>99</v>
      </c>
      <c r="B105" s="6" t="s">
        <v>185</v>
      </c>
      <c r="C105" s="6">
        <v>49</v>
      </c>
      <c r="D105" s="6" t="s">
        <v>186</v>
      </c>
      <c r="E105" s="6" t="s">
        <v>186</v>
      </c>
      <c r="F105" s="6" t="s">
        <v>186</v>
      </c>
      <c r="G105" s="6" t="s">
        <v>187</v>
      </c>
      <c r="H105" s="47" t="s">
        <v>384</v>
      </c>
      <c r="I105" s="122" t="s">
        <v>385</v>
      </c>
    </row>
    <row r="106" spans="1:9" x14ac:dyDescent="0.2">
      <c r="A106" s="6">
        <v>100</v>
      </c>
      <c r="B106" s="6" t="s">
        <v>185</v>
      </c>
      <c r="C106" s="6">
        <v>50</v>
      </c>
      <c r="D106" s="6" t="s">
        <v>186</v>
      </c>
      <c r="E106" s="6" t="s">
        <v>186</v>
      </c>
      <c r="F106" s="6" t="s">
        <v>186</v>
      </c>
      <c r="G106" s="6" t="s">
        <v>187</v>
      </c>
      <c r="H106" s="47" t="s">
        <v>386</v>
      </c>
      <c r="I106" s="122" t="s">
        <v>387</v>
      </c>
    </row>
    <row r="107" spans="1:9" x14ac:dyDescent="0.2">
      <c r="A107" s="6">
        <v>101</v>
      </c>
      <c r="B107" s="6" t="s">
        <v>185</v>
      </c>
      <c r="C107" s="6">
        <v>51</v>
      </c>
      <c r="D107" s="6" t="s">
        <v>186</v>
      </c>
      <c r="E107" s="6" t="s">
        <v>186</v>
      </c>
      <c r="F107" s="6" t="s">
        <v>186</v>
      </c>
      <c r="G107" s="6" t="s">
        <v>187</v>
      </c>
      <c r="H107" s="47" t="s">
        <v>388</v>
      </c>
      <c r="I107" s="122" t="s">
        <v>389</v>
      </c>
    </row>
    <row r="108" spans="1:9" x14ac:dyDescent="0.2">
      <c r="A108" s="6">
        <v>102</v>
      </c>
      <c r="B108" s="6" t="s">
        <v>185</v>
      </c>
      <c r="C108" s="6">
        <v>52</v>
      </c>
      <c r="D108" s="6" t="s">
        <v>186</v>
      </c>
      <c r="E108" s="6" t="s">
        <v>186</v>
      </c>
      <c r="F108" s="6" t="s">
        <v>186</v>
      </c>
      <c r="G108" s="6" t="s">
        <v>187</v>
      </c>
      <c r="H108" s="47" t="s">
        <v>390</v>
      </c>
      <c r="I108" s="122" t="s">
        <v>391</v>
      </c>
    </row>
    <row r="109" spans="1:9" x14ac:dyDescent="0.2">
      <c r="A109" s="6">
        <v>103</v>
      </c>
      <c r="B109" s="6" t="s">
        <v>185</v>
      </c>
      <c r="C109" s="6">
        <v>53</v>
      </c>
      <c r="D109" s="6" t="s">
        <v>186</v>
      </c>
      <c r="E109" s="6" t="s">
        <v>186</v>
      </c>
      <c r="F109" s="6" t="s">
        <v>186</v>
      </c>
      <c r="G109" s="6" t="s">
        <v>187</v>
      </c>
      <c r="H109" s="47" t="s">
        <v>392</v>
      </c>
      <c r="I109" s="122" t="s">
        <v>393</v>
      </c>
    </row>
    <row r="110" spans="1:9" x14ac:dyDescent="0.2">
      <c r="A110" s="6">
        <v>104</v>
      </c>
      <c r="B110" s="6" t="s">
        <v>185</v>
      </c>
      <c r="C110" s="6">
        <v>54</v>
      </c>
      <c r="D110" s="6" t="s">
        <v>186</v>
      </c>
      <c r="E110" s="6" t="s">
        <v>186</v>
      </c>
      <c r="F110" s="6" t="s">
        <v>186</v>
      </c>
      <c r="G110" s="6" t="s">
        <v>187</v>
      </c>
      <c r="H110" s="47" t="s">
        <v>394</v>
      </c>
      <c r="I110" s="122" t="s">
        <v>395</v>
      </c>
    </row>
    <row r="111" spans="1:9" x14ac:dyDescent="0.2">
      <c r="A111" s="6">
        <v>105</v>
      </c>
      <c r="B111" s="6" t="s">
        <v>185</v>
      </c>
      <c r="C111" s="6">
        <v>55</v>
      </c>
      <c r="D111" s="6" t="s">
        <v>186</v>
      </c>
      <c r="E111" s="6" t="s">
        <v>186</v>
      </c>
      <c r="F111" s="6" t="s">
        <v>186</v>
      </c>
      <c r="G111" s="6" t="s">
        <v>187</v>
      </c>
      <c r="H111" s="47" t="s">
        <v>396</v>
      </c>
      <c r="I111" s="122" t="s">
        <v>397</v>
      </c>
    </row>
    <row r="112" spans="1:9" x14ac:dyDescent="0.2">
      <c r="A112" s="6">
        <v>106</v>
      </c>
      <c r="B112" s="6" t="s">
        <v>185</v>
      </c>
      <c r="C112" s="6">
        <v>56</v>
      </c>
      <c r="D112" s="6" t="s">
        <v>186</v>
      </c>
      <c r="E112" s="6" t="s">
        <v>186</v>
      </c>
      <c r="F112" s="6" t="s">
        <v>186</v>
      </c>
      <c r="G112" s="6" t="s">
        <v>187</v>
      </c>
      <c r="H112" s="47" t="s">
        <v>398</v>
      </c>
      <c r="I112" s="122" t="s">
        <v>399</v>
      </c>
    </row>
    <row r="113" spans="1:9" x14ac:dyDescent="0.2">
      <c r="A113" s="6">
        <v>107</v>
      </c>
      <c r="B113" s="6" t="s">
        <v>185</v>
      </c>
      <c r="C113" s="6">
        <v>57</v>
      </c>
      <c r="D113" s="6" t="s">
        <v>186</v>
      </c>
      <c r="E113" s="6" t="s">
        <v>186</v>
      </c>
      <c r="F113" s="6" t="s">
        <v>186</v>
      </c>
      <c r="G113" s="6" t="s">
        <v>187</v>
      </c>
      <c r="H113" s="47" t="s">
        <v>400</v>
      </c>
      <c r="I113" s="122" t="s">
        <v>401</v>
      </c>
    </row>
    <row r="114" spans="1:9" x14ac:dyDescent="0.2">
      <c r="A114" s="6">
        <v>108</v>
      </c>
      <c r="B114" s="6" t="s">
        <v>185</v>
      </c>
      <c r="C114" s="6">
        <v>58</v>
      </c>
      <c r="D114" s="6" t="s">
        <v>186</v>
      </c>
      <c r="E114" s="6" t="s">
        <v>186</v>
      </c>
      <c r="F114" s="6" t="s">
        <v>186</v>
      </c>
      <c r="G114" s="6" t="s">
        <v>187</v>
      </c>
      <c r="H114" s="47" t="s">
        <v>402</v>
      </c>
      <c r="I114" s="122" t="s">
        <v>403</v>
      </c>
    </row>
    <row r="115" spans="1:9" x14ac:dyDescent="0.2">
      <c r="A115" s="6">
        <v>109</v>
      </c>
      <c r="B115" s="6" t="s">
        <v>185</v>
      </c>
      <c r="C115" s="6">
        <v>59</v>
      </c>
      <c r="D115" s="6" t="s">
        <v>186</v>
      </c>
      <c r="E115" s="6" t="s">
        <v>186</v>
      </c>
      <c r="F115" s="6" t="s">
        <v>186</v>
      </c>
      <c r="G115" s="6" t="s">
        <v>187</v>
      </c>
      <c r="H115" s="47" t="s">
        <v>404</v>
      </c>
      <c r="I115" s="122" t="s">
        <v>405</v>
      </c>
    </row>
    <row r="116" spans="1:9" x14ac:dyDescent="0.2">
      <c r="A116" s="6">
        <v>110</v>
      </c>
      <c r="B116" s="6" t="s">
        <v>185</v>
      </c>
      <c r="C116" s="6">
        <v>60</v>
      </c>
      <c r="D116" s="6" t="s">
        <v>186</v>
      </c>
      <c r="E116" s="6" t="s">
        <v>186</v>
      </c>
      <c r="F116" s="6" t="s">
        <v>186</v>
      </c>
      <c r="G116" s="6" t="s">
        <v>187</v>
      </c>
      <c r="H116" s="47" t="s">
        <v>406</v>
      </c>
      <c r="I116" s="122" t="s">
        <v>407</v>
      </c>
    </row>
    <row r="117" spans="1:9" x14ac:dyDescent="0.2">
      <c r="A117" s="6">
        <v>111</v>
      </c>
      <c r="B117" s="6" t="s">
        <v>185</v>
      </c>
      <c r="C117" s="6">
        <v>61</v>
      </c>
      <c r="D117" s="6" t="s">
        <v>186</v>
      </c>
      <c r="E117" s="6" t="s">
        <v>186</v>
      </c>
      <c r="F117" s="6" t="s">
        <v>186</v>
      </c>
      <c r="G117" s="6" t="s">
        <v>187</v>
      </c>
      <c r="H117" s="47" t="s">
        <v>408</v>
      </c>
      <c r="I117" s="122" t="s">
        <v>409</v>
      </c>
    </row>
    <row r="118" spans="1:9" x14ac:dyDescent="0.2">
      <c r="A118" s="6">
        <v>112</v>
      </c>
      <c r="B118" s="6" t="s">
        <v>185</v>
      </c>
      <c r="C118" s="6">
        <v>62</v>
      </c>
      <c r="D118" s="6" t="s">
        <v>186</v>
      </c>
      <c r="E118" s="6" t="s">
        <v>186</v>
      </c>
      <c r="F118" s="6" t="s">
        <v>186</v>
      </c>
      <c r="G118" s="6" t="s">
        <v>187</v>
      </c>
      <c r="H118" s="47" t="s">
        <v>410</v>
      </c>
      <c r="I118" s="122" t="s">
        <v>411</v>
      </c>
    </row>
    <row r="119" spans="1:9" x14ac:dyDescent="0.2">
      <c r="A119" s="6">
        <v>113</v>
      </c>
      <c r="B119" s="6" t="s">
        <v>185</v>
      </c>
      <c r="C119" s="6">
        <v>63</v>
      </c>
      <c r="D119" s="6" t="s">
        <v>186</v>
      </c>
      <c r="E119" s="6" t="s">
        <v>186</v>
      </c>
      <c r="F119" s="6" t="s">
        <v>186</v>
      </c>
      <c r="G119" s="6" t="s">
        <v>187</v>
      </c>
      <c r="H119" s="47" t="s">
        <v>412</v>
      </c>
      <c r="I119" s="122" t="s">
        <v>413</v>
      </c>
    </row>
    <row r="120" spans="1:9" x14ac:dyDescent="0.2">
      <c r="A120" s="6">
        <v>114</v>
      </c>
      <c r="B120" s="6" t="s">
        <v>185</v>
      </c>
      <c r="C120" s="6">
        <v>64</v>
      </c>
      <c r="D120" s="6" t="s">
        <v>186</v>
      </c>
      <c r="E120" s="6" t="s">
        <v>186</v>
      </c>
      <c r="F120" s="6" t="s">
        <v>186</v>
      </c>
      <c r="G120" s="6" t="s">
        <v>187</v>
      </c>
      <c r="H120" s="47" t="s">
        <v>414</v>
      </c>
      <c r="I120" s="122" t="s">
        <v>415</v>
      </c>
    </row>
    <row r="121" spans="1:9" x14ac:dyDescent="0.2">
      <c r="A121" s="6">
        <v>115</v>
      </c>
      <c r="B121" s="6" t="s">
        <v>185</v>
      </c>
      <c r="C121" s="6">
        <v>65</v>
      </c>
      <c r="D121" s="6" t="s">
        <v>186</v>
      </c>
      <c r="E121" s="6" t="s">
        <v>186</v>
      </c>
      <c r="F121" s="6" t="s">
        <v>186</v>
      </c>
      <c r="G121" s="6" t="s">
        <v>187</v>
      </c>
      <c r="H121" s="47" t="s">
        <v>416</v>
      </c>
      <c r="I121" s="122" t="s">
        <v>417</v>
      </c>
    </row>
    <row r="122" spans="1:9" x14ac:dyDescent="0.2">
      <c r="A122" s="6">
        <v>116</v>
      </c>
      <c r="B122" s="6" t="s">
        <v>185</v>
      </c>
      <c r="C122" s="6">
        <v>66</v>
      </c>
      <c r="D122" s="6" t="s">
        <v>186</v>
      </c>
      <c r="E122" s="6" t="s">
        <v>186</v>
      </c>
      <c r="F122" s="6" t="s">
        <v>186</v>
      </c>
      <c r="G122" s="6" t="s">
        <v>187</v>
      </c>
      <c r="H122" s="47" t="s">
        <v>418</v>
      </c>
      <c r="I122" s="122" t="s">
        <v>419</v>
      </c>
    </row>
    <row r="123" spans="1:9" x14ac:dyDescent="0.2">
      <c r="A123" s="6">
        <v>117</v>
      </c>
      <c r="B123" s="6" t="s">
        <v>185</v>
      </c>
      <c r="C123" s="6">
        <v>67</v>
      </c>
      <c r="D123" s="6" t="s">
        <v>186</v>
      </c>
      <c r="E123" s="6" t="s">
        <v>186</v>
      </c>
      <c r="F123" s="6" t="s">
        <v>186</v>
      </c>
      <c r="G123" s="6" t="s">
        <v>187</v>
      </c>
      <c r="H123" s="47" t="s">
        <v>420</v>
      </c>
      <c r="I123" s="122" t="s">
        <v>421</v>
      </c>
    </row>
    <row r="124" spans="1:9" x14ac:dyDescent="0.2">
      <c r="A124" s="6">
        <v>118</v>
      </c>
      <c r="B124" s="6" t="s">
        <v>185</v>
      </c>
      <c r="C124" s="6">
        <v>68</v>
      </c>
      <c r="D124" s="6" t="s">
        <v>186</v>
      </c>
      <c r="E124" s="6" t="s">
        <v>186</v>
      </c>
      <c r="F124" s="6" t="s">
        <v>186</v>
      </c>
      <c r="G124" s="6" t="s">
        <v>187</v>
      </c>
      <c r="H124" s="47" t="s">
        <v>422</v>
      </c>
      <c r="I124" s="122" t="s">
        <v>423</v>
      </c>
    </row>
    <row r="125" spans="1:9" x14ac:dyDescent="0.2">
      <c r="A125" s="6">
        <v>119</v>
      </c>
      <c r="B125" s="6" t="s">
        <v>185</v>
      </c>
      <c r="C125" s="6">
        <v>69</v>
      </c>
      <c r="D125" s="6" t="s">
        <v>186</v>
      </c>
      <c r="E125" s="6" t="s">
        <v>186</v>
      </c>
      <c r="F125" s="6" t="s">
        <v>186</v>
      </c>
      <c r="G125" s="6" t="s">
        <v>187</v>
      </c>
      <c r="H125" s="47" t="s">
        <v>424</v>
      </c>
      <c r="I125" s="122" t="s">
        <v>425</v>
      </c>
    </row>
    <row r="126" spans="1:9" x14ac:dyDescent="0.2">
      <c r="A126" s="6">
        <v>120</v>
      </c>
      <c r="B126" s="6" t="s">
        <v>185</v>
      </c>
      <c r="C126" s="6">
        <v>70</v>
      </c>
      <c r="D126" s="6" t="s">
        <v>186</v>
      </c>
      <c r="E126" s="6" t="s">
        <v>186</v>
      </c>
      <c r="F126" s="6" t="s">
        <v>186</v>
      </c>
      <c r="G126" s="6" t="s">
        <v>187</v>
      </c>
      <c r="H126" s="47" t="s">
        <v>426</v>
      </c>
      <c r="I126" s="122" t="s">
        <v>427</v>
      </c>
    </row>
    <row r="127" spans="1:9" x14ac:dyDescent="0.2">
      <c r="A127" s="6">
        <v>121</v>
      </c>
      <c r="B127" s="6" t="s">
        <v>185</v>
      </c>
      <c r="C127" s="6">
        <v>71</v>
      </c>
      <c r="D127" s="6" t="s">
        <v>186</v>
      </c>
      <c r="E127" s="6" t="s">
        <v>186</v>
      </c>
      <c r="F127" s="6" t="s">
        <v>186</v>
      </c>
      <c r="G127" s="6" t="s">
        <v>187</v>
      </c>
      <c r="H127" s="47" t="s">
        <v>428</v>
      </c>
      <c r="I127" s="122" t="s">
        <v>429</v>
      </c>
    </row>
    <row r="128" spans="1:9" x14ac:dyDescent="0.2">
      <c r="A128" s="6">
        <v>122</v>
      </c>
      <c r="B128" s="6" t="s">
        <v>185</v>
      </c>
      <c r="C128" s="6">
        <v>72</v>
      </c>
      <c r="D128" s="6" t="s">
        <v>186</v>
      </c>
      <c r="E128" s="6" t="s">
        <v>186</v>
      </c>
      <c r="F128" s="6" t="s">
        <v>186</v>
      </c>
      <c r="G128" s="6" t="s">
        <v>187</v>
      </c>
      <c r="H128" s="47" t="s">
        <v>430</v>
      </c>
      <c r="I128" s="122" t="s">
        <v>431</v>
      </c>
    </row>
    <row r="129" spans="1:9" x14ac:dyDescent="0.2">
      <c r="A129" s="6">
        <v>123</v>
      </c>
      <c r="B129" s="6" t="s">
        <v>185</v>
      </c>
      <c r="C129" s="6">
        <v>73</v>
      </c>
      <c r="D129" s="6" t="s">
        <v>186</v>
      </c>
      <c r="E129" s="6" t="s">
        <v>186</v>
      </c>
      <c r="F129" s="6" t="s">
        <v>186</v>
      </c>
      <c r="G129" s="6" t="s">
        <v>187</v>
      </c>
      <c r="H129" s="47" t="s">
        <v>432</v>
      </c>
      <c r="I129" s="122" t="s">
        <v>433</v>
      </c>
    </row>
    <row r="130" spans="1:9" x14ac:dyDescent="0.2">
      <c r="A130" s="6">
        <v>124</v>
      </c>
      <c r="B130" s="6" t="s">
        <v>185</v>
      </c>
      <c r="C130" s="6">
        <v>74</v>
      </c>
      <c r="D130" s="6" t="s">
        <v>186</v>
      </c>
      <c r="E130" s="6" t="s">
        <v>186</v>
      </c>
      <c r="F130" s="6" t="s">
        <v>186</v>
      </c>
      <c r="G130" s="6" t="s">
        <v>187</v>
      </c>
      <c r="H130" s="47" t="s">
        <v>434</v>
      </c>
      <c r="I130" s="122" t="s">
        <v>435</v>
      </c>
    </row>
    <row r="131" spans="1:9" x14ac:dyDescent="0.2">
      <c r="A131" s="6">
        <v>125</v>
      </c>
      <c r="B131" s="6" t="s">
        <v>185</v>
      </c>
      <c r="C131" s="6">
        <v>75</v>
      </c>
      <c r="D131" s="6" t="s">
        <v>186</v>
      </c>
      <c r="E131" s="6" t="s">
        <v>186</v>
      </c>
      <c r="F131" s="6" t="s">
        <v>186</v>
      </c>
      <c r="G131" s="6" t="s">
        <v>187</v>
      </c>
      <c r="H131" s="47" t="s">
        <v>436</v>
      </c>
      <c r="I131" s="122" t="s">
        <v>437</v>
      </c>
    </row>
    <row r="132" spans="1:9" x14ac:dyDescent="0.2">
      <c r="A132" s="6">
        <v>126</v>
      </c>
      <c r="B132" s="6" t="s">
        <v>185</v>
      </c>
      <c r="C132" s="6">
        <v>76</v>
      </c>
      <c r="D132" s="6" t="s">
        <v>186</v>
      </c>
      <c r="E132" s="6" t="s">
        <v>186</v>
      </c>
      <c r="F132" s="6" t="s">
        <v>186</v>
      </c>
      <c r="G132" s="6" t="s">
        <v>187</v>
      </c>
      <c r="H132" s="47" t="s">
        <v>438</v>
      </c>
      <c r="I132" s="122" t="s">
        <v>439</v>
      </c>
    </row>
    <row r="133" spans="1:9" x14ac:dyDescent="0.2">
      <c r="A133" s="6">
        <v>127</v>
      </c>
      <c r="B133" s="6" t="s">
        <v>185</v>
      </c>
      <c r="C133" s="6">
        <v>77</v>
      </c>
      <c r="D133" s="6" t="s">
        <v>186</v>
      </c>
      <c r="E133" s="6" t="s">
        <v>186</v>
      </c>
      <c r="F133" s="6" t="s">
        <v>186</v>
      </c>
      <c r="G133" s="6" t="s">
        <v>187</v>
      </c>
      <c r="H133" s="47" t="s">
        <v>440</v>
      </c>
      <c r="I133" s="122" t="s">
        <v>441</v>
      </c>
    </row>
    <row r="134" spans="1:9" x14ac:dyDescent="0.2">
      <c r="A134" s="6">
        <v>128</v>
      </c>
      <c r="B134" s="6" t="s">
        <v>185</v>
      </c>
      <c r="C134" s="6">
        <v>78</v>
      </c>
      <c r="D134" s="6" t="s">
        <v>186</v>
      </c>
      <c r="E134" s="6" t="s">
        <v>186</v>
      </c>
      <c r="F134" s="6" t="s">
        <v>186</v>
      </c>
      <c r="G134" s="6" t="s">
        <v>187</v>
      </c>
      <c r="H134" s="47" t="s">
        <v>442</v>
      </c>
      <c r="I134" s="122" t="s">
        <v>443</v>
      </c>
    </row>
    <row r="135" spans="1:9" x14ac:dyDescent="0.2">
      <c r="A135" s="6">
        <v>129</v>
      </c>
      <c r="B135" s="6" t="s">
        <v>185</v>
      </c>
      <c r="C135" s="6">
        <v>79</v>
      </c>
      <c r="D135" s="6" t="s">
        <v>186</v>
      </c>
      <c r="E135" s="6" t="s">
        <v>186</v>
      </c>
      <c r="F135" s="6" t="s">
        <v>186</v>
      </c>
      <c r="G135" s="6" t="s">
        <v>187</v>
      </c>
      <c r="H135" s="47" t="s">
        <v>444</v>
      </c>
      <c r="I135" s="122" t="s">
        <v>445</v>
      </c>
    </row>
    <row r="136" spans="1:9" x14ac:dyDescent="0.2">
      <c r="A136" s="6">
        <v>130</v>
      </c>
      <c r="B136" s="6" t="s">
        <v>185</v>
      </c>
      <c r="C136" s="6">
        <v>80</v>
      </c>
      <c r="D136" s="6" t="s">
        <v>186</v>
      </c>
      <c r="E136" s="6" t="s">
        <v>186</v>
      </c>
      <c r="F136" s="6" t="s">
        <v>186</v>
      </c>
      <c r="G136" s="6" t="s">
        <v>187</v>
      </c>
      <c r="H136" s="47" t="s">
        <v>446</v>
      </c>
      <c r="I136" s="122" t="s">
        <v>447</v>
      </c>
    </row>
    <row r="137" spans="1:9" x14ac:dyDescent="0.2">
      <c r="A137" s="6">
        <v>131</v>
      </c>
      <c r="B137" s="6" t="s">
        <v>185</v>
      </c>
      <c r="C137" s="6">
        <v>81</v>
      </c>
      <c r="D137" s="6" t="s">
        <v>186</v>
      </c>
      <c r="E137" s="6" t="s">
        <v>186</v>
      </c>
      <c r="F137" s="6" t="s">
        <v>186</v>
      </c>
      <c r="G137" s="6" t="s">
        <v>187</v>
      </c>
      <c r="H137" s="47" t="s">
        <v>448</v>
      </c>
      <c r="I137" s="122" t="s">
        <v>449</v>
      </c>
    </row>
    <row r="138" spans="1:9" x14ac:dyDescent="0.2">
      <c r="A138" s="6">
        <v>132</v>
      </c>
      <c r="B138" s="6" t="s">
        <v>185</v>
      </c>
      <c r="C138" s="6">
        <v>82</v>
      </c>
      <c r="D138" s="6" t="s">
        <v>186</v>
      </c>
      <c r="E138" s="6" t="s">
        <v>186</v>
      </c>
      <c r="F138" s="6" t="s">
        <v>186</v>
      </c>
      <c r="G138" s="6" t="s">
        <v>187</v>
      </c>
      <c r="H138" s="47" t="s">
        <v>450</v>
      </c>
      <c r="I138" s="122" t="s">
        <v>451</v>
      </c>
    </row>
    <row r="139" spans="1:9" x14ac:dyDescent="0.2">
      <c r="A139" s="6">
        <v>133</v>
      </c>
      <c r="B139" s="6" t="s">
        <v>185</v>
      </c>
      <c r="C139" s="6">
        <v>83</v>
      </c>
      <c r="D139" s="6" t="s">
        <v>186</v>
      </c>
      <c r="E139" s="6" t="s">
        <v>186</v>
      </c>
      <c r="F139" s="6" t="s">
        <v>186</v>
      </c>
      <c r="G139" s="6" t="s">
        <v>187</v>
      </c>
      <c r="H139" s="47" t="s">
        <v>452</v>
      </c>
      <c r="I139" s="122" t="s">
        <v>453</v>
      </c>
    </row>
    <row r="140" spans="1:9" x14ac:dyDescent="0.2">
      <c r="A140" s="6">
        <v>134</v>
      </c>
      <c r="B140" s="6" t="s">
        <v>185</v>
      </c>
      <c r="C140" s="6">
        <v>84</v>
      </c>
      <c r="D140" s="6" t="s">
        <v>186</v>
      </c>
      <c r="E140" s="6" t="s">
        <v>186</v>
      </c>
      <c r="F140" s="6" t="s">
        <v>186</v>
      </c>
      <c r="G140" s="6" t="s">
        <v>187</v>
      </c>
      <c r="H140" s="47" t="s">
        <v>454</v>
      </c>
      <c r="I140" s="122" t="s">
        <v>455</v>
      </c>
    </row>
    <row r="141" spans="1:9" x14ac:dyDescent="0.2">
      <c r="A141" s="6">
        <v>135</v>
      </c>
      <c r="B141" s="6" t="s">
        <v>185</v>
      </c>
      <c r="C141" s="6">
        <v>85</v>
      </c>
      <c r="D141" s="6" t="s">
        <v>186</v>
      </c>
      <c r="E141" s="6" t="s">
        <v>186</v>
      </c>
      <c r="F141" s="6" t="s">
        <v>186</v>
      </c>
      <c r="G141" s="6" t="s">
        <v>187</v>
      </c>
      <c r="H141" s="47" t="s">
        <v>456</v>
      </c>
      <c r="I141" s="122" t="s">
        <v>457</v>
      </c>
    </row>
    <row r="142" spans="1:9" x14ac:dyDescent="0.2">
      <c r="A142" s="6">
        <v>136</v>
      </c>
      <c r="B142" s="6" t="s">
        <v>185</v>
      </c>
      <c r="C142" s="6">
        <v>86</v>
      </c>
      <c r="D142" s="6" t="s">
        <v>186</v>
      </c>
      <c r="E142" s="6" t="s">
        <v>186</v>
      </c>
      <c r="F142" s="6" t="s">
        <v>186</v>
      </c>
      <c r="G142" s="6" t="s">
        <v>187</v>
      </c>
      <c r="H142" s="47" t="s">
        <v>458</v>
      </c>
      <c r="I142" s="122" t="s">
        <v>459</v>
      </c>
    </row>
    <row r="143" spans="1:9" x14ac:dyDescent="0.2">
      <c r="A143" s="6">
        <v>137</v>
      </c>
      <c r="B143" s="6" t="s">
        <v>185</v>
      </c>
      <c r="C143" s="6">
        <v>87</v>
      </c>
      <c r="D143" s="6" t="s">
        <v>186</v>
      </c>
      <c r="E143" s="6" t="s">
        <v>186</v>
      </c>
      <c r="F143" s="6" t="s">
        <v>186</v>
      </c>
      <c r="G143" s="6" t="s">
        <v>187</v>
      </c>
      <c r="H143" s="47" t="s">
        <v>460</v>
      </c>
      <c r="I143" s="122" t="s">
        <v>461</v>
      </c>
    </row>
    <row r="144" spans="1:9" x14ac:dyDescent="0.2">
      <c r="A144" s="6">
        <v>138</v>
      </c>
      <c r="B144" s="6" t="s">
        <v>185</v>
      </c>
      <c r="C144" s="6">
        <v>88</v>
      </c>
      <c r="D144" s="6" t="s">
        <v>186</v>
      </c>
      <c r="E144" s="6" t="s">
        <v>186</v>
      </c>
      <c r="F144" s="6" t="s">
        <v>186</v>
      </c>
      <c r="G144" s="6" t="s">
        <v>187</v>
      </c>
      <c r="H144" s="47" t="s">
        <v>462</v>
      </c>
      <c r="I144" s="122" t="s">
        <v>463</v>
      </c>
    </row>
    <row r="145" spans="1:9" x14ac:dyDescent="0.2">
      <c r="A145" s="6">
        <v>139</v>
      </c>
      <c r="B145" s="6" t="s">
        <v>185</v>
      </c>
      <c r="C145" s="6">
        <v>89</v>
      </c>
      <c r="D145" s="6" t="s">
        <v>186</v>
      </c>
      <c r="E145" s="6" t="s">
        <v>186</v>
      </c>
      <c r="F145" s="6" t="s">
        <v>186</v>
      </c>
      <c r="G145" s="6" t="s">
        <v>187</v>
      </c>
      <c r="H145" s="47" t="s">
        <v>464</v>
      </c>
      <c r="I145" s="122" t="s">
        <v>465</v>
      </c>
    </row>
    <row r="146" spans="1:9" x14ac:dyDescent="0.2">
      <c r="A146" s="6">
        <v>140</v>
      </c>
      <c r="B146" s="6" t="s">
        <v>185</v>
      </c>
      <c r="C146" s="6">
        <v>90</v>
      </c>
      <c r="D146" s="6" t="s">
        <v>186</v>
      </c>
      <c r="E146" s="6" t="s">
        <v>186</v>
      </c>
      <c r="F146" s="6" t="s">
        <v>186</v>
      </c>
      <c r="G146" s="6" t="s">
        <v>187</v>
      </c>
      <c r="H146" s="47" t="s">
        <v>466</v>
      </c>
      <c r="I146" s="122" t="s">
        <v>467</v>
      </c>
    </row>
    <row r="147" spans="1:9" x14ac:dyDescent="0.2">
      <c r="A147" s="6">
        <v>141</v>
      </c>
      <c r="B147" s="6" t="s">
        <v>185</v>
      </c>
      <c r="C147" s="6">
        <v>91</v>
      </c>
      <c r="D147" s="6" t="s">
        <v>186</v>
      </c>
      <c r="E147" s="6" t="s">
        <v>186</v>
      </c>
      <c r="F147" s="6" t="s">
        <v>186</v>
      </c>
      <c r="G147" s="6" t="s">
        <v>187</v>
      </c>
      <c r="H147" s="47" t="s">
        <v>468</v>
      </c>
      <c r="I147" s="122" t="s">
        <v>469</v>
      </c>
    </row>
    <row r="148" spans="1:9" x14ac:dyDescent="0.2">
      <c r="A148" s="6">
        <v>142</v>
      </c>
      <c r="B148" s="6" t="s">
        <v>185</v>
      </c>
      <c r="C148" s="6">
        <v>92</v>
      </c>
      <c r="D148" s="6" t="s">
        <v>186</v>
      </c>
      <c r="E148" s="6" t="s">
        <v>186</v>
      </c>
      <c r="F148" s="6" t="s">
        <v>186</v>
      </c>
      <c r="G148" s="6" t="s">
        <v>187</v>
      </c>
      <c r="H148" s="47" t="s">
        <v>470</v>
      </c>
      <c r="I148" s="122" t="s">
        <v>471</v>
      </c>
    </row>
    <row r="149" spans="1:9" x14ac:dyDescent="0.2">
      <c r="A149" s="6">
        <v>143</v>
      </c>
      <c r="B149" s="6" t="s">
        <v>185</v>
      </c>
      <c r="C149" s="6">
        <v>93</v>
      </c>
      <c r="D149" s="6" t="s">
        <v>186</v>
      </c>
      <c r="E149" s="6" t="s">
        <v>186</v>
      </c>
      <c r="F149" s="6" t="s">
        <v>186</v>
      </c>
      <c r="G149" s="6" t="s">
        <v>187</v>
      </c>
      <c r="H149" s="47" t="s">
        <v>472</v>
      </c>
      <c r="I149" s="122" t="s">
        <v>473</v>
      </c>
    </row>
    <row r="150" spans="1:9" x14ac:dyDescent="0.2">
      <c r="A150" s="6">
        <v>144</v>
      </c>
      <c r="B150" s="6" t="s">
        <v>185</v>
      </c>
      <c r="C150" s="6">
        <v>94</v>
      </c>
      <c r="D150" s="6" t="s">
        <v>186</v>
      </c>
      <c r="E150" s="6" t="s">
        <v>186</v>
      </c>
      <c r="F150" s="6" t="s">
        <v>186</v>
      </c>
      <c r="G150" s="6" t="s">
        <v>187</v>
      </c>
      <c r="H150" s="47" t="s">
        <v>474</v>
      </c>
      <c r="I150" s="122" t="s">
        <v>475</v>
      </c>
    </row>
    <row r="151" spans="1:9" x14ac:dyDescent="0.2">
      <c r="A151" s="6">
        <v>145</v>
      </c>
      <c r="B151" s="6" t="s">
        <v>185</v>
      </c>
      <c r="C151" s="6">
        <v>95</v>
      </c>
      <c r="D151" s="6" t="s">
        <v>186</v>
      </c>
      <c r="E151" s="6" t="s">
        <v>186</v>
      </c>
      <c r="F151" s="6" t="s">
        <v>186</v>
      </c>
      <c r="G151" s="6" t="s">
        <v>187</v>
      </c>
      <c r="H151" s="47" t="s">
        <v>476</v>
      </c>
      <c r="I151" s="122" t="s">
        <v>477</v>
      </c>
    </row>
    <row r="152" spans="1:9" x14ac:dyDescent="0.2">
      <c r="A152" s="6">
        <v>146</v>
      </c>
      <c r="B152" s="6" t="s">
        <v>185</v>
      </c>
      <c r="C152" s="6">
        <v>96</v>
      </c>
      <c r="D152" s="6" t="s">
        <v>186</v>
      </c>
      <c r="E152" s="6" t="s">
        <v>186</v>
      </c>
      <c r="F152" s="6" t="s">
        <v>186</v>
      </c>
      <c r="G152" s="6" t="s">
        <v>187</v>
      </c>
      <c r="H152" s="47" t="s">
        <v>478</v>
      </c>
      <c r="I152" s="122" t="s">
        <v>479</v>
      </c>
    </row>
    <row r="153" spans="1:9" x14ac:dyDescent="0.2">
      <c r="A153" s="6">
        <v>147</v>
      </c>
      <c r="B153" s="6" t="s">
        <v>185</v>
      </c>
      <c r="C153" s="6">
        <v>97</v>
      </c>
      <c r="D153" s="6" t="s">
        <v>186</v>
      </c>
      <c r="E153" s="6" t="s">
        <v>186</v>
      </c>
      <c r="F153" s="6" t="s">
        <v>186</v>
      </c>
      <c r="G153" s="6" t="s">
        <v>187</v>
      </c>
      <c r="H153" s="47" t="s">
        <v>480</v>
      </c>
      <c r="I153" s="122" t="s">
        <v>481</v>
      </c>
    </row>
    <row r="154" spans="1:9" x14ac:dyDescent="0.2">
      <c r="A154" s="6">
        <v>148</v>
      </c>
      <c r="B154" s="6" t="s">
        <v>185</v>
      </c>
      <c r="C154" s="6">
        <v>98</v>
      </c>
      <c r="D154" s="6" t="s">
        <v>186</v>
      </c>
      <c r="E154" s="6" t="s">
        <v>186</v>
      </c>
      <c r="F154" s="6" t="s">
        <v>186</v>
      </c>
      <c r="G154" s="6" t="s">
        <v>187</v>
      </c>
      <c r="H154" s="47" t="s">
        <v>482</v>
      </c>
      <c r="I154" s="122" t="s">
        <v>483</v>
      </c>
    </row>
    <row r="155" spans="1:9" x14ac:dyDescent="0.2">
      <c r="A155" s="6">
        <v>149</v>
      </c>
      <c r="B155" s="6" t="s">
        <v>185</v>
      </c>
      <c r="C155" s="6">
        <v>99</v>
      </c>
      <c r="D155" s="6" t="s">
        <v>186</v>
      </c>
      <c r="E155" s="6" t="s">
        <v>186</v>
      </c>
      <c r="F155" s="6" t="s">
        <v>186</v>
      </c>
      <c r="G155" s="6" t="s">
        <v>187</v>
      </c>
      <c r="H155" s="47" t="s">
        <v>484</v>
      </c>
      <c r="I155" s="122" t="s">
        <v>485</v>
      </c>
    </row>
    <row r="156" spans="1:9" x14ac:dyDescent="0.2">
      <c r="A156" s="6">
        <v>150</v>
      </c>
      <c r="B156" s="6" t="s">
        <v>185</v>
      </c>
      <c r="C156" s="6">
        <v>100</v>
      </c>
      <c r="D156" s="6" t="s">
        <v>186</v>
      </c>
      <c r="E156" s="6" t="s">
        <v>186</v>
      </c>
      <c r="F156" s="6" t="s">
        <v>186</v>
      </c>
      <c r="G156" s="6" t="s">
        <v>187</v>
      </c>
      <c r="H156" s="47" t="s">
        <v>486</v>
      </c>
      <c r="I156" s="122" t="s">
        <v>487</v>
      </c>
    </row>
    <row r="157" spans="1:9" x14ac:dyDescent="0.2">
      <c r="A157" s="6">
        <v>151</v>
      </c>
      <c r="B157" s="6" t="s">
        <v>185</v>
      </c>
      <c r="C157" s="6">
        <v>101</v>
      </c>
      <c r="D157" s="6" t="s">
        <v>186</v>
      </c>
      <c r="E157" s="6" t="s">
        <v>186</v>
      </c>
      <c r="F157" s="6" t="s">
        <v>186</v>
      </c>
      <c r="G157" s="6" t="s">
        <v>187</v>
      </c>
      <c r="H157" s="47" t="s">
        <v>488</v>
      </c>
      <c r="I157" s="122" t="s">
        <v>489</v>
      </c>
    </row>
    <row r="158" spans="1:9" x14ac:dyDescent="0.2">
      <c r="A158" s="6">
        <v>152</v>
      </c>
      <c r="B158" s="6" t="s">
        <v>185</v>
      </c>
      <c r="C158" s="6">
        <v>102</v>
      </c>
      <c r="D158" s="6" t="s">
        <v>186</v>
      </c>
      <c r="E158" s="6" t="s">
        <v>186</v>
      </c>
      <c r="F158" s="6" t="s">
        <v>186</v>
      </c>
      <c r="G158" s="6" t="s">
        <v>187</v>
      </c>
      <c r="H158" s="47" t="s">
        <v>490</v>
      </c>
      <c r="I158" s="122" t="s">
        <v>491</v>
      </c>
    </row>
    <row r="159" spans="1:9" x14ac:dyDescent="0.2">
      <c r="A159" s="6">
        <v>153</v>
      </c>
      <c r="B159" s="6" t="s">
        <v>185</v>
      </c>
      <c r="C159" s="6">
        <v>103</v>
      </c>
      <c r="D159" s="6" t="s">
        <v>186</v>
      </c>
      <c r="E159" s="6" t="s">
        <v>186</v>
      </c>
      <c r="F159" s="6" t="s">
        <v>186</v>
      </c>
      <c r="G159" s="6" t="s">
        <v>187</v>
      </c>
      <c r="H159" s="47" t="s">
        <v>492</v>
      </c>
      <c r="I159" s="122" t="s">
        <v>493</v>
      </c>
    </row>
    <row r="160" spans="1:9" x14ac:dyDescent="0.2">
      <c r="A160" s="6">
        <v>154</v>
      </c>
      <c r="B160" s="6" t="s">
        <v>185</v>
      </c>
      <c r="C160" s="6">
        <v>104</v>
      </c>
      <c r="D160" s="6" t="s">
        <v>186</v>
      </c>
      <c r="E160" s="6" t="s">
        <v>186</v>
      </c>
      <c r="F160" s="6" t="s">
        <v>186</v>
      </c>
      <c r="G160" s="6" t="s">
        <v>187</v>
      </c>
      <c r="H160" s="47" t="s">
        <v>494</v>
      </c>
      <c r="I160" s="122" t="s">
        <v>495</v>
      </c>
    </row>
    <row r="161" spans="1:9" x14ac:dyDescent="0.2">
      <c r="A161" s="6">
        <v>155</v>
      </c>
      <c r="B161" s="6" t="s">
        <v>185</v>
      </c>
      <c r="C161" s="6">
        <v>105</v>
      </c>
      <c r="D161" s="6" t="s">
        <v>186</v>
      </c>
      <c r="E161" s="6" t="s">
        <v>186</v>
      </c>
      <c r="F161" s="6" t="s">
        <v>186</v>
      </c>
      <c r="G161" s="6" t="s">
        <v>187</v>
      </c>
      <c r="H161" s="47" t="s">
        <v>496</v>
      </c>
      <c r="I161" s="122" t="s">
        <v>497</v>
      </c>
    </row>
    <row r="162" spans="1:9" x14ac:dyDescent="0.2">
      <c r="A162" s="6">
        <v>156</v>
      </c>
      <c r="B162" s="6" t="s">
        <v>185</v>
      </c>
      <c r="C162" s="6">
        <v>106</v>
      </c>
      <c r="D162" s="6" t="s">
        <v>186</v>
      </c>
      <c r="E162" s="6" t="s">
        <v>186</v>
      </c>
      <c r="F162" s="6" t="s">
        <v>186</v>
      </c>
      <c r="G162" s="6" t="s">
        <v>187</v>
      </c>
      <c r="H162" s="47" t="s">
        <v>498</v>
      </c>
      <c r="I162" s="122" t="s">
        <v>499</v>
      </c>
    </row>
    <row r="163" spans="1:9" x14ac:dyDescent="0.2">
      <c r="A163" s="6">
        <v>157</v>
      </c>
      <c r="B163" s="6" t="s">
        <v>185</v>
      </c>
      <c r="C163" s="6">
        <v>107</v>
      </c>
      <c r="D163" s="6" t="s">
        <v>186</v>
      </c>
      <c r="E163" s="6" t="s">
        <v>186</v>
      </c>
      <c r="F163" s="6" t="s">
        <v>186</v>
      </c>
      <c r="G163" s="6" t="s">
        <v>187</v>
      </c>
      <c r="H163" s="47" t="s">
        <v>500</v>
      </c>
      <c r="I163" s="122" t="s">
        <v>501</v>
      </c>
    </row>
    <row r="164" spans="1:9" x14ac:dyDescent="0.2">
      <c r="A164" s="6">
        <v>158</v>
      </c>
      <c r="B164" s="6" t="s">
        <v>185</v>
      </c>
      <c r="C164" s="6">
        <v>108</v>
      </c>
      <c r="D164" s="6" t="s">
        <v>186</v>
      </c>
      <c r="E164" s="6" t="s">
        <v>186</v>
      </c>
      <c r="F164" s="6" t="s">
        <v>186</v>
      </c>
      <c r="G164" s="6" t="s">
        <v>187</v>
      </c>
      <c r="H164" s="47" t="s">
        <v>502</v>
      </c>
      <c r="I164" s="122" t="s">
        <v>503</v>
      </c>
    </row>
    <row r="165" spans="1:9" x14ac:dyDescent="0.2">
      <c r="A165" s="6">
        <v>159</v>
      </c>
      <c r="B165" s="6" t="s">
        <v>185</v>
      </c>
      <c r="C165" s="6">
        <v>109</v>
      </c>
      <c r="D165" s="6" t="s">
        <v>186</v>
      </c>
      <c r="E165" s="6" t="s">
        <v>186</v>
      </c>
      <c r="F165" s="6" t="s">
        <v>186</v>
      </c>
      <c r="G165" s="6" t="s">
        <v>187</v>
      </c>
      <c r="H165" s="47" t="s">
        <v>504</v>
      </c>
      <c r="I165" s="122" t="s">
        <v>505</v>
      </c>
    </row>
    <row r="166" spans="1:9" x14ac:dyDescent="0.2">
      <c r="A166" s="6">
        <v>160</v>
      </c>
      <c r="B166" s="6" t="s">
        <v>185</v>
      </c>
      <c r="C166" s="6">
        <v>110</v>
      </c>
      <c r="D166" s="6" t="s">
        <v>186</v>
      </c>
      <c r="E166" s="6" t="s">
        <v>186</v>
      </c>
      <c r="F166" s="6" t="s">
        <v>186</v>
      </c>
      <c r="G166" s="6" t="s">
        <v>187</v>
      </c>
      <c r="H166" s="47" t="s">
        <v>506</v>
      </c>
      <c r="I166" s="122" t="s">
        <v>507</v>
      </c>
    </row>
    <row r="167" spans="1:9" x14ac:dyDescent="0.2">
      <c r="A167" s="6">
        <v>161</v>
      </c>
      <c r="B167" s="6" t="s">
        <v>185</v>
      </c>
      <c r="C167" s="6">
        <v>111</v>
      </c>
      <c r="D167" s="6" t="s">
        <v>186</v>
      </c>
      <c r="E167" s="6" t="s">
        <v>186</v>
      </c>
      <c r="F167" s="6" t="s">
        <v>186</v>
      </c>
      <c r="G167" s="6" t="s">
        <v>187</v>
      </c>
      <c r="H167" s="47" t="s">
        <v>508</v>
      </c>
      <c r="I167" s="122" t="s">
        <v>509</v>
      </c>
    </row>
    <row r="168" spans="1:9" x14ac:dyDescent="0.2">
      <c r="A168" s="6">
        <v>162</v>
      </c>
      <c r="B168" s="6" t="s">
        <v>185</v>
      </c>
      <c r="C168" s="6">
        <v>112</v>
      </c>
      <c r="D168" s="6" t="s">
        <v>186</v>
      </c>
      <c r="E168" s="6" t="s">
        <v>186</v>
      </c>
      <c r="F168" s="6" t="s">
        <v>186</v>
      </c>
      <c r="G168" s="6" t="s">
        <v>187</v>
      </c>
      <c r="H168" s="47" t="s">
        <v>510</v>
      </c>
      <c r="I168" s="122" t="s">
        <v>511</v>
      </c>
    </row>
    <row r="169" spans="1:9" x14ac:dyDescent="0.2">
      <c r="A169" s="6">
        <v>163</v>
      </c>
      <c r="B169" s="6" t="s">
        <v>185</v>
      </c>
      <c r="C169" s="6">
        <v>113</v>
      </c>
      <c r="D169" s="6" t="s">
        <v>186</v>
      </c>
      <c r="E169" s="6" t="s">
        <v>186</v>
      </c>
      <c r="F169" s="6" t="s">
        <v>186</v>
      </c>
      <c r="G169" s="6" t="s">
        <v>187</v>
      </c>
      <c r="H169" s="47" t="s">
        <v>512</v>
      </c>
      <c r="I169" s="122" t="s">
        <v>513</v>
      </c>
    </row>
    <row r="170" spans="1:9" x14ac:dyDescent="0.2">
      <c r="A170" s="6">
        <v>164</v>
      </c>
      <c r="B170" s="6" t="s">
        <v>185</v>
      </c>
      <c r="C170" s="6">
        <v>114</v>
      </c>
      <c r="D170" s="6" t="s">
        <v>186</v>
      </c>
      <c r="E170" s="6" t="s">
        <v>186</v>
      </c>
      <c r="F170" s="6" t="s">
        <v>186</v>
      </c>
      <c r="G170" s="6" t="s">
        <v>187</v>
      </c>
      <c r="H170" s="47" t="s">
        <v>514</v>
      </c>
      <c r="I170" s="122" t="s">
        <v>515</v>
      </c>
    </row>
    <row r="171" spans="1:9" x14ac:dyDescent="0.2">
      <c r="A171" s="6">
        <v>165</v>
      </c>
      <c r="B171" s="6" t="s">
        <v>185</v>
      </c>
      <c r="C171" s="6">
        <v>115</v>
      </c>
      <c r="D171" s="6" t="s">
        <v>186</v>
      </c>
      <c r="E171" s="6" t="s">
        <v>186</v>
      </c>
      <c r="F171" s="6" t="s">
        <v>186</v>
      </c>
      <c r="G171" s="6" t="s">
        <v>187</v>
      </c>
      <c r="H171" s="47" t="s">
        <v>516</v>
      </c>
      <c r="I171" s="122" t="s">
        <v>517</v>
      </c>
    </row>
    <row r="172" spans="1:9" x14ac:dyDescent="0.2">
      <c r="A172" s="6">
        <v>166</v>
      </c>
      <c r="B172" s="6" t="s">
        <v>185</v>
      </c>
      <c r="C172" s="6">
        <v>116</v>
      </c>
      <c r="D172" s="6" t="s">
        <v>186</v>
      </c>
      <c r="E172" s="6" t="s">
        <v>186</v>
      </c>
      <c r="F172" s="6" t="s">
        <v>186</v>
      </c>
      <c r="G172" s="6" t="s">
        <v>187</v>
      </c>
      <c r="H172" s="47" t="s">
        <v>518</v>
      </c>
      <c r="I172" s="122" t="s">
        <v>519</v>
      </c>
    </row>
    <row r="173" spans="1:9" x14ac:dyDescent="0.2">
      <c r="A173" s="6">
        <v>167</v>
      </c>
      <c r="B173" s="6" t="s">
        <v>185</v>
      </c>
      <c r="C173" s="6">
        <v>117</v>
      </c>
      <c r="D173" s="6" t="s">
        <v>186</v>
      </c>
      <c r="E173" s="6" t="s">
        <v>186</v>
      </c>
      <c r="F173" s="6" t="s">
        <v>186</v>
      </c>
      <c r="G173" s="6" t="s">
        <v>187</v>
      </c>
      <c r="H173" s="47" t="s">
        <v>520</v>
      </c>
      <c r="I173" s="122" t="s">
        <v>521</v>
      </c>
    </row>
    <row r="174" spans="1:9" x14ac:dyDescent="0.2">
      <c r="A174" s="6">
        <v>168</v>
      </c>
      <c r="B174" s="6" t="s">
        <v>185</v>
      </c>
      <c r="C174" s="6">
        <v>118</v>
      </c>
      <c r="D174" s="6" t="s">
        <v>186</v>
      </c>
      <c r="E174" s="6" t="s">
        <v>186</v>
      </c>
      <c r="F174" s="6" t="s">
        <v>186</v>
      </c>
      <c r="G174" s="6" t="s">
        <v>187</v>
      </c>
      <c r="H174" s="47" t="s">
        <v>522</v>
      </c>
      <c r="I174" s="122" t="s">
        <v>523</v>
      </c>
    </row>
    <row r="175" spans="1:9" x14ac:dyDescent="0.2">
      <c r="A175" s="6">
        <v>169</v>
      </c>
      <c r="B175" s="6" t="s">
        <v>185</v>
      </c>
      <c r="C175" s="6">
        <v>119</v>
      </c>
      <c r="D175" s="6" t="s">
        <v>186</v>
      </c>
      <c r="E175" s="6" t="s">
        <v>186</v>
      </c>
      <c r="F175" s="6" t="s">
        <v>186</v>
      </c>
      <c r="G175" s="6" t="s">
        <v>187</v>
      </c>
      <c r="H175" s="47" t="s">
        <v>524</v>
      </c>
      <c r="I175" s="122" t="s">
        <v>525</v>
      </c>
    </row>
    <row r="176" spans="1:9" x14ac:dyDescent="0.2">
      <c r="A176" s="6">
        <v>170</v>
      </c>
      <c r="B176" s="6" t="s">
        <v>185</v>
      </c>
      <c r="C176" s="6">
        <v>120</v>
      </c>
      <c r="D176" s="6" t="s">
        <v>186</v>
      </c>
      <c r="E176" s="6" t="s">
        <v>186</v>
      </c>
      <c r="F176" s="6" t="s">
        <v>186</v>
      </c>
      <c r="G176" s="6" t="s">
        <v>187</v>
      </c>
      <c r="H176" s="47" t="s">
        <v>526</v>
      </c>
      <c r="I176" s="122" t="s">
        <v>527</v>
      </c>
    </row>
    <row r="177" spans="1:9" x14ac:dyDescent="0.2">
      <c r="A177" s="6">
        <v>171</v>
      </c>
      <c r="B177" s="6" t="s">
        <v>185</v>
      </c>
      <c r="C177" s="6">
        <v>121</v>
      </c>
      <c r="D177" s="6" t="s">
        <v>186</v>
      </c>
      <c r="E177" s="6" t="s">
        <v>186</v>
      </c>
      <c r="F177" s="6" t="s">
        <v>186</v>
      </c>
      <c r="G177" s="6" t="s">
        <v>187</v>
      </c>
      <c r="H177" s="47" t="s">
        <v>528</v>
      </c>
      <c r="I177" s="122" t="s">
        <v>529</v>
      </c>
    </row>
    <row r="178" spans="1:9" x14ac:dyDescent="0.2">
      <c r="A178" s="6">
        <v>172</v>
      </c>
      <c r="B178" s="6" t="s">
        <v>185</v>
      </c>
      <c r="C178" s="6">
        <v>122</v>
      </c>
      <c r="D178" s="6" t="s">
        <v>186</v>
      </c>
      <c r="E178" s="6" t="s">
        <v>186</v>
      </c>
      <c r="F178" s="6" t="s">
        <v>186</v>
      </c>
      <c r="G178" s="6" t="s">
        <v>187</v>
      </c>
      <c r="H178" s="47" t="s">
        <v>530</v>
      </c>
      <c r="I178" s="122" t="s">
        <v>531</v>
      </c>
    </row>
    <row r="179" spans="1:9" x14ac:dyDescent="0.2">
      <c r="A179" s="6">
        <v>173</v>
      </c>
      <c r="B179" s="6" t="s">
        <v>185</v>
      </c>
      <c r="C179" s="6">
        <v>123</v>
      </c>
      <c r="D179" s="6" t="s">
        <v>186</v>
      </c>
      <c r="E179" s="6" t="s">
        <v>186</v>
      </c>
      <c r="F179" s="6" t="s">
        <v>186</v>
      </c>
      <c r="G179" s="6" t="s">
        <v>187</v>
      </c>
      <c r="H179" s="47" t="s">
        <v>532</v>
      </c>
      <c r="I179" s="122" t="s">
        <v>533</v>
      </c>
    </row>
    <row r="180" spans="1:9" x14ac:dyDescent="0.2">
      <c r="A180" s="6">
        <v>174</v>
      </c>
      <c r="B180" s="6" t="s">
        <v>185</v>
      </c>
      <c r="C180" s="6">
        <v>124</v>
      </c>
      <c r="D180" s="6" t="s">
        <v>186</v>
      </c>
      <c r="E180" s="6" t="s">
        <v>186</v>
      </c>
      <c r="F180" s="6" t="s">
        <v>186</v>
      </c>
      <c r="G180" s="6" t="s">
        <v>187</v>
      </c>
      <c r="H180" s="47" t="s">
        <v>534</v>
      </c>
      <c r="I180" s="122" t="s">
        <v>535</v>
      </c>
    </row>
    <row r="181" spans="1:9" x14ac:dyDescent="0.2">
      <c r="A181" s="6">
        <v>175</v>
      </c>
      <c r="B181" s="6" t="s">
        <v>185</v>
      </c>
      <c r="C181" s="6">
        <v>125</v>
      </c>
      <c r="D181" s="6" t="s">
        <v>186</v>
      </c>
      <c r="E181" s="6" t="s">
        <v>186</v>
      </c>
      <c r="F181" s="6" t="s">
        <v>186</v>
      </c>
      <c r="G181" s="6" t="s">
        <v>187</v>
      </c>
      <c r="H181" s="47" t="s">
        <v>536</v>
      </c>
      <c r="I181" s="122" t="s">
        <v>537</v>
      </c>
    </row>
    <row r="182" spans="1:9" x14ac:dyDescent="0.2">
      <c r="A182" s="6">
        <v>176</v>
      </c>
      <c r="B182" s="6" t="s">
        <v>185</v>
      </c>
      <c r="C182" s="6">
        <v>126</v>
      </c>
      <c r="D182" s="6" t="s">
        <v>186</v>
      </c>
      <c r="E182" s="6" t="s">
        <v>186</v>
      </c>
      <c r="F182" s="6" t="s">
        <v>186</v>
      </c>
      <c r="G182" s="6" t="s">
        <v>187</v>
      </c>
      <c r="H182" s="47" t="s">
        <v>538</v>
      </c>
      <c r="I182" s="122" t="s">
        <v>539</v>
      </c>
    </row>
    <row r="183" spans="1:9" x14ac:dyDescent="0.2">
      <c r="A183" s="6">
        <v>177</v>
      </c>
      <c r="B183" s="6" t="s">
        <v>185</v>
      </c>
      <c r="C183" s="6">
        <v>127</v>
      </c>
      <c r="D183" s="6" t="s">
        <v>186</v>
      </c>
      <c r="E183" s="6" t="s">
        <v>186</v>
      </c>
      <c r="F183" s="6" t="s">
        <v>186</v>
      </c>
      <c r="G183" s="6" t="s">
        <v>187</v>
      </c>
      <c r="H183" s="47" t="s">
        <v>540</v>
      </c>
      <c r="I183" s="122" t="s">
        <v>541</v>
      </c>
    </row>
    <row r="184" spans="1:9" x14ac:dyDescent="0.2">
      <c r="A184" s="6">
        <v>178</v>
      </c>
      <c r="B184" s="6" t="s">
        <v>185</v>
      </c>
      <c r="C184" s="6">
        <v>128</v>
      </c>
      <c r="D184" s="6" t="s">
        <v>186</v>
      </c>
      <c r="E184" s="6" t="s">
        <v>186</v>
      </c>
      <c r="F184" s="6" t="s">
        <v>186</v>
      </c>
      <c r="G184" s="6" t="s">
        <v>187</v>
      </c>
      <c r="H184" s="47" t="s">
        <v>542</v>
      </c>
      <c r="I184" s="122" t="s">
        <v>543</v>
      </c>
    </row>
    <row r="185" spans="1:9" x14ac:dyDescent="0.2">
      <c r="A185" s="6">
        <v>179</v>
      </c>
      <c r="B185" s="6" t="s">
        <v>185</v>
      </c>
      <c r="C185" s="6">
        <v>129</v>
      </c>
      <c r="D185" s="6" t="s">
        <v>186</v>
      </c>
      <c r="E185" s="6" t="s">
        <v>186</v>
      </c>
      <c r="F185" s="6" t="s">
        <v>186</v>
      </c>
      <c r="G185" s="6" t="s">
        <v>187</v>
      </c>
      <c r="H185" s="47" t="s">
        <v>544</v>
      </c>
      <c r="I185" s="122" t="s">
        <v>545</v>
      </c>
    </row>
    <row r="186" spans="1:9" x14ac:dyDescent="0.2">
      <c r="A186" s="6">
        <v>180</v>
      </c>
      <c r="B186" s="6" t="s">
        <v>185</v>
      </c>
      <c r="C186" s="6">
        <v>130</v>
      </c>
      <c r="D186" s="6" t="s">
        <v>186</v>
      </c>
      <c r="E186" s="6" t="s">
        <v>186</v>
      </c>
      <c r="F186" s="6" t="s">
        <v>186</v>
      </c>
      <c r="G186" s="6" t="s">
        <v>187</v>
      </c>
      <c r="H186" s="47" t="s">
        <v>546</v>
      </c>
      <c r="I186" s="122" t="s">
        <v>547</v>
      </c>
    </row>
    <row r="187" spans="1:9" x14ac:dyDescent="0.2">
      <c r="A187" s="6">
        <v>181</v>
      </c>
      <c r="B187" s="6" t="s">
        <v>185</v>
      </c>
      <c r="C187" s="6">
        <v>131</v>
      </c>
      <c r="D187" s="6" t="s">
        <v>186</v>
      </c>
      <c r="E187" s="6" t="s">
        <v>186</v>
      </c>
      <c r="F187" s="6" t="s">
        <v>186</v>
      </c>
      <c r="G187" s="6" t="s">
        <v>187</v>
      </c>
      <c r="H187" s="47" t="s">
        <v>548</v>
      </c>
      <c r="I187" s="122" t="s">
        <v>549</v>
      </c>
    </row>
    <row r="188" spans="1:9" x14ac:dyDescent="0.2">
      <c r="A188" s="6">
        <v>182</v>
      </c>
      <c r="B188" s="6" t="s">
        <v>185</v>
      </c>
      <c r="C188" s="6">
        <v>132</v>
      </c>
      <c r="D188" s="6" t="s">
        <v>186</v>
      </c>
      <c r="E188" s="6" t="s">
        <v>186</v>
      </c>
      <c r="F188" s="6" t="s">
        <v>186</v>
      </c>
      <c r="G188" s="6" t="s">
        <v>187</v>
      </c>
      <c r="H188" s="47" t="s">
        <v>550</v>
      </c>
      <c r="I188" s="122" t="s">
        <v>551</v>
      </c>
    </row>
    <row r="189" spans="1:9" x14ac:dyDescent="0.2">
      <c r="A189" s="6">
        <v>183</v>
      </c>
      <c r="B189" s="6" t="s">
        <v>185</v>
      </c>
      <c r="C189" s="6">
        <v>133</v>
      </c>
      <c r="D189" s="6" t="s">
        <v>186</v>
      </c>
      <c r="E189" s="6" t="s">
        <v>186</v>
      </c>
      <c r="F189" s="6" t="s">
        <v>186</v>
      </c>
      <c r="G189" s="6" t="s">
        <v>187</v>
      </c>
      <c r="H189" s="47" t="s">
        <v>552</v>
      </c>
      <c r="I189" s="122" t="s">
        <v>553</v>
      </c>
    </row>
    <row r="190" spans="1:9" x14ac:dyDescent="0.2">
      <c r="A190" s="6">
        <v>184</v>
      </c>
      <c r="B190" s="6" t="s">
        <v>185</v>
      </c>
      <c r="C190" s="6">
        <v>134</v>
      </c>
      <c r="D190" s="6" t="s">
        <v>186</v>
      </c>
      <c r="E190" s="6" t="s">
        <v>186</v>
      </c>
      <c r="F190" s="6" t="s">
        <v>186</v>
      </c>
      <c r="G190" s="6" t="s">
        <v>187</v>
      </c>
      <c r="H190" s="47" t="s">
        <v>554</v>
      </c>
      <c r="I190" s="122" t="s">
        <v>555</v>
      </c>
    </row>
    <row r="191" spans="1:9" x14ac:dyDescent="0.2">
      <c r="A191" s="6">
        <v>185</v>
      </c>
      <c r="B191" s="6" t="s">
        <v>185</v>
      </c>
      <c r="C191" s="6">
        <v>135</v>
      </c>
      <c r="D191" s="6" t="s">
        <v>186</v>
      </c>
      <c r="E191" s="6" t="s">
        <v>186</v>
      </c>
      <c r="F191" s="6" t="s">
        <v>186</v>
      </c>
      <c r="G191" s="6" t="s">
        <v>187</v>
      </c>
      <c r="H191" s="47" t="s">
        <v>556</v>
      </c>
      <c r="I191" s="122" t="s">
        <v>557</v>
      </c>
    </row>
    <row r="192" spans="1:9" x14ac:dyDescent="0.2">
      <c r="A192" s="6">
        <v>186</v>
      </c>
      <c r="B192" s="6" t="s">
        <v>185</v>
      </c>
      <c r="C192" s="6">
        <v>136</v>
      </c>
      <c r="D192" s="6" t="s">
        <v>186</v>
      </c>
      <c r="E192" s="6" t="s">
        <v>186</v>
      </c>
      <c r="F192" s="6" t="s">
        <v>186</v>
      </c>
      <c r="G192" s="6" t="s">
        <v>187</v>
      </c>
      <c r="H192" s="47" t="s">
        <v>558</v>
      </c>
      <c r="I192" s="122" t="s">
        <v>559</v>
      </c>
    </row>
    <row r="193" spans="1:9" x14ac:dyDescent="0.2">
      <c r="A193" s="6">
        <v>187</v>
      </c>
      <c r="B193" s="6" t="s">
        <v>185</v>
      </c>
      <c r="C193" s="6">
        <v>137</v>
      </c>
      <c r="D193" s="6" t="s">
        <v>186</v>
      </c>
      <c r="E193" s="6" t="s">
        <v>186</v>
      </c>
      <c r="F193" s="6" t="s">
        <v>186</v>
      </c>
      <c r="G193" s="6" t="s">
        <v>187</v>
      </c>
      <c r="H193" s="47" t="s">
        <v>560</v>
      </c>
      <c r="I193" s="122" t="s">
        <v>561</v>
      </c>
    </row>
    <row r="194" spans="1:9" x14ac:dyDescent="0.2">
      <c r="A194" s="6">
        <v>188</v>
      </c>
      <c r="B194" s="6" t="s">
        <v>185</v>
      </c>
      <c r="C194" s="6">
        <v>138</v>
      </c>
      <c r="D194" s="6" t="s">
        <v>186</v>
      </c>
      <c r="E194" s="6" t="s">
        <v>186</v>
      </c>
      <c r="F194" s="6" t="s">
        <v>186</v>
      </c>
      <c r="G194" s="6" t="s">
        <v>187</v>
      </c>
      <c r="H194" s="47" t="s">
        <v>562</v>
      </c>
      <c r="I194" s="122" t="s">
        <v>563</v>
      </c>
    </row>
    <row r="195" spans="1:9" x14ac:dyDescent="0.2">
      <c r="A195" s="6">
        <v>189</v>
      </c>
      <c r="B195" s="6" t="s">
        <v>185</v>
      </c>
      <c r="C195" s="6">
        <v>139</v>
      </c>
      <c r="D195" s="6" t="s">
        <v>186</v>
      </c>
      <c r="E195" s="6" t="s">
        <v>186</v>
      </c>
      <c r="F195" s="6" t="s">
        <v>186</v>
      </c>
      <c r="G195" s="6" t="s">
        <v>187</v>
      </c>
      <c r="H195" s="47" t="s">
        <v>564</v>
      </c>
      <c r="I195" s="122" t="s">
        <v>565</v>
      </c>
    </row>
    <row r="196" spans="1:9" x14ac:dyDescent="0.2">
      <c r="A196" s="6">
        <v>190</v>
      </c>
      <c r="B196" s="6" t="s">
        <v>185</v>
      </c>
      <c r="C196" s="6">
        <v>140</v>
      </c>
      <c r="D196" s="6" t="s">
        <v>186</v>
      </c>
      <c r="E196" s="6" t="s">
        <v>186</v>
      </c>
      <c r="F196" s="6" t="s">
        <v>186</v>
      </c>
      <c r="G196" s="6" t="s">
        <v>187</v>
      </c>
      <c r="H196" s="47" t="s">
        <v>566</v>
      </c>
      <c r="I196" s="122" t="s">
        <v>567</v>
      </c>
    </row>
    <row r="197" spans="1:9" x14ac:dyDescent="0.2">
      <c r="A197" s="6">
        <v>191</v>
      </c>
      <c r="B197" s="6" t="s">
        <v>185</v>
      </c>
      <c r="C197" s="6">
        <v>141</v>
      </c>
      <c r="D197" s="6" t="s">
        <v>186</v>
      </c>
      <c r="E197" s="6" t="s">
        <v>186</v>
      </c>
      <c r="F197" s="6" t="s">
        <v>186</v>
      </c>
      <c r="G197" s="6" t="s">
        <v>187</v>
      </c>
      <c r="H197" s="47" t="s">
        <v>568</v>
      </c>
      <c r="I197" s="122" t="s">
        <v>569</v>
      </c>
    </row>
    <row r="198" spans="1:9" x14ac:dyDescent="0.2">
      <c r="A198" s="6">
        <v>192</v>
      </c>
      <c r="B198" s="6" t="s">
        <v>185</v>
      </c>
      <c r="C198" s="6">
        <v>142</v>
      </c>
      <c r="D198" s="6" t="s">
        <v>186</v>
      </c>
      <c r="E198" s="6" t="s">
        <v>186</v>
      </c>
      <c r="F198" s="6" t="s">
        <v>186</v>
      </c>
      <c r="G198" s="6" t="s">
        <v>187</v>
      </c>
      <c r="H198" s="47" t="s">
        <v>570</v>
      </c>
      <c r="I198" s="122" t="s">
        <v>571</v>
      </c>
    </row>
    <row r="199" spans="1:9" x14ac:dyDescent="0.2">
      <c r="A199" s="6">
        <v>193</v>
      </c>
      <c r="B199" s="6" t="s">
        <v>185</v>
      </c>
      <c r="C199" s="6">
        <v>143</v>
      </c>
      <c r="D199" s="6" t="s">
        <v>186</v>
      </c>
      <c r="E199" s="6" t="s">
        <v>186</v>
      </c>
      <c r="F199" s="6" t="s">
        <v>186</v>
      </c>
      <c r="G199" s="6" t="s">
        <v>187</v>
      </c>
      <c r="H199" s="47" t="s">
        <v>572</v>
      </c>
      <c r="I199" s="122" t="s">
        <v>573</v>
      </c>
    </row>
    <row r="200" spans="1:9" x14ac:dyDescent="0.2">
      <c r="A200" s="6">
        <v>194</v>
      </c>
      <c r="B200" s="6" t="s">
        <v>185</v>
      </c>
      <c r="C200" s="6">
        <v>144</v>
      </c>
      <c r="D200" s="6" t="s">
        <v>186</v>
      </c>
      <c r="E200" s="6" t="s">
        <v>186</v>
      </c>
      <c r="F200" s="6" t="s">
        <v>186</v>
      </c>
      <c r="G200" s="6" t="s">
        <v>187</v>
      </c>
      <c r="H200" s="47" t="s">
        <v>574</v>
      </c>
      <c r="I200" s="122" t="s">
        <v>575</v>
      </c>
    </row>
    <row r="201" spans="1:9" x14ac:dyDescent="0.2">
      <c r="A201" s="6">
        <v>195</v>
      </c>
      <c r="B201" s="6" t="s">
        <v>185</v>
      </c>
      <c r="C201" s="6">
        <v>145</v>
      </c>
      <c r="D201" s="6" t="s">
        <v>186</v>
      </c>
      <c r="E201" s="6" t="s">
        <v>186</v>
      </c>
      <c r="F201" s="6" t="s">
        <v>186</v>
      </c>
      <c r="G201" s="6" t="s">
        <v>187</v>
      </c>
      <c r="H201" s="47" t="s">
        <v>576</v>
      </c>
      <c r="I201" s="122" t="s">
        <v>577</v>
      </c>
    </row>
    <row r="202" spans="1:9" x14ac:dyDescent="0.2">
      <c r="A202" s="6">
        <v>196</v>
      </c>
      <c r="B202" s="6" t="s">
        <v>185</v>
      </c>
      <c r="C202" s="6">
        <v>146</v>
      </c>
      <c r="D202" s="6" t="s">
        <v>186</v>
      </c>
      <c r="E202" s="6" t="s">
        <v>186</v>
      </c>
      <c r="F202" s="6" t="s">
        <v>186</v>
      </c>
      <c r="G202" s="6" t="s">
        <v>187</v>
      </c>
      <c r="H202" s="47" t="s">
        <v>578</v>
      </c>
      <c r="I202" s="122" t="s">
        <v>579</v>
      </c>
    </row>
    <row r="203" spans="1:9" x14ac:dyDescent="0.2">
      <c r="A203" s="6">
        <v>197</v>
      </c>
      <c r="B203" s="6" t="s">
        <v>185</v>
      </c>
      <c r="C203" s="6">
        <v>147</v>
      </c>
      <c r="D203" s="6" t="s">
        <v>186</v>
      </c>
      <c r="E203" s="6" t="s">
        <v>186</v>
      </c>
      <c r="F203" s="6" t="s">
        <v>186</v>
      </c>
      <c r="G203" s="6" t="s">
        <v>187</v>
      </c>
      <c r="H203" s="47" t="s">
        <v>580</v>
      </c>
      <c r="I203" s="122" t="s">
        <v>581</v>
      </c>
    </row>
    <row r="204" spans="1:9" x14ac:dyDescent="0.2">
      <c r="A204" s="6">
        <v>198</v>
      </c>
      <c r="B204" s="6" t="s">
        <v>185</v>
      </c>
      <c r="C204" s="6">
        <v>148</v>
      </c>
      <c r="D204" s="6" t="s">
        <v>186</v>
      </c>
      <c r="E204" s="6" t="s">
        <v>186</v>
      </c>
      <c r="F204" s="6" t="s">
        <v>186</v>
      </c>
      <c r="G204" s="6" t="s">
        <v>187</v>
      </c>
      <c r="H204" s="47" t="s">
        <v>582</v>
      </c>
      <c r="I204" s="122" t="s">
        <v>583</v>
      </c>
    </row>
    <row r="205" spans="1:9" x14ac:dyDescent="0.2">
      <c r="A205" s="6">
        <v>199</v>
      </c>
      <c r="B205" s="6" t="s">
        <v>185</v>
      </c>
      <c r="C205" s="6">
        <v>149</v>
      </c>
      <c r="D205" s="6" t="s">
        <v>186</v>
      </c>
      <c r="E205" s="6" t="s">
        <v>186</v>
      </c>
      <c r="F205" s="6" t="s">
        <v>186</v>
      </c>
      <c r="G205" s="6" t="s">
        <v>187</v>
      </c>
      <c r="H205" s="47" t="s">
        <v>584</v>
      </c>
      <c r="I205" s="122" t="s">
        <v>585</v>
      </c>
    </row>
    <row r="206" spans="1:9" x14ac:dyDescent="0.2">
      <c r="A206" s="6">
        <v>200</v>
      </c>
      <c r="B206" s="6" t="s">
        <v>185</v>
      </c>
      <c r="C206" s="6">
        <v>150</v>
      </c>
      <c r="D206" s="6" t="s">
        <v>186</v>
      </c>
      <c r="E206" s="6" t="s">
        <v>186</v>
      </c>
      <c r="F206" s="6" t="s">
        <v>186</v>
      </c>
      <c r="G206" s="6" t="s">
        <v>187</v>
      </c>
      <c r="H206" s="47" t="s">
        <v>586</v>
      </c>
      <c r="I206" s="122" t="s">
        <v>587</v>
      </c>
    </row>
    <row r="207" spans="1:9" x14ac:dyDescent="0.2">
      <c r="A207" s="6">
        <v>201</v>
      </c>
      <c r="B207" s="6" t="s">
        <v>185</v>
      </c>
      <c r="C207" s="6">
        <v>151</v>
      </c>
      <c r="D207" s="6" t="s">
        <v>186</v>
      </c>
      <c r="E207" s="6" t="s">
        <v>186</v>
      </c>
      <c r="F207" s="6" t="s">
        <v>186</v>
      </c>
      <c r="G207" s="6" t="s">
        <v>187</v>
      </c>
      <c r="H207" s="47" t="s">
        <v>588</v>
      </c>
      <c r="I207" s="122" t="s">
        <v>589</v>
      </c>
    </row>
    <row r="208" spans="1:9" x14ac:dyDescent="0.2">
      <c r="A208" s="6">
        <v>202</v>
      </c>
      <c r="B208" s="6" t="s">
        <v>185</v>
      </c>
      <c r="C208" s="6">
        <v>152</v>
      </c>
      <c r="D208" s="6" t="s">
        <v>186</v>
      </c>
      <c r="E208" s="6" t="s">
        <v>186</v>
      </c>
      <c r="F208" s="6" t="s">
        <v>186</v>
      </c>
      <c r="G208" s="6" t="s">
        <v>187</v>
      </c>
      <c r="H208" s="47" t="s">
        <v>590</v>
      </c>
      <c r="I208" s="122" t="s">
        <v>591</v>
      </c>
    </row>
    <row r="209" spans="1:9" x14ac:dyDescent="0.2">
      <c r="A209" s="6">
        <v>203</v>
      </c>
      <c r="B209" s="6" t="s">
        <v>185</v>
      </c>
      <c r="C209" s="6">
        <v>153</v>
      </c>
      <c r="D209" s="6" t="s">
        <v>186</v>
      </c>
      <c r="E209" s="6" t="s">
        <v>186</v>
      </c>
      <c r="F209" s="6" t="s">
        <v>186</v>
      </c>
      <c r="G209" s="6" t="s">
        <v>187</v>
      </c>
      <c r="H209" s="47" t="s">
        <v>592</v>
      </c>
      <c r="I209" s="122" t="s">
        <v>593</v>
      </c>
    </row>
    <row r="210" spans="1:9" x14ac:dyDescent="0.2">
      <c r="A210" s="6">
        <v>204</v>
      </c>
      <c r="B210" s="6" t="s">
        <v>185</v>
      </c>
      <c r="C210" s="6">
        <v>154</v>
      </c>
      <c r="D210" s="6" t="s">
        <v>186</v>
      </c>
      <c r="E210" s="6" t="s">
        <v>186</v>
      </c>
      <c r="F210" s="6" t="s">
        <v>186</v>
      </c>
      <c r="G210" s="6" t="s">
        <v>187</v>
      </c>
      <c r="H210" s="47" t="s">
        <v>594</v>
      </c>
      <c r="I210" s="122" t="s">
        <v>595</v>
      </c>
    </row>
    <row r="211" spans="1:9" x14ac:dyDescent="0.2">
      <c r="A211" s="6">
        <v>205</v>
      </c>
      <c r="B211" s="6" t="s">
        <v>185</v>
      </c>
      <c r="C211" s="6">
        <v>155</v>
      </c>
      <c r="D211" s="6" t="s">
        <v>186</v>
      </c>
      <c r="E211" s="6" t="s">
        <v>186</v>
      </c>
      <c r="F211" s="6" t="s">
        <v>186</v>
      </c>
      <c r="G211" s="6" t="s">
        <v>187</v>
      </c>
      <c r="H211" s="47" t="s">
        <v>596</v>
      </c>
      <c r="I211" s="122" t="s">
        <v>597</v>
      </c>
    </row>
    <row r="212" spans="1:9" x14ac:dyDescent="0.2">
      <c r="A212" s="6">
        <v>206</v>
      </c>
      <c r="B212" s="6" t="s">
        <v>185</v>
      </c>
      <c r="C212" s="6">
        <v>156</v>
      </c>
      <c r="D212" s="6" t="s">
        <v>186</v>
      </c>
      <c r="E212" s="6" t="s">
        <v>186</v>
      </c>
      <c r="F212" s="6" t="s">
        <v>186</v>
      </c>
      <c r="G212" s="6" t="s">
        <v>187</v>
      </c>
      <c r="H212" s="47" t="s">
        <v>598</v>
      </c>
      <c r="I212" s="122" t="s">
        <v>599</v>
      </c>
    </row>
    <row r="213" spans="1:9" x14ac:dyDescent="0.2">
      <c r="A213" s="6">
        <v>207</v>
      </c>
      <c r="B213" s="6" t="s">
        <v>185</v>
      </c>
      <c r="C213" s="6">
        <v>157</v>
      </c>
      <c r="D213" s="6" t="s">
        <v>186</v>
      </c>
      <c r="E213" s="6" t="s">
        <v>186</v>
      </c>
      <c r="F213" s="6" t="s">
        <v>186</v>
      </c>
      <c r="G213" s="6" t="s">
        <v>187</v>
      </c>
      <c r="H213" s="47" t="s">
        <v>600</v>
      </c>
      <c r="I213" s="122" t="s">
        <v>601</v>
      </c>
    </row>
    <row r="214" spans="1:9" x14ac:dyDescent="0.2">
      <c r="A214" s="6">
        <v>208</v>
      </c>
      <c r="B214" s="6" t="s">
        <v>185</v>
      </c>
      <c r="C214" s="6">
        <v>158</v>
      </c>
      <c r="D214" s="6" t="s">
        <v>186</v>
      </c>
      <c r="E214" s="6" t="s">
        <v>186</v>
      </c>
      <c r="F214" s="6" t="s">
        <v>186</v>
      </c>
      <c r="G214" s="6" t="s">
        <v>187</v>
      </c>
      <c r="H214" s="47" t="s">
        <v>602</v>
      </c>
      <c r="I214" s="122" t="s">
        <v>603</v>
      </c>
    </row>
    <row r="215" spans="1:9" x14ac:dyDescent="0.2">
      <c r="A215" s="6">
        <v>209</v>
      </c>
      <c r="B215" s="6" t="s">
        <v>185</v>
      </c>
      <c r="C215" s="6">
        <v>159</v>
      </c>
      <c r="D215" s="6" t="s">
        <v>186</v>
      </c>
      <c r="E215" s="6" t="s">
        <v>186</v>
      </c>
      <c r="F215" s="6" t="s">
        <v>186</v>
      </c>
      <c r="G215" s="6" t="s">
        <v>187</v>
      </c>
      <c r="H215" s="47" t="s">
        <v>604</v>
      </c>
      <c r="I215" s="122" t="s">
        <v>605</v>
      </c>
    </row>
    <row r="216" spans="1:9" x14ac:dyDescent="0.2">
      <c r="A216" s="6">
        <v>210</v>
      </c>
      <c r="B216" s="6" t="s">
        <v>185</v>
      </c>
      <c r="C216" s="6">
        <v>160</v>
      </c>
      <c r="D216" s="6" t="s">
        <v>186</v>
      </c>
      <c r="E216" s="6" t="s">
        <v>186</v>
      </c>
      <c r="F216" s="6" t="s">
        <v>186</v>
      </c>
      <c r="G216" s="6" t="s">
        <v>187</v>
      </c>
      <c r="H216" s="47" t="s">
        <v>606</v>
      </c>
      <c r="I216" s="122" t="s">
        <v>607</v>
      </c>
    </row>
    <row r="217" spans="1:9" x14ac:dyDescent="0.2">
      <c r="A217" s="6">
        <v>211</v>
      </c>
      <c r="B217" s="6" t="s">
        <v>185</v>
      </c>
      <c r="C217" s="6">
        <v>161</v>
      </c>
      <c r="D217" s="6" t="s">
        <v>186</v>
      </c>
      <c r="E217" s="6" t="s">
        <v>186</v>
      </c>
      <c r="F217" s="6" t="s">
        <v>186</v>
      </c>
      <c r="G217" s="6" t="s">
        <v>187</v>
      </c>
      <c r="H217" s="47" t="s">
        <v>608</v>
      </c>
      <c r="I217" s="122" t="s">
        <v>609</v>
      </c>
    </row>
    <row r="218" spans="1:9" x14ac:dyDescent="0.2">
      <c r="A218" s="6">
        <v>212</v>
      </c>
      <c r="B218" s="6" t="s">
        <v>185</v>
      </c>
      <c r="C218" s="6">
        <v>162</v>
      </c>
      <c r="D218" s="6" t="s">
        <v>186</v>
      </c>
      <c r="E218" s="6" t="s">
        <v>186</v>
      </c>
      <c r="F218" s="6" t="s">
        <v>186</v>
      </c>
      <c r="G218" s="6" t="s">
        <v>187</v>
      </c>
      <c r="H218" s="47" t="s">
        <v>610</v>
      </c>
      <c r="I218" s="122" t="s">
        <v>611</v>
      </c>
    </row>
    <row r="219" spans="1:9" x14ac:dyDescent="0.2">
      <c r="A219" s="6">
        <v>213</v>
      </c>
      <c r="B219" s="6" t="s">
        <v>185</v>
      </c>
      <c r="C219" s="6">
        <v>163</v>
      </c>
      <c r="D219" s="6" t="s">
        <v>186</v>
      </c>
      <c r="E219" s="6" t="s">
        <v>186</v>
      </c>
      <c r="F219" s="6" t="s">
        <v>186</v>
      </c>
      <c r="G219" s="6" t="s">
        <v>187</v>
      </c>
      <c r="H219" s="47" t="s">
        <v>612</v>
      </c>
      <c r="I219" s="122" t="s">
        <v>613</v>
      </c>
    </row>
    <row r="220" spans="1:9" x14ac:dyDescent="0.2">
      <c r="A220" s="6">
        <v>214</v>
      </c>
      <c r="B220" s="6" t="s">
        <v>185</v>
      </c>
      <c r="C220" s="6">
        <v>164</v>
      </c>
      <c r="D220" s="6" t="s">
        <v>186</v>
      </c>
      <c r="E220" s="6" t="s">
        <v>186</v>
      </c>
      <c r="F220" s="6" t="s">
        <v>186</v>
      </c>
      <c r="G220" s="6" t="s">
        <v>187</v>
      </c>
      <c r="H220" s="47" t="s">
        <v>614</v>
      </c>
      <c r="I220" s="122" t="s">
        <v>615</v>
      </c>
    </row>
    <row r="221" spans="1:9" x14ac:dyDescent="0.2">
      <c r="A221" s="6">
        <v>215</v>
      </c>
      <c r="B221" s="6" t="s">
        <v>185</v>
      </c>
      <c r="C221" s="6">
        <v>165</v>
      </c>
      <c r="D221" s="6" t="s">
        <v>186</v>
      </c>
      <c r="E221" s="6" t="s">
        <v>186</v>
      </c>
      <c r="F221" s="6" t="s">
        <v>186</v>
      </c>
      <c r="G221" s="6" t="s">
        <v>187</v>
      </c>
      <c r="H221" s="47" t="s">
        <v>616</v>
      </c>
      <c r="I221" s="122" t="s">
        <v>617</v>
      </c>
    </row>
    <row r="222" spans="1:9" x14ac:dyDescent="0.2">
      <c r="A222" s="6">
        <v>216</v>
      </c>
      <c r="B222" s="6" t="s">
        <v>185</v>
      </c>
      <c r="C222" s="6">
        <v>166</v>
      </c>
      <c r="D222" s="6" t="s">
        <v>186</v>
      </c>
      <c r="E222" s="6" t="s">
        <v>186</v>
      </c>
      <c r="F222" s="6" t="s">
        <v>186</v>
      </c>
      <c r="G222" s="6" t="s">
        <v>187</v>
      </c>
      <c r="H222" s="47" t="s">
        <v>618</v>
      </c>
      <c r="I222" s="122" t="s">
        <v>619</v>
      </c>
    </row>
    <row r="223" spans="1:9" x14ac:dyDescent="0.2">
      <c r="A223" s="6">
        <v>217</v>
      </c>
      <c r="B223" s="6" t="s">
        <v>185</v>
      </c>
      <c r="C223" s="6">
        <v>167</v>
      </c>
      <c r="D223" s="6" t="s">
        <v>186</v>
      </c>
      <c r="E223" s="6" t="s">
        <v>186</v>
      </c>
      <c r="F223" s="6" t="s">
        <v>186</v>
      </c>
      <c r="G223" s="6" t="s">
        <v>187</v>
      </c>
      <c r="H223" s="47" t="s">
        <v>620</v>
      </c>
      <c r="I223" s="122" t="s">
        <v>621</v>
      </c>
    </row>
    <row r="224" spans="1:9" x14ac:dyDescent="0.2">
      <c r="A224" s="6">
        <v>218</v>
      </c>
      <c r="B224" s="6" t="s">
        <v>185</v>
      </c>
      <c r="C224" s="6">
        <v>168</v>
      </c>
      <c r="D224" s="6" t="s">
        <v>186</v>
      </c>
      <c r="E224" s="6" t="s">
        <v>186</v>
      </c>
      <c r="F224" s="6" t="s">
        <v>186</v>
      </c>
      <c r="G224" s="6" t="s">
        <v>187</v>
      </c>
      <c r="H224" s="47" t="s">
        <v>622</v>
      </c>
      <c r="I224" s="122" t="s">
        <v>623</v>
      </c>
    </row>
    <row r="225" spans="1:9" x14ac:dyDescent="0.2">
      <c r="A225" s="6">
        <v>219</v>
      </c>
      <c r="B225" s="6" t="s">
        <v>185</v>
      </c>
      <c r="C225" s="6">
        <v>169</v>
      </c>
      <c r="D225" s="6" t="s">
        <v>186</v>
      </c>
      <c r="E225" s="6" t="s">
        <v>186</v>
      </c>
      <c r="F225" s="6" t="s">
        <v>186</v>
      </c>
      <c r="G225" s="6" t="s">
        <v>187</v>
      </c>
      <c r="H225" s="47" t="s">
        <v>624</v>
      </c>
      <c r="I225" s="122" t="s">
        <v>625</v>
      </c>
    </row>
    <row r="226" spans="1:9" x14ac:dyDescent="0.2">
      <c r="A226" s="6">
        <v>220</v>
      </c>
      <c r="B226" s="6" t="s">
        <v>185</v>
      </c>
      <c r="C226" s="6">
        <v>170</v>
      </c>
      <c r="D226" s="6" t="s">
        <v>186</v>
      </c>
      <c r="E226" s="6" t="s">
        <v>186</v>
      </c>
      <c r="F226" s="6" t="s">
        <v>186</v>
      </c>
      <c r="G226" s="6" t="s">
        <v>187</v>
      </c>
      <c r="H226" s="47" t="s">
        <v>626</v>
      </c>
      <c r="I226" s="122" t="s">
        <v>627</v>
      </c>
    </row>
    <row r="227" spans="1:9" x14ac:dyDescent="0.2">
      <c r="A227" s="6">
        <v>221</v>
      </c>
      <c r="B227" s="6" t="s">
        <v>185</v>
      </c>
      <c r="C227" s="6">
        <v>171</v>
      </c>
      <c r="D227" s="6" t="s">
        <v>186</v>
      </c>
      <c r="E227" s="6" t="s">
        <v>186</v>
      </c>
      <c r="F227" s="6" t="s">
        <v>186</v>
      </c>
      <c r="G227" s="6" t="s">
        <v>187</v>
      </c>
      <c r="H227" s="47" t="s">
        <v>628</v>
      </c>
      <c r="I227" s="122" t="s">
        <v>629</v>
      </c>
    </row>
    <row r="228" spans="1:9" x14ac:dyDescent="0.2">
      <c r="A228" s="6">
        <v>222</v>
      </c>
      <c r="B228" s="6" t="s">
        <v>185</v>
      </c>
      <c r="C228" s="6">
        <v>172</v>
      </c>
      <c r="D228" s="6" t="s">
        <v>186</v>
      </c>
      <c r="E228" s="6" t="s">
        <v>186</v>
      </c>
      <c r="F228" s="6" t="s">
        <v>186</v>
      </c>
      <c r="G228" s="6" t="s">
        <v>187</v>
      </c>
      <c r="H228" s="47" t="s">
        <v>630</v>
      </c>
      <c r="I228" s="122" t="s">
        <v>631</v>
      </c>
    </row>
    <row r="229" spans="1:9" x14ac:dyDescent="0.2">
      <c r="A229" s="6">
        <v>223</v>
      </c>
      <c r="B229" s="6" t="s">
        <v>185</v>
      </c>
      <c r="C229" s="6">
        <v>173</v>
      </c>
      <c r="D229" s="6" t="s">
        <v>186</v>
      </c>
      <c r="E229" s="6" t="s">
        <v>186</v>
      </c>
      <c r="F229" s="6" t="s">
        <v>186</v>
      </c>
      <c r="G229" s="6" t="s">
        <v>187</v>
      </c>
      <c r="H229" s="47" t="s">
        <v>632</v>
      </c>
      <c r="I229" s="122" t="s">
        <v>633</v>
      </c>
    </row>
    <row r="230" spans="1:9" x14ac:dyDescent="0.2">
      <c r="A230" s="6">
        <v>224</v>
      </c>
      <c r="B230" s="6" t="s">
        <v>185</v>
      </c>
      <c r="C230" s="6">
        <v>174</v>
      </c>
      <c r="D230" s="6" t="s">
        <v>186</v>
      </c>
      <c r="E230" s="6" t="s">
        <v>186</v>
      </c>
      <c r="F230" s="6" t="s">
        <v>186</v>
      </c>
      <c r="G230" s="6" t="s">
        <v>187</v>
      </c>
      <c r="H230" s="47" t="s">
        <v>634</v>
      </c>
      <c r="I230" s="122" t="s">
        <v>635</v>
      </c>
    </row>
    <row r="231" spans="1:9" x14ac:dyDescent="0.2">
      <c r="A231" s="6">
        <v>225</v>
      </c>
      <c r="B231" s="6" t="s">
        <v>185</v>
      </c>
      <c r="C231" s="6">
        <v>175</v>
      </c>
      <c r="D231" s="6" t="s">
        <v>186</v>
      </c>
      <c r="E231" s="6" t="s">
        <v>186</v>
      </c>
      <c r="F231" s="6" t="s">
        <v>186</v>
      </c>
      <c r="G231" s="6" t="s">
        <v>187</v>
      </c>
      <c r="H231" s="47" t="s">
        <v>636</v>
      </c>
      <c r="I231" s="122" t="s">
        <v>637</v>
      </c>
    </row>
    <row r="232" spans="1:9" x14ac:dyDescent="0.2">
      <c r="A232" s="6">
        <v>226</v>
      </c>
      <c r="B232" s="6" t="s">
        <v>185</v>
      </c>
      <c r="C232" s="6">
        <v>176</v>
      </c>
      <c r="D232" s="6" t="s">
        <v>186</v>
      </c>
      <c r="E232" s="6" t="s">
        <v>186</v>
      </c>
      <c r="F232" s="6" t="s">
        <v>186</v>
      </c>
      <c r="G232" s="6" t="s">
        <v>187</v>
      </c>
      <c r="H232" s="47" t="s">
        <v>638</v>
      </c>
      <c r="I232" s="122" t="s">
        <v>639</v>
      </c>
    </row>
    <row r="233" spans="1:9" x14ac:dyDescent="0.2">
      <c r="A233" s="6">
        <v>227</v>
      </c>
      <c r="B233" s="6" t="s">
        <v>185</v>
      </c>
      <c r="C233" s="6">
        <v>177</v>
      </c>
      <c r="D233" s="6" t="s">
        <v>186</v>
      </c>
      <c r="E233" s="6" t="s">
        <v>186</v>
      </c>
      <c r="F233" s="6" t="s">
        <v>186</v>
      </c>
      <c r="G233" s="6" t="s">
        <v>187</v>
      </c>
      <c r="H233" s="47" t="s">
        <v>640</v>
      </c>
      <c r="I233" s="122" t="s">
        <v>641</v>
      </c>
    </row>
    <row r="234" spans="1:9" x14ac:dyDescent="0.2">
      <c r="A234" s="6">
        <v>228</v>
      </c>
      <c r="B234" s="6" t="s">
        <v>185</v>
      </c>
      <c r="C234" s="6">
        <v>178</v>
      </c>
      <c r="D234" s="6" t="s">
        <v>186</v>
      </c>
      <c r="E234" s="6" t="s">
        <v>186</v>
      </c>
      <c r="F234" s="6" t="s">
        <v>186</v>
      </c>
      <c r="G234" s="6" t="s">
        <v>187</v>
      </c>
      <c r="H234" s="47" t="s">
        <v>642</v>
      </c>
      <c r="I234" s="122" t="s">
        <v>643</v>
      </c>
    </row>
    <row r="235" spans="1:9" x14ac:dyDescent="0.2">
      <c r="A235" s="6">
        <v>229</v>
      </c>
      <c r="B235" s="6" t="s">
        <v>185</v>
      </c>
      <c r="C235" s="6">
        <v>179</v>
      </c>
      <c r="D235" s="6" t="s">
        <v>186</v>
      </c>
      <c r="E235" s="6" t="s">
        <v>186</v>
      </c>
      <c r="F235" s="6" t="s">
        <v>186</v>
      </c>
      <c r="G235" s="6" t="s">
        <v>187</v>
      </c>
      <c r="H235" s="47" t="s">
        <v>644</v>
      </c>
      <c r="I235" s="122" t="s">
        <v>645</v>
      </c>
    </row>
    <row r="236" spans="1:9" x14ac:dyDescent="0.2">
      <c r="A236" s="6">
        <v>230</v>
      </c>
      <c r="B236" s="6" t="s">
        <v>185</v>
      </c>
      <c r="C236" s="6">
        <v>180</v>
      </c>
      <c r="D236" s="6" t="s">
        <v>186</v>
      </c>
      <c r="E236" s="6" t="s">
        <v>186</v>
      </c>
      <c r="F236" s="6" t="s">
        <v>186</v>
      </c>
      <c r="G236" s="6" t="s">
        <v>187</v>
      </c>
      <c r="H236" s="47" t="s">
        <v>646</v>
      </c>
      <c r="I236" s="122" t="s">
        <v>647</v>
      </c>
    </row>
    <row r="237" spans="1:9" x14ac:dyDescent="0.2">
      <c r="A237" s="6">
        <v>231</v>
      </c>
      <c r="B237" s="6" t="s">
        <v>185</v>
      </c>
      <c r="C237" s="6">
        <v>181</v>
      </c>
      <c r="D237" s="6" t="s">
        <v>186</v>
      </c>
      <c r="E237" s="6" t="s">
        <v>186</v>
      </c>
      <c r="F237" s="6" t="s">
        <v>186</v>
      </c>
      <c r="G237" s="6" t="s">
        <v>187</v>
      </c>
      <c r="H237" s="47" t="s">
        <v>648</v>
      </c>
      <c r="I237" s="122" t="s">
        <v>649</v>
      </c>
    </row>
    <row r="238" spans="1:9" x14ac:dyDescent="0.2">
      <c r="A238" s="6">
        <v>232</v>
      </c>
      <c r="B238" s="6" t="s">
        <v>185</v>
      </c>
      <c r="C238" s="6">
        <v>182</v>
      </c>
      <c r="D238" s="6" t="s">
        <v>186</v>
      </c>
      <c r="E238" s="6" t="s">
        <v>186</v>
      </c>
      <c r="F238" s="6" t="s">
        <v>186</v>
      </c>
      <c r="G238" s="6" t="s">
        <v>187</v>
      </c>
      <c r="H238" s="47" t="s">
        <v>650</v>
      </c>
      <c r="I238" s="122" t="s">
        <v>651</v>
      </c>
    </row>
    <row r="239" spans="1:9" x14ac:dyDescent="0.2">
      <c r="A239" s="6">
        <v>233</v>
      </c>
      <c r="B239" s="6" t="s">
        <v>185</v>
      </c>
      <c r="C239" s="6">
        <v>183</v>
      </c>
      <c r="D239" s="6" t="s">
        <v>186</v>
      </c>
      <c r="E239" s="6" t="s">
        <v>186</v>
      </c>
      <c r="F239" s="6" t="s">
        <v>186</v>
      </c>
      <c r="G239" s="6" t="s">
        <v>187</v>
      </c>
      <c r="H239" s="47" t="s">
        <v>652</v>
      </c>
      <c r="I239" s="122" t="s">
        <v>653</v>
      </c>
    </row>
    <row r="240" spans="1:9" x14ac:dyDescent="0.2">
      <c r="A240" s="6">
        <v>234</v>
      </c>
      <c r="B240" s="6" t="s">
        <v>185</v>
      </c>
      <c r="C240" s="6">
        <v>184</v>
      </c>
      <c r="D240" s="6" t="s">
        <v>186</v>
      </c>
      <c r="E240" s="6" t="s">
        <v>186</v>
      </c>
      <c r="F240" s="6" t="s">
        <v>186</v>
      </c>
      <c r="G240" s="6" t="s">
        <v>187</v>
      </c>
      <c r="H240" s="47" t="s">
        <v>654</v>
      </c>
      <c r="I240" s="122" t="s">
        <v>655</v>
      </c>
    </row>
    <row r="241" spans="1:9" x14ac:dyDescent="0.2">
      <c r="A241" s="6">
        <v>235</v>
      </c>
      <c r="B241" s="6" t="s">
        <v>185</v>
      </c>
      <c r="C241" s="6">
        <v>185</v>
      </c>
      <c r="D241" s="6" t="s">
        <v>186</v>
      </c>
      <c r="E241" s="6" t="s">
        <v>186</v>
      </c>
      <c r="F241" s="6" t="s">
        <v>186</v>
      </c>
      <c r="G241" s="6" t="s">
        <v>187</v>
      </c>
      <c r="H241" s="47" t="s">
        <v>656</v>
      </c>
      <c r="I241" s="122" t="s">
        <v>657</v>
      </c>
    </row>
    <row r="242" spans="1:9" x14ac:dyDescent="0.2">
      <c r="A242" s="6">
        <v>236</v>
      </c>
      <c r="B242" s="6" t="s">
        <v>185</v>
      </c>
      <c r="C242" s="6">
        <v>186</v>
      </c>
      <c r="D242" s="6" t="s">
        <v>186</v>
      </c>
      <c r="E242" s="6" t="s">
        <v>186</v>
      </c>
      <c r="F242" s="6" t="s">
        <v>186</v>
      </c>
      <c r="G242" s="6" t="s">
        <v>187</v>
      </c>
      <c r="H242" s="47" t="s">
        <v>658</v>
      </c>
      <c r="I242" s="122" t="s">
        <v>659</v>
      </c>
    </row>
    <row r="243" spans="1:9" x14ac:dyDescent="0.2">
      <c r="A243" s="6">
        <v>237</v>
      </c>
      <c r="B243" s="6" t="s">
        <v>185</v>
      </c>
      <c r="C243" s="6">
        <v>187</v>
      </c>
      <c r="D243" s="6" t="s">
        <v>186</v>
      </c>
      <c r="E243" s="6" t="s">
        <v>186</v>
      </c>
      <c r="F243" s="6" t="s">
        <v>186</v>
      </c>
      <c r="G243" s="6" t="s">
        <v>187</v>
      </c>
      <c r="H243" s="47" t="s">
        <v>660</v>
      </c>
      <c r="I243" s="122" t="s">
        <v>661</v>
      </c>
    </row>
    <row r="244" spans="1:9" x14ac:dyDescent="0.2">
      <c r="A244" s="6">
        <v>238</v>
      </c>
      <c r="B244" s="6" t="s">
        <v>185</v>
      </c>
      <c r="C244" s="6">
        <v>188</v>
      </c>
      <c r="D244" s="6" t="s">
        <v>186</v>
      </c>
      <c r="E244" s="6" t="s">
        <v>186</v>
      </c>
      <c r="F244" s="6" t="s">
        <v>186</v>
      </c>
      <c r="G244" s="6" t="s">
        <v>187</v>
      </c>
      <c r="H244" s="47" t="s">
        <v>662</v>
      </c>
      <c r="I244" s="122" t="s">
        <v>663</v>
      </c>
    </row>
    <row r="245" spans="1:9" x14ac:dyDescent="0.2">
      <c r="A245" s="6">
        <v>239</v>
      </c>
      <c r="B245" s="6" t="s">
        <v>185</v>
      </c>
      <c r="C245" s="6">
        <v>189</v>
      </c>
      <c r="D245" s="6" t="s">
        <v>186</v>
      </c>
      <c r="E245" s="6" t="s">
        <v>186</v>
      </c>
      <c r="F245" s="6" t="s">
        <v>186</v>
      </c>
      <c r="G245" s="6" t="s">
        <v>187</v>
      </c>
      <c r="H245" s="47" t="s">
        <v>664</v>
      </c>
      <c r="I245" s="122" t="s">
        <v>665</v>
      </c>
    </row>
    <row r="246" spans="1:9" x14ac:dyDescent="0.2">
      <c r="A246" s="6">
        <v>240</v>
      </c>
      <c r="B246" s="6" t="s">
        <v>185</v>
      </c>
      <c r="C246" s="6">
        <v>190</v>
      </c>
      <c r="D246" s="6" t="s">
        <v>186</v>
      </c>
      <c r="E246" s="6" t="s">
        <v>186</v>
      </c>
      <c r="F246" s="6" t="s">
        <v>186</v>
      </c>
      <c r="G246" s="6" t="s">
        <v>187</v>
      </c>
      <c r="H246" s="47" t="s">
        <v>666</v>
      </c>
      <c r="I246" s="122" t="s">
        <v>667</v>
      </c>
    </row>
    <row r="247" spans="1:9" x14ac:dyDescent="0.2">
      <c r="A247" s="6">
        <v>241</v>
      </c>
      <c r="B247" s="6" t="s">
        <v>185</v>
      </c>
      <c r="C247" s="6">
        <v>191</v>
      </c>
      <c r="D247" s="6" t="s">
        <v>186</v>
      </c>
      <c r="E247" s="6" t="s">
        <v>186</v>
      </c>
      <c r="F247" s="6" t="s">
        <v>186</v>
      </c>
      <c r="G247" s="6" t="s">
        <v>187</v>
      </c>
      <c r="H247" s="47" t="s">
        <v>668</v>
      </c>
      <c r="I247" s="122" t="s">
        <v>669</v>
      </c>
    </row>
    <row r="248" spans="1:9" x14ac:dyDescent="0.2">
      <c r="A248" s="6">
        <v>242</v>
      </c>
      <c r="B248" s="6" t="s">
        <v>185</v>
      </c>
      <c r="C248" s="6">
        <v>192</v>
      </c>
      <c r="D248" s="6" t="s">
        <v>186</v>
      </c>
      <c r="E248" s="6" t="s">
        <v>186</v>
      </c>
      <c r="F248" s="6" t="s">
        <v>186</v>
      </c>
      <c r="G248" s="6" t="s">
        <v>187</v>
      </c>
      <c r="H248" s="47" t="s">
        <v>670</v>
      </c>
      <c r="I248" s="122" t="s">
        <v>671</v>
      </c>
    </row>
    <row r="249" spans="1:9" x14ac:dyDescent="0.2">
      <c r="A249" s="6">
        <v>243</v>
      </c>
      <c r="B249" s="6" t="s">
        <v>185</v>
      </c>
      <c r="C249" s="6">
        <v>193</v>
      </c>
      <c r="D249" s="6" t="s">
        <v>186</v>
      </c>
      <c r="E249" s="6" t="s">
        <v>186</v>
      </c>
      <c r="F249" s="6" t="s">
        <v>186</v>
      </c>
      <c r="G249" s="6" t="s">
        <v>187</v>
      </c>
      <c r="H249" s="47" t="s">
        <v>672</v>
      </c>
      <c r="I249" s="122" t="s">
        <v>673</v>
      </c>
    </row>
    <row r="250" spans="1:9" x14ac:dyDescent="0.2">
      <c r="A250" s="6">
        <v>244</v>
      </c>
      <c r="B250" s="6" t="s">
        <v>185</v>
      </c>
      <c r="C250" s="6">
        <v>194</v>
      </c>
      <c r="D250" s="6" t="s">
        <v>186</v>
      </c>
      <c r="E250" s="6" t="s">
        <v>186</v>
      </c>
      <c r="F250" s="6" t="s">
        <v>186</v>
      </c>
      <c r="G250" s="6" t="s">
        <v>187</v>
      </c>
      <c r="H250" s="47" t="s">
        <v>674</v>
      </c>
      <c r="I250" s="122" t="s">
        <v>675</v>
      </c>
    </row>
    <row r="251" spans="1:9" x14ac:dyDescent="0.2">
      <c r="A251" s="6">
        <v>245</v>
      </c>
      <c r="B251" s="6" t="s">
        <v>185</v>
      </c>
      <c r="C251" s="6">
        <v>195</v>
      </c>
      <c r="D251" s="6" t="s">
        <v>186</v>
      </c>
      <c r="E251" s="6" t="s">
        <v>186</v>
      </c>
      <c r="F251" s="6" t="s">
        <v>186</v>
      </c>
      <c r="G251" s="6" t="s">
        <v>187</v>
      </c>
      <c r="H251" s="47" t="s">
        <v>676</v>
      </c>
      <c r="I251" s="122" t="s">
        <v>677</v>
      </c>
    </row>
    <row r="252" spans="1:9" x14ac:dyDescent="0.2">
      <c r="A252" s="6">
        <v>246</v>
      </c>
      <c r="B252" s="6" t="s">
        <v>185</v>
      </c>
      <c r="C252" s="6">
        <v>196</v>
      </c>
      <c r="D252" s="6" t="s">
        <v>186</v>
      </c>
      <c r="E252" s="6" t="s">
        <v>186</v>
      </c>
      <c r="F252" s="6" t="s">
        <v>186</v>
      </c>
      <c r="G252" s="6" t="s">
        <v>187</v>
      </c>
      <c r="H252" s="47" t="s">
        <v>678</v>
      </c>
      <c r="I252" s="122" t="s">
        <v>679</v>
      </c>
    </row>
    <row r="253" spans="1:9" x14ac:dyDescent="0.2">
      <c r="A253" s="6">
        <v>247</v>
      </c>
      <c r="B253" s="6" t="s">
        <v>185</v>
      </c>
      <c r="C253" s="6">
        <v>197</v>
      </c>
      <c r="D253" s="6" t="s">
        <v>186</v>
      </c>
      <c r="E253" s="6" t="s">
        <v>186</v>
      </c>
      <c r="F253" s="6" t="s">
        <v>186</v>
      </c>
      <c r="G253" s="6" t="s">
        <v>187</v>
      </c>
      <c r="H253" s="47" t="s">
        <v>680</v>
      </c>
      <c r="I253" s="122" t="s">
        <v>681</v>
      </c>
    </row>
    <row r="254" spans="1:9" x14ac:dyDescent="0.2">
      <c r="A254" s="6">
        <v>248</v>
      </c>
      <c r="B254" s="6" t="s">
        <v>185</v>
      </c>
      <c r="C254" s="6">
        <v>198</v>
      </c>
      <c r="D254" s="6" t="s">
        <v>186</v>
      </c>
      <c r="E254" s="6" t="s">
        <v>186</v>
      </c>
      <c r="F254" s="6" t="s">
        <v>186</v>
      </c>
      <c r="G254" s="6" t="s">
        <v>187</v>
      </c>
      <c r="H254" s="47" t="s">
        <v>682</v>
      </c>
      <c r="I254" s="122" t="s">
        <v>683</v>
      </c>
    </row>
    <row r="255" spans="1:9" x14ac:dyDescent="0.2">
      <c r="A255" s="6">
        <v>249</v>
      </c>
      <c r="B255" s="6" t="s">
        <v>185</v>
      </c>
      <c r="C255" s="6">
        <v>199</v>
      </c>
      <c r="D255" s="6" t="s">
        <v>186</v>
      </c>
      <c r="E255" s="6" t="s">
        <v>186</v>
      </c>
      <c r="F255" s="6" t="s">
        <v>186</v>
      </c>
      <c r="G255" s="6" t="s">
        <v>187</v>
      </c>
      <c r="H255" s="47" t="s">
        <v>684</v>
      </c>
      <c r="I255" s="122" t="s">
        <v>685</v>
      </c>
    </row>
    <row r="256" spans="1:9" x14ac:dyDescent="0.2">
      <c r="A256" s="6">
        <v>250</v>
      </c>
      <c r="B256" s="6" t="s">
        <v>185</v>
      </c>
      <c r="C256" s="6">
        <v>200</v>
      </c>
      <c r="D256" s="6" t="s">
        <v>186</v>
      </c>
      <c r="E256" s="6" t="s">
        <v>186</v>
      </c>
      <c r="F256" s="6" t="s">
        <v>186</v>
      </c>
      <c r="G256" s="6" t="s">
        <v>187</v>
      </c>
      <c r="H256" s="47" t="s">
        <v>686</v>
      </c>
      <c r="I256" s="122" t="s">
        <v>687</v>
      </c>
    </row>
    <row r="257" spans="1:9" x14ac:dyDescent="0.2">
      <c r="A257" s="6">
        <v>251</v>
      </c>
      <c r="B257" s="6" t="s">
        <v>185</v>
      </c>
      <c r="C257" s="6">
        <v>201</v>
      </c>
      <c r="D257" s="6" t="s">
        <v>186</v>
      </c>
      <c r="E257" s="6" t="s">
        <v>186</v>
      </c>
      <c r="F257" s="6" t="s">
        <v>186</v>
      </c>
      <c r="G257" s="6" t="s">
        <v>187</v>
      </c>
      <c r="H257" s="47" t="s">
        <v>688</v>
      </c>
      <c r="I257" s="122" t="s">
        <v>689</v>
      </c>
    </row>
    <row r="258" spans="1:9" x14ac:dyDescent="0.2">
      <c r="A258" s="6">
        <v>252</v>
      </c>
      <c r="B258" s="6" t="s">
        <v>185</v>
      </c>
      <c r="C258" s="6">
        <v>202</v>
      </c>
      <c r="D258" s="6" t="s">
        <v>186</v>
      </c>
      <c r="E258" s="6" t="s">
        <v>186</v>
      </c>
      <c r="F258" s="6" t="s">
        <v>186</v>
      </c>
      <c r="G258" s="6" t="s">
        <v>187</v>
      </c>
      <c r="H258" s="47" t="s">
        <v>690</v>
      </c>
      <c r="I258" s="122" t="s">
        <v>691</v>
      </c>
    </row>
    <row r="259" spans="1:9" x14ac:dyDescent="0.2">
      <c r="A259" s="6">
        <v>253</v>
      </c>
      <c r="B259" s="6" t="s">
        <v>185</v>
      </c>
      <c r="C259" s="6">
        <v>203</v>
      </c>
      <c r="D259" s="6" t="s">
        <v>186</v>
      </c>
      <c r="E259" s="6" t="s">
        <v>186</v>
      </c>
      <c r="F259" s="6" t="s">
        <v>186</v>
      </c>
      <c r="G259" s="6" t="s">
        <v>187</v>
      </c>
      <c r="H259" s="47" t="s">
        <v>692</v>
      </c>
      <c r="I259" s="122" t="s">
        <v>693</v>
      </c>
    </row>
    <row r="260" spans="1:9" x14ac:dyDescent="0.2">
      <c r="A260" s="6">
        <v>254</v>
      </c>
      <c r="B260" s="6" t="s">
        <v>185</v>
      </c>
      <c r="C260" s="6">
        <v>204</v>
      </c>
      <c r="D260" s="6" t="s">
        <v>186</v>
      </c>
      <c r="E260" s="6" t="s">
        <v>186</v>
      </c>
      <c r="F260" s="6" t="s">
        <v>186</v>
      </c>
      <c r="G260" s="6" t="s">
        <v>187</v>
      </c>
      <c r="H260" s="47" t="s">
        <v>694</v>
      </c>
      <c r="I260" s="122" t="s">
        <v>695</v>
      </c>
    </row>
    <row r="261" spans="1:9" x14ac:dyDescent="0.2">
      <c r="A261" s="6">
        <v>255</v>
      </c>
      <c r="B261" s="6" t="s">
        <v>185</v>
      </c>
      <c r="C261" s="6">
        <v>205</v>
      </c>
      <c r="D261" s="6" t="s">
        <v>186</v>
      </c>
      <c r="E261" s="6" t="s">
        <v>186</v>
      </c>
      <c r="F261" s="6" t="s">
        <v>186</v>
      </c>
      <c r="G261" s="6" t="s">
        <v>187</v>
      </c>
      <c r="H261" s="47" t="s">
        <v>696</v>
      </c>
      <c r="I261" s="122" t="s">
        <v>697</v>
      </c>
    </row>
    <row r="262" spans="1:9" x14ac:dyDescent="0.2">
      <c r="A262" s="6">
        <v>256</v>
      </c>
      <c r="B262" s="6" t="s">
        <v>185</v>
      </c>
      <c r="C262" s="6">
        <v>206</v>
      </c>
      <c r="D262" s="6" t="s">
        <v>186</v>
      </c>
      <c r="E262" s="6" t="s">
        <v>186</v>
      </c>
      <c r="F262" s="6" t="s">
        <v>186</v>
      </c>
      <c r="G262" s="6" t="s">
        <v>187</v>
      </c>
      <c r="H262" s="47" t="s">
        <v>698</v>
      </c>
      <c r="I262" s="122" t="s">
        <v>699</v>
      </c>
    </row>
    <row r="263" spans="1:9" x14ac:dyDescent="0.2">
      <c r="A263" s="6">
        <v>257</v>
      </c>
      <c r="B263" s="6" t="s">
        <v>185</v>
      </c>
      <c r="C263" s="6">
        <v>207</v>
      </c>
      <c r="D263" s="6" t="s">
        <v>186</v>
      </c>
      <c r="E263" s="6" t="s">
        <v>186</v>
      </c>
      <c r="F263" s="6" t="s">
        <v>186</v>
      </c>
      <c r="G263" s="6" t="s">
        <v>187</v>
      </c>
      <c r="H263" s="47" t="s">
        <v>700</v>
      </c>
      <c r="I263" s="122" t="s">
        <v>701</v>
      </c>
    </row>
    <row r="264" spans="1:9" x14ac:dyDescent="0.2">
      <c r="A264" s="6">
        <v>258</v>
      </c>
      <c r="B264" s="6" t="s">
        <v>185</v>
      </c>
      <c r="C264" s="6">
        <v>208</v>
      </c>
      <c r="D264" s="6" t="s">
        <v>186</v>
      </c>
      <c r="E264" s="6" t="s">
        <v>186</v>
      </c>
      <c r="F264" s="6" t="s">
        <v>186</v>
      </c>
      <c r="G264" s="6" t="s">
        <v>187</v>
      </c>
      <c r="H264" s="47" t="s">
        <v>702</v>
      </c>
      <c r="I264" s="122" t="s">
        <v>703</v>
      </c>
    </row>
    <row r="265" spans="1:9" x14ac:dyDescent="0.2">
      <c r="A265" s="6">
        <v>259</v>
      </c>
      <c r="B265" s="6" t="s">
        <v>185</v>
      </c>
      <c r="C265" s="6">
        <v>209</v>
      </c>
      <c r="D265" s="6" t="s">
        <v>186</v>
      </c>
      <c r="E265" s="6" t="s">
        <v>186</v>
      </c>
      <c r="F265" s="6" t="s">
        <v>186</v>
      </c>
      <c r="G265" s="6" t="s">
        <v>187</v>
      </c>
      <c r="H265" s="47" t="s">
        <v>704</v>
      </c>
      <c r="I265" s="122" t="s">
        <v>705</v>
      </c>
    </row>
    <row r="266" spans="1:9" x14ac:dyDescent="0.2">
      <c r="A266" s="6">
        <v>260</v>
      </c>
      <c r="B266" s="6" t="s">
        <v>185</v>
      </c>
      <c r="C266" s="6">
        <v>210</v>
      </c>
      <c r="D266" s="6" t="s">
        <v>186</v>
      </c>
      <c r="E266" s="6" t="s">
        <v>186</v>
      </c>
      <c r="F266" s="6" t="s">
        <v>186</v>
      </c>
      <c r="G266" s="6" t="s">
        <v>187</v>
      </c>
      <c r="H266" s="47" t="s">
        <v>706</v>
      </c>
      <c r="I266" s="122" t="s">
        <v>707</v>
      </c>
    </row>
    <row r="267" spans="1:9" x14ac:dyDescent="0.2">
      <c r="A267" s="6">
        <v>261</v>
      </c>
      <c r="B267" s="6" t="s">
        <v>185</v>
      </c>
      <c r="C267" s="6">
        <v>211</v>
      </c>
      <c r="D267" s="6" t="s">
        <v>186</v>
      </c>
      <c r="E267" s="6" t="s">
        <v>186</v>
      </c>
      <c r="F267" s="6" t="s">
        <v>186</v>
      </c>
      <c r="G267" s="6" t="s">
        <v>187</v>
      </c>
      <c r="H267" s="47" t="s">
        <v>708</v>
      </c>
      <c r="I267" s="122" t="s">
        <v>709</v>
      </c>
    </row>
    <row r="268" spans="1:9" x14ac:dyDescent="0.2">
      <c r="A268" s="6">
        <v>262</v>
      </c>
      <c r="B268" s="6" t="s">
        <v>185</v>
      </c>
      <c r="C268" s="6">
        <v>212</v>
      </c>
      <c r="D268" s="6" t="s">
        <v>186</v>
      </c>
      <c r="E268" s="6" t="s">
        <v>186</v>
      </c>
      <c r="F268" s="6" t="s">
        <v>186</v>
      </c>
      <c r="G268" s="6" t="s">
        <v>187</v>
      </c>
      <c r="H268" s="47" t="s">
        <v>710</v>
      </c>
      <c r="I268" s="122" t="s">
        <v>711</v>
      </c>
    </row>
    <row r="269" spans="1:9" x14ac:dyDescent="0.2">
      <c r="A269" s="6">
        <v>263</v>
      </c>
      <c r="B269" s="6" t="s">
        <v>185</v>
      </c>
      <c r="C269" s="6">
        <v>213</v>
      </c>
      <c r="D269" s="6" t="s">
        <v>186</v>
      </c>
      <c r="E269" s="6" t="s">
        <v>186</v>
      </c>
      <c r="F269" s="6" t="s">
        <v>186</v>
      </c>
      <c r="G269" s="6" t="s">
        <v>187</v>
      </c>
      <c r="H269" s="47" t="s">
        <v>712</v>
      </c>
      <c r="I269" s="122" t="s">
        <v>713</v>
      </c>
    </row>
    <row r="270" spans="1:9" x14ac:dyDescent="0.2">
      <c r="A270" s="6">
        <v>264</v>
      </c>
      <c r="B270" s="6" t="s">
        <v>185</v>
      </c>
      <c r="C270" s="6">
        <v>214</v>
      </c>
      <c r="D270" s="6" t="s">
        <v>186</v>
      </c>
      <c r="E270" s="6" t="s">
        <v>186</v>
      </c>
      <c r="F270" s="6" t="s">
        <v>186</v>
      </c>
      <c r="G270" s="6" t="s">
        <v>187</v>
      </c>
      <c r="H270" s="47" t="s">
        <v>714</v>
      </c>
      <c r="I270" s="122" t="s">
        <v>715</v>
      </c>
    </row>
    <row r="271" spans="1:9" x14ac:dyDescent="0.2">
      <c r="A271" s="6">
        <v>265</v>
      </c>
      <c r="B271" s="6" t="s">
        <v>185</v>
      </c>
      <c r="C271" s="6">
        <v>215</v>
      </c>
      <c r="D271" s="6" t="s">
        <v>186</v>
      </c>
      <c r="E271" s="6" t="s">
        <v>186</v>
      </c>
      <c r="F271" s="6" t="s">
        <v>186</v>
      </c>
      <c r="G271" s="6" t="s">
        <v>187</v>
      </c>
      <c r="H271" s="47" t="s">
        <v>716</v>
      </c>
      <c r="I271" s="122" t="s">
        <v>717</v>
      </c>
    </row>
    <row r="272" spans="1:9" x14ac:dyDescent="0.2">
      <c r="A272" s="6">
        <v>266</v>
      </c>
      <c r="B272" s="6" t="s">
        <v>185</v>
      </c>
      <c r="C272" s="6">
        <v>216</v>
      </c>
      <c r="D272" s="6" t="s">
        <v>186</v>
      </c>
      <c r="E272" s="6" t="s">
        <v>186</v>
      </c>
      <c r="F272" s="6" t="s">
        <v>186</v>
      </c>
      <c r="G272" s="6" t="s">
        <v>187</v>
      </c>
      <c r="H272" s="47" t="s">
        <v>718</v>
      </c>
      <c r="I272" s="122" t="s">
        <v>719</v>
      </c>
    </row>
    <row r="273" spans="1:9" x14ac:dyDescent="0.2">
      <c r="A273" s="6">
        <v>267</v>
      </c>
      <c r="B273" s="6" t="s">
        <v>185</v>
      </c>
      <c r="C273" s="6">
        <v>217</v>
      </c>
      <c r="D273" s="6" t="s">
        <v>186</v>
      </c>
      <c r="E273" s="6" t="s">
        <v>186</v>
      </c>
      <c r="F273" s="6" t="s">
        <v>186</v>
      </c>
      <c r="G273" s="6" t="s">
        <v>187</v>
      </c>
      <c r="H273" s="47" t="s">
        <v>720</v>
      </c>
      <c r="I273" s="122" t="s">
        <v>721</v>
      </c>
    </row>
    <row r="274" spans="1:9" x14ac:dyDescent="0.2">
      <c r="A274" s="6">
        <v>268</v>
      </c>
      <c r="B274" s="6" t="s">
        <v>185</v>
      </c>
      <c r="C274" s="6">
        <v>218</v>
      </c>
      <c r="D274" s="6" t="s">
        <v>186</v>
      </c>
      <c r="E274" s="6" t="s">
        <v>186</v>
      </c>
      <c r="F274" s="6" t="s">
        <v>186</v>
      </c>
      <c r="G274" s="6" t="s">
        <v>187</v>
      </c>
      <c r="H274" s="47" t="s">
        <v>722</v>
      </c>
      <c r="I274" s="122" t="s">
        <v>723</v>
      </c>
    </row>
    <row r="275" spans="1:9" x14ac:dyDescent="0.2">
      <c r="A275" s="6">
        <v>269</v>
      </c>
      <c r="B275" s="6" t="s">
        <v>185</v>
      </c>
      <c r="C275" s="6">
        <v>219</v>
      </c>
      <c r="D275" s="6" t="s">
        <v>186</v>
      </c>
      <c r="E275" s="6" t="s">
        <v>186</v>
      </c>
      <c r="F275" s="6" t="s">
        <v>186</v>
      </c>
      <c r="G275" s="6" t="s">
        <v>187</v>
      </c>
      <c r="H275" s="47" t="s">
        <v>724</v>
      </c>
      <c r="I275" s="122" t="s">
        <v>725</v>
      </c>
    </row>
    <row r="276" spans="1:9" x14ac:dyDescent="0.2">
      <c r="A276" s="6">
        <v>270</v>
      </c>
      <c r="B276" s="6" t="s">
        <v>185</v>
      </c>
      <c r="C276" s="6">
        <v>220</v>
      </c>
      <c r="D276" s="6" t="s">
        <v>186</v>
      </c>
      <c r="E276" s="6" t="s">
        <v>186</v>
      </c>
      <c r="F276" s="6" t="s">
        <v>186</v>
      </c>
      <c r="G276" s="6" t="s">
        <v>187</v>
      </c>
      <c r="H276" s="47" t="s">
        <v>726</v>
      </c>
      <c r="I276" s="122" t="s">
        <v>727</v>
      </c>
    </row>
    <row r="277" spans="1:9" x14ac:dyDescent="0.2">
      <c r="A277" s="6">
        <v>271</v>
      </c>
      <c r="B277" s="6" t="s">
        <v>185</v>
      </c>
      <c r="C277" s="6">
        <v>221</v>
      </c>
      <c r="D277" s="6" t="s">
        <v>186</v>
      </c>
      <c r="E277" s="6" t="s">
        <v>186</v>
      </c>
      <c r="F277" s="6" t="s">
        <v>186</v>
      </c>
      <c r="G277" s="6" t="s">
        <v>187</v>
      </c>
      <c r="H277" s="47" t="s">
        <v>728</v>
      </c>
      <c r="I277" s="122" t="s">
        <v>729</v>
      </c>
    </row>
    <row r="278" spans="1:9" x14ac:dyDescent="0.2">
      <c r="A278" s="6">
        <v>272</v>
      </c>
      <c r="B278" s="6" t="s">
        <v>185</v>
      </c>
      <c r="C278" s="6">
        <v>222</v>
      </c>
      <c r="D278" s="6" t="s">
        <v>186</v>
      </c>
      <c r="E278" s="6" t="s">
        <v>186</v>
      </c>
      <c r="F278" s="6" t="s">
        <v>186</v>
      </c>
      <c r="G278" s="6" t="s">
        <v>187</v>
      </c>
      <c r="H278" s="47" t="s">
        <v>730</v>
      </c>
      <c r="I278" s="122" t="s">
        <v>731</v>
      </c>
    </row>
    <row r="279" spans="1:9" x14ac:dyDescent="0.2">
      <c r="A279" s="6">
        <v>273</v>
      </c>
      <c r="B279" s="6" t="s">
        <v>185</v>
      </c>
      <c r="C279" s="6">
        <v>223</v>
      </c>
      <c r="D279" s="6" t="s">
        <v>186</v>
      </c>
      <c r="E279" s="6" t="s">
        <v>186</v>
      </c>
      <c r="F279" s="6" t="s">
        <v>186</v>
      </c>
      <c r="G279" s="6" t="s">
        <v>187</v>
      </c>
      <c r="H279" s="47" t="s">
        <v>732</v>
      </c>
      <c r="I279" s="122" t="s">
        <v>733</v>
      </c>
    </row>
    <row r="280" spans="1:9" x14ac:dyDescent="0.2">
      <c r="A280" s="6">
        <v>274</v>
      </c>
      <c r="B280" s="6" t="s">
        <v>185</v>
      </c>
      <c r="C280" s="6">
        <v>224</v>
      </c>
      <c r="D280" s="6" t="s">
        <v>186</v>
      </c>
      <c r="E280" s="6" t="s">
        <v>186</v>
      </c>
      <c r="F280" s="6" t="s">
        <v>186</v>
      </c>
      <c r="G280" s="6" t="s">
        <v>187</v>
      </c>
      <c r="H280" s="47" t="s">
        <v>734</v>
      </c>
      <c r="I280" s="122" t="s">
        <v>735</v>
      </c>
    </row>
    <row r="281" spans="1:9" x14ac:dyDescent="0.2">
      <c r="A281" s="6">
        <v>275</v>
      </c>
      <c r="B281" s="6" t="s">
        <v>185</v>
      </c>
      <c r="C281" s="6">
        <v>225</v>
      </c>
      <c r="D281" s="6" t="s">
        <v>186</v>
      </c>
      <c r="E281" s="6" t="s">
        <v>186</v>
      </c>
      <c r="F281" s="6" t="s">
        <v>186</v>
      </c>
      <c r="G281" s="6" t="s">
        <v>187</v>
      </c>
      <c r="H281" s="47" t="s">
        <v>736</v>
      </c>
      <c r="I281" s="122" t="s">
        <v>737</v>
      </c>
    </row>
    <row r="282" spans="1:9" x14ac:dyDescent="0.2">
      <c r="A282" s="6">
        <v>276</v>
      </c>
      <c r="B282" s="6" t="s">
        <v>185</v>
      </c>
      <c r="C282" s="6">
        <v>226</v>
      </c>
      <c r="D282" s="6" t="s">
        <v>186</v>
      </c>
      <c r="E282" s="6" t="s">
        <v>186</v>
      </c>
      <c r="F282" s="6" t="s">
        <v>186</v>
      </c>
      <c r="G282" s="6" t="s">
        <v>187</v>
      </c>
      <c r="H282" s="47" t="s">
        <v>738</v>
      </c>
      <c r="I282" s="122" t="s">
        <v>739</v>
      </c>
    </row>
    <row r="283" spans="1:9" x14ac:dyDescent="0.2">
      <c r="A283" s="6">
        <v>277</v>
      </c>
      <c r="B283" s="6" t="s">
        <v>185</v>
      </c>
      <c r="C283" s="6">
        <v>227</v>
      </c>
      <c r="D283" s="6" t="s">
        <v>186</v>
      </c>
      <c r="E283" s="6" t="s">
        <v>186</v>
      </c>
      <c r="F283" s="6" t="s">
        <v>186</v>
      </c>
      <c r="G283" s="6" t="s">
        <v>187</v>
      </c>
      <c r="H283" s="47" t="s">
        <v>740</v>
      </c>
      <c r="I283" s="122" t="s">
        <v>741</v>
      </c>
    </row>
    <row r="284" spans="1:9" x14ac:dyDescent="0.2">
      <c r="A284" s="6">
        <v>278</v>
      </c>
      <c r="B284" s="6" t="s">
        <v>185</v>
      </c>
      <c r="C284" s="6">
        <v>228</v>
      </c>
      <c r="D284" s="6" t="s">
        <v>186</v>
      </c>
      <c r="E284" s="6" t="s">
        <v>186</v>
      </c>
      <c r="F284" s="6" t="s">
        <v>186</v>
      </c>
      <c r="G284" s="6" t="s">
        <v>187</v>
      </c>
      <c r="H284" s="47" t="s">
        <v>742</v>
      </c>
      <c r="I284" s="122" t="s">
        <v>743</v>
      </c>
    </row>
    <row r="285" spans="1:9" x14ac:dyDescent="0.2">
      <c r="A285" s="6">
        <v>279</v>
      </c>
      <c r="B285" s="6" t="s">
        <v>185</v>
      </c>
      <c r="C285" s="6">
        <v>229</v>
      </c>
      <c r="D285" s="6" t="s">
        <v>186</v>
      </c>
      <c r="E285" s="6" t="s">
        <v>186</v>
      </c>
      <c r="F285" s="6" t="s">
        <v>186</v>
      </c>
      <c r="G285" s="6" t="s">
        <v>187</v>
      </c>
      <c r="H285" s="47" t="s">
        <v>744</v>
      </c>
      <c r="I285" s="122" t="s">
        <v>745</v>
      </c>
    </row>
    <row r="286" spans="1:9" x14ac:dyDescent="0.2">
      <c r="A286" s="6">
        <v>280</v>
      </c>
      <c r="B286" s="6" t="s">
        <v>185</v>
      </c>
      <c r="C286" s="6">
        <v>230</v>
      </c>
      <c r="D286" s="6" t="s">
        <v>186</v>
      </c>
      <c r="E286" s="6" t="s">
        <v>186</v>
      </c>
      <c r="F286" s="6" t="s">
        <v>186</v>
      </c>
      <c r="G286" s="6" t="s">
        <v>187</v>
      </c>
      <c r="H286" s="47" t="s">
        <v>746</v>
      </c>
      <c r="I286" s="122" t="s">
        <v>747</v>
      </c>
    </row>
    <row r="287" spans="1:9" x14ac:dyDescent="0.2">
      <c r="A287" s="6">
        <v>281</v>
      </c>
      <c r="B287" s="6" t="s">
        <v>185</v>
      </c>
      <c r="C287" s="6">
        <v>231</v>
      </c>
      <c r="D287" s="6" t="s">
        <v>186</v>
      </c>
      <c r="E287" s="6" t="s">
        <v>186</v>
      </c>
      <c r="F287" s="6" t="s">
        <v>186</v>
      </c>
      <c r="G287" s="6" t="s">
        <v>187</v>
      </c>
      <c r="H287" s="47" t="s">
        <v>748</v>
      </c>
      <c r="I287" s="122" t="s">
        <v>749</v>
      </c>
    </row>
    <row r="288" spans="1:9" x14ac:dyDescent="0.2">
      <c r="A288" s="6">
        <v>282</v>
      </c>
      <c r="B288" s="6" t="s">
        <v>185</v>
      </c>
      <c r="C288" s="6">
        <v>232</v>
      </c>
      <c r="D288" s="6" t="s">
        <v>186</v>
      </c>
      <c r="E288" s="6" t="s">
        <v>186</v>
      </c>
      <c r="F288" s="6" t="s">
        <v>186</v>
      </c>
      <c r="G288" s="6" t="s">
        <v>187</v>
      </c>
      <c r="H288" s="47" t="s">
        <v>750</v>
      </c>
      <c r="I288" s="122" t="s">
        <v>751</v>
      </c>
    </row>
    <row r="289" spans="1:9" x14ac:dyDescent="0.2">
      <c r="A289" s="6">
        <v>283</v>
      </c>
      <c r="B289" s="6" t="s">
        <v>185</v>
      </c>
      <c r="C289" s="6">
        <v>233</v>
      </c>
      <c r="D289" s="6" t="s">
        <v>186</v>
      </c>
      <c r="E289" s="6" t="s">
        <v>186</v>
      </c>
      <c r="F289" s="6" t="s">
        <v>186</v>
      </c>
      <c r="G289" s="6" t="s">
        <v>187</v>
      </c>
      <c r="H289" s="47" t="s">
        <v>752</v>
      </c>
      <c r="I289" s="122" t="s">
        <v>753</v>
      </c>
    </row>
    <row r="290" spans="1:9" x14ac:dyDescent="0.2">
      <c r="A290" s="6">
        <v>284</v>
      </c>
      <c r="B290" s="6" t="s">
        <v>185</v>
      </c>
      <c r="C290" s="6">
        <v>234</v>
      </c>
      <c r="D290" s="6" t="s">
        <v>186</v>
      </c>
      <c r="E290" s="6" t="s">
        <v>186</v>
      </c>
      <c r="F290" s="6" t="s">
        <v>186</v>
      </c>
      <c r="G290" s="6" t="s">
        <v>187</v>
      </c>
      <c r="H290" s="47" t="s">
        <v>754</v>
      </c>
      <c r="I290" s="122" t="s">
        <v>755</v>
      </c>
    </row>
    <row r="291" spans="1:9" x14ac:dyDescent="0.2">
      <c r="A291" s="6">
        <v>285</v>
      </c>
      <c r="B291" s="6" t="s">
        <v>185</v>
      </c>
      <c r="C291" s="6">
        <v>235</v>
      </c>
      <c r="D291" s="6" t="s">
        <v>186</v>
      </c>
      <c r="E291" s="6" t="s">
        <v>186</v>
      </c>
      <c r="F291" s="6" t="s">
        <v>186</v>
      </c>
      <c r="G291" s="6" t="s">
        <v>187</v>
      </c>
      <c r="H291" s="47" t="s">
        <v>756</v>
      </c>
      <c r="I291" s="122" t="s">
        <v>757</v>
      </c>
    </row>
    <row r="292" spans="1:9" x14ac:dyDescent="0.2">
      <c r="A292" s="6">
        <v>286</v>
      </c>
      <c r="B292" s="6" t="s">
        <v>185</v>
      </c>
      <c r="C292" s="6">
        <v>236</v>
      </c>
      <c r="D292" s="6" t="s">
        <v>186</v>
      </c>
      <c r="E292" s="6" t="s">
        <v>186</v>
      </c>
      <c r="F292" s="6" t="s">
        <v>186</v>
      </c>
      <c r="G292" s="6" t="s">
        <v>187</v>
      </c>
      <c r="H292" s="47" t="s">
        <v>758</v>
      </c>
      <c r="I292" s="122" t="s">
        <v>759</v>
      </c>
    </row>
    <row r="293" spans="1:9" x14ac:dyDescent="0.2">
      <c r="A293" s="6">
        <v>287</v>
      </c>
      <c r="B293" s="6" t="s">
        <v>185</v>
      </c>
      <c r="C293" s="6">
        <v>237</v>
      </c>
      <c r="D293" s="6" t="s">
        <v>186</v>
      </c>
      <c r="E293" s="6" t="s">
        <v>186</v>
      </c>
      <c r="F293" s="6" t="s">
        <v>186</v>
      </c>
      <c r="G293" s="6" t="s">
        <v>187</v>
      </c>
      <c r="H293" s="47" t="s">
        <v>760</v>
      </c>
      <c r="I293" s="122" t="s">
        <v>761</v>
      </c>
    </row>
    <row r="294" spans="1:9" x14ac:dyDescent="0.2">
      <c r="A294" s="6">
        <v>288</v>
      </c>
      <c r="B294" s="6" t="s">
        <v>185</v>
      </c>
      <c r="C294" s="6">
        <v>238</v>
      </c>
      <c r="D294" s="6" t="s">
        <v>186</v>
      </c>
      <c r="E294" s="6" t="s">
        <v>186</v>
      </c>
      <c r="F294" s="6" t="s">
        <v>186</v>
      </c>
      <c r="G294" s="6" t="s">
        <v>187</v>
      </c>
      <c r="H294" s="47" t="s">
        <v>762</v>
      </c>
      <c r="I294" s="122" t="s">
        <v>763</v>
      </c>
    </row>
    <row r="295" spans="1:9" x14ac:dyDescent="0.2">
      <c r="A295" s="6">
        <v>289</v>
      </c>
      <c r="B295" s="6" t="s">
        <v>185</v>
      </c>
      <c r="C295" s="6">
        <v>239</v>
      </c>
      <c r="D295" s="6" t="s">
        <v>186</v>
      </c>
      <c r="E295" s="6" t="s">
        <v>186</v>
      </c>
      <c r="F295" s="6" t="s">
        <v>186</v>
      </c>
      <c r="G295" s="6" t="s">
        <v>187</v>
      </c>
      <c r="H295" s="47" t="s">
        <v>764</v>
      </c>
      <c r="I295" s="122" t="s">
        <v>765</v>
      </c>
    </row>
    <row r="296" spans="1:9" x14ac:dyDescent="0.2">
      <c r="A296" s="6">
        <v>290</v>
      </c>
      <c r="B296" s="6" t="s">
        <v>185</v>
      </c>
      <c r="C296" s="6">
        <v>240</v>
      </c>
      <c r="D296" s="6" t="s">
        <v>186</v>
      </c>
      <c r="E296" s="6" t="s">
        <v>186</v>
      </c>
      <c r="F296" s="6" t="s">
        <v>186</v>
      </c>
      <c r="G296" s="6" t="s">
        <v>187</v>
      </c>
      <c r="H296" s="47" t="s">
        <v>766</v>
      </c>
      <c r="I296" s="122" t="s">
        <v>767</v>
      </c>
    </row>
    <row r="297" spans="1:9" x14ac:dyDescent="0.2">
      <c r="A297" s="6">
        <v>291</v>
      </c>
      <c r="B297" s="6" t="s">
        <v>185</v>
      </c>
      <c r="C297" s="6">
        <v>241</v>
      </c>
      <c r="D297" s="6" t="s">
        <v>186</v>
      </c>
      <c r="E297" s="6" t="s">
        <v>186</v>
      </c>
      <c r="F297" s="6" t="s">
        <v>186</v>
      </c>
      <c r="G297" s="6" t="s">
        <v>187</v>
      </c>
      <c r="H297" s="47" t="s">
        <v>768</v>
      </c>
      <c r="I297" s="122" t="s">
        <v>769</v>
      </c>
    </row>
    <row r="298" spans="1:9" x14ac:dyDescent="0.2">
      <c r="A298" s="6">
        <v>292</v>
      </c>
      <c r="B298" s="6" t="s">
        <v>185</v>
      </c>
      <c r="C298" s="6">
        <v>242</v>
      </c>
      <c r="D298" s="6" t="s">
        <v>186</v>
      </c>
      <c r="E298" s="6" t="s">
        <v>186</v>
      </c>
      <c r="F298" s="6" t="s">
        <v>186</v>
      </c>
      <c r="G298" s="6" t="s">
        <v>187</v>
      </c>
      <c r="H298" s="47" t="s">
        <v>770</v>
      </c>
      <c r="I298" s="122" t="s">
        <v>771</v>
      </c>
    </row>
    <row r="299" spans="1:9" x14ac:dyDescent="0.2">
      <c r="A299" s="6">
        <v>293</v>
      </c>
      <c r="B299" s="6" t="s">
        <v>185</v>
      </c>
      <c r="C299" s="6">
        <v>243</v>
      </c>
      <c r="D299" s="6" t="s">
        <v>186</v>
      </c>
      <c r="E299" s="6" t="s">
        <v>186</v>
      </c>
      <c r="F299" s="6" t="s">
        <v>186</v>
      </c>
      <c r="G299" s="6" t="s">
        <v>187</v>
      </c>
      <c r="H299" s="47" t="s">
        <v>772</v>
      </c>
      <c r="I299" s="122" t="s">
        <v>773</v>
      </c>
    </row>
    <row r="300" spans="1:9" x14ac:dyDescent="0.2">
      <c r="A300" s="6">
        <v>294</v>
      </c>
      <c r="B300" s="6" t="s">
        <v>185</v>
      </c>
      <c r="C300" s="6">
        <v>244</v>
      </c>
      <c r="D300" s="6" t="s">
        <v>186</v>
      </c>
      <c r="E300" s="6" t="s">
        <v>186</v>
      </c>
      <c r="F300" s="6" t="s">
        <v>186</v>
      </c>
      <c r="G300" s="6" t="s">
        <v>187</v>
      </c>
      <c r="H300" s="47" t="s">
        <v>774</v>
      </c>
      <c r="I300" s="122" t="s">
        <v>775</v>
      </c>
    </row>
    <row r="301" spans="1:9" x14ac:dyDescent="0.2">
      <c r="A301" s="6">
        <v>295</v>
      </c>
      <c r="B301" s="6" t="s">
        <v>185</v>
      </c>
      <c r="C301" s="6">
        <v>245</v>
      </c>
      <c r="D301" s="6" t="s">
        <v>186</v>
      </c>
      <c r="E301" s="6" t="s">
        <v>186</v>
      </c>
      <c r="F301" s="6" t="s">
        <v>186</v>
      </c>
      <c r="G301" s="6" t="s">
        <v>187</v>
      </c>
      <c r="H301" s="47" t="s">
        <v>776</v>
      </c>
      <c r="I301" s="122" t="s">
        <v>777</v>
      </c>
    </row>
    <row r="302" spans="1:9" x14ac:dyDescent="0.2">
      <c r="A302" s="6">
        <v>296</v>
      </c>
      <c r="B302" s="6" t="s">
        <v>185</v>
      </c>
      <c r="C302" s="6">
        <v>246</v>
      </c>
      <c r="D302" s="6" t="s">
        <v>186</v>
      </c>
      <c r="E302" s="6" t="s">
        <v>186</v>
      </c>
      <c r="F302" s="6" t="s">
        <v>186</v>
      </c>
      <c r="G302" s="6" t="s">
        <v>187</v>
      </c>
      <c r="H302" s="47" t="s">
        <v>778</v>
      </c>
      <c r="I302" s="122" t="s">
        <v>779</v>
      </c>
    </row>
    <row r="303" spans="1:9" x14ac:dyDescent="0.2">
      <c r="A303" s="6">
        <v>297</v>
      </c>
      <c r="B303" s="6" t="s">
        <v>185</v>
      </c>
      <c r="C303" s="6">
        <v>247</v>
      </c>
      <c r="D303" s="6" t="s">
        <v>186</v>
      </c>
      <c r="E303" s="6" t="s">
        <v>186</v>
      </c>
      <c r="F303" s="6" t="s">
        <v>186</v>
      </c>
      <c r="G303" s="6" t="s">
        <v>187</v>
      </c>
      <c r="H303" s="47" t="s">
        <v>780</v>
      </c>
      <c r="I303" s="122" t="s">
        <v>781</v>
      </c>
    </row>
    <row r="304" spans="1:9" x14ac:dyDescent="0.2">
      <c r="A304" s="6">
        <v>298</v>
      </c>
      <c r="B304" s="6" t="s">
        <v>185</v>
      </c>
      <c r="C304" s="6">
        <v>248</v>
      </c>
      <c r="D304" s="6" t="s">
        <v>186</v>
      </c>
      <c r="E304" s="6" t="s">
        <v>186</v>
      </c>
      <c r="F304" s="6" t="s">
        <v>186</v>
      </c>
      <c r="G304" s="6" t="s">
        <v>187</v>
      </c>
      <c r="H304" s="47" t="s">
        <v>782</v>
      </c>
      <c r="I304" s="122" t="s">
        <v>783</v>
      </c>
    </row>
    <row r="305" spans="1:9" x14ac:dyDescent="0.2">
      <c r="A305" s="6">
        <v>299</v>
      </c>
      <c r="B305" s="6" t="s">
        <v>185</v>
      </c>
      <c r="C305" s="6">
        <v>249</v>
      </c>
      <c r="D305" s="6" t="s">
        <v>186</v>
      </c>
      <c r="E305" s="6" t="s">
        <v>186</v>
      </c>
      <c r="F305" s="6" t="s">
        <v>186</v>
      </c>
      <c r="G305" s="6" t="s">
        <v>187</v>
      </c>
      <c r="H305" s="47" t="s">
        <v>784</v>
      </c>
      <c r="I305" s="122" t="s">
        <v>785</v>
      </c>
    </row>
    <row r="306" spans="1:9" x14ac:dyDescent="0.2">
      <c r="A306" s="6">
        <v>300</v>
      </c>
      <c r="B306" s="6" t="s">
        <v>185</v>
      </c>
      <c r="C306" s="6">
        <v>250</v>
      </c>
      <c r="D306" s="6" t="s">
        <v>186</v>
      </c>
      <c r="E306" s="6" t="s">
        <v>186</v>
      </c>
      <c r="F306" s="6" t="s">
        <v>186</v>
      </c>
      <c r="G306" s="6" t="s">
        <v>187</v>
      </c>
      <c r="H306" s="47" t="s">
        <v>786</v>
      </c>
      <c r="I306" s="122" t="s">
        <v>787</v>
      </c>
    </row>
    <row r="307" spans="1:9" x14ac:dyDescent="0.2">
      <c r="A307" s="6">
        <v>301</v>
      </c>
      <c r="B307" s="6" t="s">
        <v>185</v>
      </c>
      <c r="C307" s="6">
        <v>251</v>
      </c>
      <c r="D307" s="6" t="s">
        <v>186</v>
      </c>
      <c r="E307" s="6" t="s">
        <v>186</v>
      </c>
      <c r="F307" s="6" t="s">
        <v>186</v>
      </c>
      <c r="G307" s="6" t="s">
        <v>187</v>
      </c>
      <c r="H307" s="47" t="s">
        <v>788</v>
      </c>
      <c r="I307" s="122" t="s">
        <v>789</v>
      </c>
    </row>
    <row r="308" spans="1:9" x14ac:dyDescent="0.2">
      <c r="A308" s="6">
        <v>302</v>
      </c>
      <c r="B308" s="6" t="s">
        <v>185</v>
      </c>
      <c r="C308" s="6">
        <v>252</v>
      </c>
      <c r="D308" s="6" t="s">
        <v>186</v>
      </c>
      <c r="E308" s="6" t="s">
        <v>186</v>
      </c>
      <c r="F308" s="6" t="s">
        <v>186</v>
      </c>
      <c r="G308" s="6" t="s">
        <v>187</v>
      </c>
      <c r="H308" s="47" t="s">
        <v>790</v>
      </c>
      <c r="I308" s="122" t="s">
        <v>791</v>
      </c>
    </row>
    <row r="309" spans="1:9" x14ac:dyDescent="0.2">
      <c r="A309" s="6">
        <v>303</v>
      </c>
      <c r="B309" s="6" t="s">
        <v>185</v>
      </c>
      <c r="C309" s="6">
        <v>253</v>
      </c>
      <c r="D309" s="6" t="s">
        <v>186</v>
      </c>
      <c r="E309" s="6" t="s">
        <v>186</v>
      </c>
      <c r="F309" s="6" t="s">
        <v>186</v>
      </c>
      <c r="G309" s="6" t="s">
        <v>187</v>
      </c>
      <c r="H309" s="47" t="s">
        <v>792</v>
      </c>
      <c r="I309" s="122" t="s">
        <v>793</v>
      </c>
    </row>
    <row r="310" spans="1:9" x14ac:dyDescent="0.2">
      <c r="A310" s="6">
        <v>304</v>
      </c>
      <c r="B310" s="6" t="s">
        <v>185</v>
      </c>
      <c r="C310" s="6">
        <v>254</v>
      </c>
      <c r="D310" s="6" t="s">
        <v>186</v>
      </c>
      <c r="E310" s="6" t="s">
        <v>186</v>
      </c>
      <c r="F310" s="6" t="s">
        <v>186</v>
      </c>
      <c r="G310" s="6" t="s">
        <v>187</v>
      </c>
      <c r="H310" s="47" t="s">
        <v>794</v>
      </c>
      <c r="I310" s="122" t="s">
        <v>795</v>
      </c>
    </row>
    <row r="311" spans="1:9" x14ac:dyDescent="0.2">
      <c r="A311" s="6">
        <v>305</v>
      </c>
      <c r="B311" s="6" t="s">
        <v>185</v>
      </c>
      <c r="C311" s="6">
        <v>255</v>
      </c>
      <c r="D311" s="6" t="s">
        <v>186</v>
      </c>
      <c r="E311" s="6" t="s">
        <v>186</v>
      </c>
      <c r="F311" s="6" t="s">
        <v>186</v>
      </c>
      <c r="G311" s="6" t="s">
        <v>187</v>
      </c>
      <c r="H311" s="47" t="s">
        <v>796</v>
      </c>
      <c r="I311" s="122" t="s">
        <v>797</v>
      </c>
    </row>
    <row r="312" spans="1:9" x14ac:dyDescent="0.2">
      <c r="A312" s="6">
        <v>306</v>
      </c>
      <c r="B312" s="6" t="s">
        <v>185</v>
      </c>
      <c r="C312" s="6">
        <v>256</v>
      </c>
      <c r="D312" s="6" t="s">
        <v>186</v>
      </c>
      <c r="E312" s="6" t="s">
        <v>186</v>
      </c>
      <c r="F312" s="6" t="s">
        <v>186</v>
      </c>
      <c r="G312" s="6" t="s">
        <v>187</v>
      </c>
      <c r="H312" s="47" t="s">
        <v>798</v>
      </c>
      <c r="I312" s="122" t="s">
        <v>799</v>
      </c>
    </row>
    <row r="313" spans="1:9" x14ac:dyDescent="0.2">
      <c r="A313" s="6">
        <v>307</v>
      </c>
      <c r="B313" s="6" t="s">
        <v>185</v>
      </c>
      <c r="C313" s="6">
        <v>257</v>
      </c>
      <c r="D313" s="6" t="s">
        <v>186</v>
      </c>
      <c r="E313" s="6" t="s">
        <v>186</v>
      </c>
      <c r="F313" s="6" t="s">
        <v>186</v>
      </c>
      <c r="G313" s="6" t="s">
        <v>187</v>
      </c>
      <c r="H313" s="47" t="s">
        <v>800</v>
      </c>
      <c r="I313" s="122" t="s">
        <v>801</v>
      </c>
    </row>
    <row r="314" spans="1:9" x14ac:dyDescent="0.2">
      <c r="A314" s="6">
        <v>308</v>
      </c>
      <c r="B314" s="6" t="s">
        <v>185</v>
      </c>
      <c r="C314" s="6">
        <v>258</v>
      </c>
      <c r="D314" s="6" t="s">
        <v>186</v>
      </c>
      <c r="E314" s="6" t="s">
        <v>186</v>
      </c>
      <c r="F314" s="6" t="s">
        <v>186</v>
      </c>
      <c r="G314" s="6" t="s">
        <v>187</v>
      </c>
      <c r="H314" s="47" t="s">
        <v>802</v>
      </c>
      <c r="I314" s="122" t="s">
        <v>803</v>
      </c>
    </row>
    <row r="315" spans="1:9" x14ac:dyDescent="0.2">
      <c r="A315" s="6">
        <v>309</v>
      </c>
      <c r="B315" s="6" t="s">
        <v>185</v>
      </c>
      <c r="C315" s="6">
        <v>259</v>
      </c>
      <c r="D315" s="6" t="s">
        <v>186</v>
      </c>
      <c r="E315" s="6" t="s">
        <v>186</v>
      </c>
      <c r="F315" s="6" t="s">
        <v>186</v>
      </c>
      <c r="G315" s="6" t="s">
        <v>187</v>
      </c>
      <c r="H315" s="47" t="s">
        <v>804</v>
      </c>
      <c r="I315" s="122" t="s">
        <v>805</v>
      </c>
    </row>
    <row r="316" spans="1:9" x14ac:dyDescent="0.2">
      <c r="A316" s="6">
        <v>310</v>
      </c>
      <c r="B316" s="6" t="s">
        <v>185</v>
      </c>
      <c r="C316" s="6">
        <v>260</v>
      </c>
      <c r="D316" s="6" t="s">
        <v>186</v>
      </c>
      <c r="E316" s="6" t="s">
        <v>186</v>
      </c>
      <c r="F316" s="6" t="s">
        <v>186</v>
      </c>
      <c r="G316" s="6" t="s">
        <v>187</v>
      </c>
      <c r="H316" s="47" t="s">
        <v>806</v>
      </c>
      <c r="I316" s="122" t="s">
        <v>807</v>
      </c>
    </row>
    <row r="317" spans="1:9" x14ac:dyDescent="0.2">
      <c r="A317" s="6">
        <v>311</v>
      </c>
      <c r="B317" s="6" t="s">
        <v>185</v>
      </c>
      <c r="C317" s="6">
        <v>261</v>
      </c>
      <c r="D317" s="6" t="s">
        <v>186</v>
      </c>
      <c r="E317" s="6" t="s">
        <v>186</v>
      </c>
      <c r="F317" s="6" t="s">
        <v>186</v>
      </c>
      <c r="G317" s="6" t="s">
        <v>187</v>
      </c>
      <c r="H317" s="47" t="s">
        <v>808</v>
      </c>
      <c r="I317" s="122" t="s">
        <v>809</v>
      </c>
    </row>
    <row r="318" spans="1:9" x14ac:dyDescent="0.2">
      <c r="A318" s="6">
        <v>312</v>
      </c>
      <c r="B318" s="6" t="s">
        <v>185</v>
      </c>
      <c r="C318" s="6">
        <v>262</v>
      </c>
      <c r="D318" s="6" t="s">
        <v>186</v>
      </c>
      <c r="E318" s="6" t="s">
        <v>186</v>
      </c>
      <c r="F318" s="6" t="s">
        <v>186</v>
      </c>
      <c r="G318" s="6" t="s">
        <v>187</v>
      </c>
      <c r="H318" s="47" t="s">
        <v>810</v>
      </c>
      <c r="I318" s="122" t="s">
        <v>811</v>
      </c>
    </row>
    <row r="319" spans="1:9" x14ac:dyDescent="0.2">
      <c r="A319" s="6">
        <v>313</v>
      </c>
      <c r="B319" s="6" t="s">
        <v>185</v>
      </c>
      <c r="C319" s="6">
        <v>263</v>
      </c>
      <c r="D319" s="6" t="s">
        <v>186</v>
      </c>
      <c r="E319" s="6" t="s">
        <v>186</v>
      </c>
      <c r="F319" s="6" t="s">
        <v>186</v>
      </c>
      <c r="G319" s="6" t="s">
        <v>187</v>
      </c>
      <c r="H319" s="47" t="s">
        <v>812</v>
      </c>
      <c r="I319" s="122" t="s">
        <v>813</v>
      </c>
    </row>
    <row r="320" spans="1:9" x14ac:dyDescent="0.2">
      <c r="A320" s="6">
        <v>314</v>
      </c>
      <c r="B320" s="6" t="s">
        <v>185</v>
      </c>
      <c r="C320" s="6">
        <v>264</v>
      </c>
      <c r="D320" s="6" t="s">
        <v>186</v>
      </c>
      <c r="E320" s="6" t="s">
        <v>186</v>
      </c>
      <c r="F320" s="6" t="s">
        <v>186</v>
      </c>
      <c r="G320" s="6" t="s">
        <v>187</v>
      </c>
      <c r="H320" s="47" t="s">
        <v>814</v>
      </c>
      <c r="I320" s="122" t="s">
        <v>815</v>
      </c>
    </row>
    <row r="321" spans="1:9" x14ac:dyDescent="0.2">
      <c r="A321" s="6">
        <v>315</v>
      </c>
      <c r="B321" s="6" t="s">
        <v>185</v>
      </c>
      <c r="C321" s="6">
        <v>265</v>
      </c>
      <c r="D321" s="6" t="s">
        <v>186</v>
      </c>
      <c r="E321" s="6" t="s">
        <v>186</v>
      </c>
      <c r="F321" s="6" t="s">
        <v>186</v>
      </c>
      <c r="G321" s="6" t="s">
        <v>187</v>
      </c>
      <c r="H321" s="47" t="s">
        <v>816</v>
      </c>
      <c r="I321" s="122" t="s">
        <v>817</v>
      </c>
    </row>
    <row r="322" spans="1:9" x14ac:dyDescent="0.2">
      <c r="A322" s="6">
        <v>316</v>
      </c>
      <c r="B322" s="6" t="s">
        <v>185</v>
      </c>
      <c r="C322" s="6">
        <v>266</v>
      </c>
      <c r="D322" s="6" t="s">
        <v>186</v>
      </c>
      <c r="E322" s="6" t="s">
        <v>186</v>
      </c>
      <c r="F322" s="6" t="s">
        <v>186</v>
      </c>
      <c r="G322" s="6" t="s">
        <v>187</v>
      </c>
      <c r="H322" s="47" t="s">
        <v>818</v>
      </c>
      <c r="I322" s="122" t="s">
        <v>819</v>
      </c>
    </row>
    <row r="323" spans="1:9" x14ac:dyDescent="0.2">
      <c r="A323" s="6">
        <v>317</v>
      </c>
      <c r="B323" s="6" t="s">
        <v>185</v>
      </c>
      <c r="C323" s="6">
        <v>267</v>
      </c>
      <c r="D323" s="6" t="s">
        <v>186</v>
      </c>
      <c r="E323" s="6" t="s">
        <v>186</v>
      </c>
      <c r="F323" s="6" t="s">
        <v>186</v>
      </c>
      <c r="G323" s="6" t="s">
        <v>187</v>
      </c>
      <c r="H323" s="47" t="s">
        <v>820</v>
      </c>
      <c r="I323" s="122" t="s">
        <v>821</v>
      </c>
    </row>
    <row r="324" spans="1:9" x14ac:dyDescent="0.2">
      <c r="A324" s="6">
        <v>318</v>
      </c>
      <c r="B324" s="6" t="s">
        <v>185</v>
      </c>
      <c r="C324" s="6">
        <v>268</v>
      </c>
      <c r="D324" s="6" t="s">
        <v>186</v>
      </c>
      <c r="E324" s="6" t="s">
        <v>186</v>
      </c>
      <c r="F324" s="6" t="s">
        <v>186</v>
      </c>
      <c r="G324" s="6" t="s">
        <v>187</v>
      </c>
      <c r="H324" s="47" t="s">
        <v>822</v>
      </c>
      <c r="I324" s="122" t="s">
        <v>823</v>
      </c>
    </row>
    <row r="325" spans="1:9" x14ac:dyDescent="0.2">
      <c r="A325" s="6">
        <v>319</v>
      </c>
      <c r="B325" s="6" t="s">
        <v>185</v>
      </c>
      <c r="C325" s="6">
        <v>269</v>
      </c>
      <c r="D325" s="6" t="s">
        <v>186</v>
      </c>
      <c r="E325" s="6" t="s">
        <v>186</v>
      </c>
      <c r="F325" s="6" t="s">
        <v>186</v>
      </c>
      <c r="G325" s="6" t="s">
        <v>187</v>
      </c>
      <c r="H325" s="47" t="s">
        <v>824</v>
      </c>
      <c r="I325" s="122" t="s">
        <v>825</v>
      </c>
    </row>
    <row r="326" spans="1:9" x14ac:dyDescent="0.2">
      <c r="A326" s="6">
        <v>320</v>
      </c>
      <c r="B326" s="6" t="s">
        <v>185</v>
      </c>
      <c r="C326" s="6">
        <v>270</v>
      </c>
      <c r="D326" s="6" t="s">
        <v>186</v>
      </c>
      <c r="E326" s="6" t="s">
        <v>186</v>
      </c>
      <c r="F326" s="6" t="s">
        <v>186</v>
      </c>
      <c r="G326" s="6" t="s">
        <v>187</v>
      </c>
      <c r="H326" s="47" t="s">
        <v>826</v>
      </c>
      <c r="I326" s="122" t="s">
        <v>827</v>
      </c>
    </row>
    <row r="327" spans="1:9" x14ac:dyDescent="0.2">
      <c r="A327" s="6">
        <v>321</v>
      </c>
      <c r="B327" s="6" t="s">
        <v>185</v>
      </c>
      <c r="C327" s="6">
        <v>271</v>
      </c>
      <c r="D327" s="6" t="s">
        <v>186</v>
      </c>
      <c r="E327" s="6" t="s">
        <v>186</v>
      </c>
      <c r="F327" s="6" t="s">
        <v>186</v>
      </c>
      <c r="G327" s="6" t="s">
        <v>187</v>
      </c>
      <c r="H327" s="47" t="s">
        <v>828</v>
      </c>
      <c r="I327" s="122" t="s">
        <v>829</v>
      </c>
    </row>
    <row r="328" spans="1:9" x14ac:dyDescent="0.2">
      <c r="A328" s="6">
        <v>322</v>
      </c>
      <c r="B328" s="6" t="s">
        <v>185</v>
      </c>
      <c r="C328" s="6">
        <v>272</v>
      </c>
      <c r="D328" s="6" t="s">
        <v>186</v>
      </c>
      <c r="E328" s="6" t="s">
        <v>186</v>
      </c>
      <c r="F328" s="6" t="s">
        <v>186</v>
      </c>
      <c r="G328" s="6" t="s">
        <v>187</v>
      </c>
      <c r="H328" s="47" t="s">
        <v>830</v>
      </c>
      <c r="I328" s="122" t="s">
        <v>831</v>
      </c>
    </row>
    <row r="329" spans="1:9" x14ac:dyDescent="0.2">
      <c r="A329" s="6">
        <v>323</v>
      </c>
      <c r="B329" s="6" t="s">
        <v>185</v>
      </c>
      <c r="C329" s="6">
        <v>273</v>
      </c>
      <c r="D329" s="6" t="s">
        <v>186</v>
      </c>
      <c r="E329" s="6" t="s">
        <v>186</v>
      </c>
      <c r="F329" s="6" t="s">
        <v>186</v>
      </c>
      <c r="G329" s="6" t="s">
        <v>187</v>
      </c>
      <c r="H329" s="47" t="s">
        <v>832</v>
      </c>
      <c r="I329" s="122" t="s">
        <v>833</v>
      </c>
    </row>
    <row r="330" spans="1:9" x14ac:dyDescent="0.2">
      <c r="A330" s="6">
        <v>324</v>
      </c>
      <c r="B330" s="6" t="s">
        <v>185</v>
      </c>
      <c r="C330" s="6">
        <v>274</v>
      </c>
      <c r="D330" s="6" t="s">
        <v>186</v>
      </c>
      <c r="E330" s="6" t="s">
        <v>186</v>
      </c>
      <c r="F330" s="6" t="s">
        <v>186</v>
      </c>
      <c r="G330" s="6" t="s">
        <v>187</v>
      </c>
      <c r="H330" s="47" t="s">
        <v>834</v>
      </c>
      <c r="I330" s="122" t="s">
        <v>835</v>
      </c>
    </row>
    <row r="331" spans="1:9" x14ac:dyDescent="0.2">
      <c r="A331" s="6">
        <v>325</v>
      </c>
      <c r="B331" s="6" t="s">
        <v>185</v>
      </c>
      <c r="C331" s="6">
        <v>275</v>
      </c>
      <c r="D331" s="6" t="s">
        <v>186</v>
      </c>
      <c r="E331" s="6" t="s">
        <v>186</v>
      </c>
      <c r="F331" s="6" t="s">
        <v>186</v>
      </c>
      <c r="G331" s="6" t="s">
        <v>187</v>
      </c>
      <c r="H331" s="47" t="s">
        <v>836</v>
      </c>
      <c r="I331" s="122" t="s">
        <v>837</v>
      </c>
    </row>
    <row r="332" spans="1:9" x14ac:dyDescent="0.2">
      <c r="A332" s="6">
        <v>326</v>
      </c>
      <c r="B332" s="6" t="s">
        <v>185</v>
      </c>
      <c r="C332" s="6">
        <v>276</v>
      </c>
      <c r="D332" s="6" t="s">
        <v>186</v>
      </c>
      <c r="E332" s="6" t="s">
        <v>186</v>
      </c>
      <c r="F332" s="6" t="s">
        <v>186</v>
      </c>
      <c r="G332" s="6" t="s">
        <v>187</v>
      </c>
      <c r="H332" s="47" t="s">
        <v>838</v>
      </c>
      <c r="I332" s="122" t="s">
        <v>839</v>
      </c>
    </row>
    <row r="333" spans="1:9" x14ac:dyDescent="0.2">
      <c r="A333" s="6">
        <v>327</v>
      </c>
      <c r="B333" s="6" t="s">
        <v>185</v>
      </c>
      <c r="C333" s="6">
        <v>277</v>
      </c>
      <c r="D333" s="6" t="s">
        <v>186</v>
      </c>
      <c r="E333" s="6" t="s">
        <v>186</v>
      </c>
      <c r="F333" s="6" t="s">
        <v>186</v>
      </c>
      <c r="G333" s="6" t="s">
        <v>187</v>
      </c>
      <c r="H333" s="47" t="s">
        <v>840</v>
      </c>
      <c r="I333" s="122" t="s">
        <v>841</v>
      </c>
    </row>
    <row r="334" spans="1:9" x14ac:dyDescent="0.2">
      <c r="A334" s="6">
        <v>328</v>
      </c>
      <c r="B334" s="6" t="s">
        <v>185</v>
      </c>
      <c r="C334" s="6">
        <v>278</v>
      </c>
      <c r="D334" s="6" t="s">
        <v>186</v>
      </c>
      <c r="E334" s="6" t="s">
        <v>186</v>
      </c>
      <c r="F334" s="6" t="s">
        <v>186</v>
      </c>
      <c r="G334" s="6" t="s">
        <v>187</v>
      </c>
      <c r="H334" s="47" t="s">
        <v>842</v>
      </c>
      <c r="I334" s="122" t="s">
        <v>843</v>
      </c>
    </row>
    <row r="335" spans="1:9" x14ac:dyDescent="0.2">
      <c r="A335" s="6">
        <v>329</v>
      </c>
      <c r="B335" s="6" t="s">
        <v>185</v>
      </c>
      <c r="C335" s="6">
        <v>279</v>
      </c>
      <c r="D335" s="6" t="s">
        <v>186</v>
      </c>
      <c r="E335" s="6" t="s">
        <v>186</v>
      </c>
      <c r="F335" s="6" t="s">
        <v>186</v>
      </c>
      <c r="G335" s="6" t="s">
        <v>187</v>
      </c>
      <c r="H335" s="47" t="s">
        <v>844</v>
      </c>
      <c r="I335" s="122" t="s">
        <v>845</v>
      </c>
    </row>
    <row r="336" spans="1:9" x14ac:dyDescent="0.2">
      <c r="A336" s="6">
        <v>330</v>
      </c>
      <c r="B336" s="6" t="s">
        <v>185</v>
      </c>
      <c r="C336" s="6">
        <v>280</v>
      </c>
      <c r="D336" s="6" t="s">
        <v>186</v>
      </c>
      <c r="E336" s="6" t="s">
        <v>186</v>
      </c>
      <c r="F336" s="6" t="s">
        <v>186</v>
      </c>
      <c r="G336" s="6" t="s">
        <v>187</v>
      </c>
      <c r="H336" s="47" t="s">
        <v>846</v>
      </c>
      <c r="I336" s="122" t="s">
        <v>847</v>
      </c>
    </row>
    <row r="337" spans="1:9" x14ac:dyDescent="0.2">
      <c r="A337" s="6">
        <v>331</v>
      </c>
      <c r="B337" s="6" t="s">
        <v>185</v>
      </c>
      <c r="C337" s="6">
        <v>281</v>
      </c>
      <c r="D337" s="6" t="s">
        <v>186</v>
      </c>
      <c r="E337" s="6" t="s">
        <v>186</v>
      </c>
      <c r="F337" s="6" t="s">
        <v>186</v>
      </c>
      <c r="G337" s="6" t="s">
        <v>187</v>
      </c>
      <c r="H337" s="47" t="s">
        <v>848</v>
      </c>
      <c r="I337" s="122" t="s">
        <v>849</v>
      </c>
    </row>
    <row r="338" spans="1:9" x14ac:dyDescent="0.2">
      <c r="A338" s="6">
        <v>332</v>
      </c>
      <c r="B338" s="6" t="s">
        <v>185</v>
      </c>
      <c r="C338" s="6">
        <v>282</v>
      </c>
      <c r="D338" s="6" t="s">
        <v>186</v>
      </c>
      <c r="E338" s="6" t="s">
        <v>186</v>
      </c>
      <c r="F338" s="6" t="s">
        <v>186</v>
      </c>
      <c r="G338" s="6" t="s">
        <v>187</v>
      </c>
      <c r="H338" s="47" t="s">
        <v>850</v>
      </c>
      <c r="I338" s="122" t="s">
        <v>851</v>
      </c>
    </row>
    <row r="339" spans="1:9" x14ac:dyDescent="0.2">
      <c r="A339" s="6">
        <v>333</v>
      </c>
      <c r="B339" s="6" t="s">
        <v>185</v>
      </c>
      <c r="C339" s="6">
        <v>283</v>
      </c>
      <c r="D339" s="6" t="s">
        <v>186</v>
      </c>
      <c r="E339" s="6" t="s">
        <v>186</v>
      </c>
      <c r="F339" s="6" t="s">
        <v>186</v>
      </c>
      <c r="G339" s="6" t="s">
        <v>187</v>
      </c>
      <c r="H339" s="47" t="s">
        <v>852</v>
      </c>
      <c r="I339" s="122" t="s">
        <v>853</v>
      </c>
    </row>
    <row r="340" spans="1:9" x14ac:dyDescent="0.2">
      <c r="A340" s="6">
        <v>334</v>
      </c>
      <c r="B340" s="6" t="s">
        <v>185</v>
      </c>
      <c r="C340" s="6">
        <v>284</v>
      </c>
      <c r="D340" s="6" t="s">
        <v>186</v>
      </c>
      <c r="E340" s="6" t="s">
        <v>186</v>
      </c>
      <c r="F340" s="6" t="s">
        <v>186</v>
      </c>
      <c r="G340" s="6" t="s">
        <v>187</v>
      </c>
      <c r="H340" s="47" t="s">
        <v>854</v>
      </c>
      <c r="I340" s="122" t="s">
        <v>855</v>
      </c>
    </row>
    <row r="341" spans="1:9" x14ac:dyDescent="0.2">
      <c r="A341" s="6">
        <v>335</v>
      </c>
      <c r="B341" s="6" t="s">
        <v>185</v>
      </c>
      <c r="C341" s="6">
        <v>285</v>
      </c>
      <c r="D341" s="6" t="s">
        <v>186</v>
      </c>
      <c r="E341" s="6" t="s">
        <v>186</v>
      </c>
      <c r="F341" s="6" t="s">
        <v>186</v>
      </c>
      <c r="G341" s="6" t="s">
        <v>187</v>
      </c>
      <c r="H341" s="47" t="s">
        <v>856</v>
      </c>
      <c r="I341" s="122" t="s">
        <v>857</v>
      </c>
    </row>
    <row r="342" spans="1:9" x14ac:dyDescent="0.2">
      <c r="A342" s="6">
        <v>336</v>
      </c>
      <c r="B342" s="6" t="s">
        <v>185</v>
      </c>
      <c r="C342" s="6">
        <v>286</v>
      </c>
      <c r="D342" s="6" t="s">
        <v>186</v>
      </c>
      <c r="E342" s="6" t="s">
        <v>186</v>
      </c>
      <c r="F342" s="6" t="s">
        <v>186</v>
      </c>
      <c r="G342" s="6" t="s">
        <v>187</v>
      </c>
      <c r="H342" s="47" t="s">
        <v>858</v>
      </c>
      <c r="I342" s="122" t="s">
        <v>859</v>
      </c>
    </row>
    <row r="343" spans="1:9" x14ac:dyDescent="0.2">
      <c r="A343" s="6">
        <v>337</v>
      </c>
      <c r="B343" s="6" t="s">
        <v>185</v>
      </c>
      <c r="C343" s="6">
        <v>287</v>
      </c>
      <c r="D343" s="6" t="s">
        <v>186</v>
      </c>
      <c r="E343" s="6" t="s">
        <v>186</v>
      </c>
      <c r="F343" s="6" t="s">
        <v>186</v>
      </c>
      <c r="G343" s="6" t="s">
        <v>187</v>
      </c>
      <c r="H343" s="47" t="s">
        <v>860</v>
      </c>
      <c r="I343" s="122" t="s">
        <v>861</v>
      </c>
    </row>
    <row r="344" spans="1:9" x14ac:dyDescent="0.2">
      <c r="A344" s="6">
        <v>338</v>
      </c>
      <c r="B344" s="6" t="s">
        <v>185</v>
      </c>
      <c r="C344" s="6">
        <v>288</v>
      </c>
      <c r="D344" s="6" t="s">
        <v>186</v>
      </c>
      <c r="E344" s="6" t="s">
        <v>186</v>
      </c>
      <c r="F344" s="6" t="s">
        <v>186</v>
      </c>
      <c r="G344" s="6" t="s">
        <v>187</v>
      </c>
      <c r="H344" s="47" t="s">
        <v>862</v>
      </c>
      <c r="I344" s="122" t="s">
        <v>863</v>
      </c>
    </row>
    <row r="345" spans="1:9" x14ac:dyDescent="0.2">
      <c r="A345" s="6">
        <v>339</v>
      </c>
      <c r="B345" s="6" t="s">
        <v>185</v>
      </c>
      <c r="C345" s="6">
        <v>289</v>
      </c>
      <c r="D345" s="6" t="s">
        <v>186</v>
      </c>
      <c r="E345" s="6" t="s">
        <v>186</v>
      </c>
      <c r="F345" s="6" t="s">
        <v>186</v>
      </c>
      <c r="G345" s="6" t="s">
        <v>187</v>
      </c>
      <c r="H345" s="47" t="s">
        <v>864</v>
      </c>
      <c r="I345" s="122" t="s">
        <v>865</v>
      </c>
    </row>
    <row r="346" spans="1:9" x14ac:dyDescent="0.2">
      <c r="A346" s="6">
        <v>340</v>
      </c>
      <c r="B346" s="6" t="s">
        <v>185</v>
      </c>
      <c r="C346" s="6">
        <v>290</v>
      </c>
      <c r="D346" s="6" t="s">
        <v>186</v>
      </c>
      <c r="E346" s="6" t="s">
        <v>186</v>
      </c>
      <c r="F346" s="6" t="s">
        <v>186</v>
      </c>
      <c r="G346" s="6" t="s">
        <v>187</v>
      </c>
      <c r="H346" s="47" t="s">
        <v>866</v>
      </c>
      <c r="I346" s="122" t="s">
        <v>867</v>
      </c>
    </row>
    <row r="347" spans="1:9" x14ac:dyDescent="0.2">
      <c r="A347" s="6">
        <v>341</v>
      </c>
      <c r="B347" s="6" t="s">
        <v>185</v>
      </c>
      <c r="C347" s="6">
        <v>291</v>
      </c>
      <c r="D347" s="6" t="s">
        <v>186</v>
      </c>
      <c r="E347" s="6" t="s">
        <v>186</v>
      </c>
      <c r="F347" s="6" t="s">
        <v>186</v>
      </c>
      <c r="G347" s="6" t="s">
        <v>187</v>
      </c>
      <c r="H347" s="47" t="s">
        <v>868</v>
      </c>
      <c r="I347" s="122" t="s">
        <v>869</v>
      </c>
    </row>
    <row r="348" spans="1:9" x14ac:dyDescent="0.2">
      <c r="A348" s="6">
        <v>342</v>
      </c>
      <c r="B348" s="6" t="s">
        <v>185</v>
      </c>
      <c r="C348" s="6">
        <v>292</v>
      </c>
      <c r="D348" s="6" t="s">
        <v>186</v>
      </c>
      <c r="E348" s="6" t="s">
        <v>186</v>
      </c>
      <c r="F348" s="6" t="s">
        <v>186</v>
      </c>
      <c r="G348" s="6" t="s">
        <v>187</v>
      </c>
      <c r="H348" s="47" t="s">
        <v>870</v>
      </c>
      <c r="I348" s="122" t="s">
        <v>871</v>
      </c>
    </row>
    <row r="349" spans="1:9" x14ac:dyDescent="0.2">
      <c r="A349" s="6">
        <v>343</v>
      </c>
      <c r="B349" s="6" t="s">
        <v>185</v>
      </c>
      <c r="C349" s="6">
        <v>293</v>
      </c>
      <c r="D349" s="6" t="s">
        <v>186</v>
      </c>
      <c r="E349" s="6" t="s">
        <v>186</v>
      </c>
      <c r="F349" s="6" t="s">
        <v>186</v>
      </c>
      <c r="G349" s="6" t="s">
        <v>187</v>
      </c>
      <c r="H349" s="47" t="s">
        <v>872</v>
      </c>
      <c r="I349" s="122" t="s">
        <v>873</v>
      </c>
    </row>
    <row r="350" spans="1:9" x14ac:dyDescent="0.2">
      <c r="A350" s="6">
        <v>344</v>
      </c>
      <c r="B350" s="6" t="s">
        <v>185</v>
      </c>
      <c r="C350" s="6">
        <v>294</v>
      </c>
      <c r="D350" s="6" t="s">
        <v>186</v>
      </c>
      <c r="E350" s="6" t="s">
        <v>186</v>
      </c>
      <c r="F350" s="6" t="s">
        <v>186</v>
      </c>
      <c r="G350" s="6" t="s">
        <v>187</v>
      </c>
      <c r="H350" s="47" t="s">
        <v>874</v>
      </c>
      <c r="I350" s="122" t="s">
        <v>875</v>
      </c>
    </row>
    <row r="351" spans="1:9" x14ac:dyDescent="0.2">
      <c r="A351" s="6">
        <v>345</v>
      </c>
      <c r="B351" s="6" t="s">
        <v>185</v>
      </c>
      <c r="C351" s="6">
        <v>295</v>
      </c>
      <c r="D351" s="6" t="s">
        <v>186</v>
      </c>
      <c r="E351" s="6" t="s">
        <v>186</v>
      </c>
      <c r="F351" s="6" t="s">
        <v>186</v>
      </c>
      <c r="G351" s="6" t="s">
        <v>187</v>
      </c>
      <c r="H351" s="47" t="s">
        <v>876</v>
      </c>
      <c r="I351" s="122" t="s">
        <v>877</v>
      </c>
    </row>
    <row r="352" spans="1:9" x14ac:dyDescent="0.2">
      <c r="A352" s="6">
        <v>346</v>
      </c>
      <c r="B352" s="6" t="s">
        <v>185</v>
      </c>
      <c r="C352" s="6">
        <v>296</v>
      </c>
      <c r="D352" s="6" t="s">
        <v>186</v>
      </c>
      <c r="E352" s="6" t="s">
        <v>186</v>
      </c>
      <c r="F352" s="6" t="s">
        <v>186</v>
      </c>
      <c r="G352" s="6" t="s">
        <v>187</v>
      </c>
      <c r="H352" s="47" t="s">
        <v>878</v>
      </c>
      <c r="I352" s="122" t="s">
        <v>879</v>
      </c>
    </row>
    <row r="353" spans="1:9" x14ac:dyDescent="0.2">
      <c r="A353" s="6">
        <v>347</v>
      </c>
      <c r="B353" s="6" t="s">
        <v>185</v>
      </c>
      <c r="C353" s="6">
        <v>297</v>
      </c>
      <c r="D353" s="6" t="s">
        <v>186</v>
      </c>
      <c r="E353" s="6" t="s">
        <v>186</v>
      </c>
      <c r="F353" s="6" t="s">
        <v>186</v>
      </c>
      <c r="G353" s="6" t="s">
        <v>187</v>
      </c>
      <c r="H353" s="47" t="s">
        <v>880</v>
      </c>
      <c r="I353" s="122" t="s">
        <v>881</v>
      </c>
    </row>
    <row r="354" spans="1:9" x14ac:dyDescent="0.2">
      <c r="A354" s="6">
        <v>348</v>
      </c>
      <c r="B354" s="6" t="s">
        <v>185</v>
      </c>
      <c r="C354" s="6">
        <v>298</v>
      </c>
      <c r="D354" s="6" t="s">
        <v>186</v>
      </c>
      <c r="E354" s="6" t="s">
        <v>186</v>
      </c>
      <c r="F354" s="6" t="s">
        <v>186</v>
      </c>
      <c r="G354" s="6" t="s">
        <v>187</v>
      </c>
      <c r="H354" s="47" t="s">
        <v>882</v>
      </c>
      <c r="I354" s="122" t="s">
        <v>883</v>
      </c>
    </row>
    <row r="355" spans="1:9" x14ac:dyDescent="0.2">
      <c r="A355" s="6">
        <v>349</v>
      </c>
      <c r="B355" s="6" t="s">
        <v>185</v>
      </c>
      <c r="C355" s="6">
        <v>299</v>
      </c>
      <c r="D355" s="6" t="s">
        <v>186</v>
      </c>
      <c r="E355" s="6" t="s">
        <v>186</v>
      </c>
      <c r="F355" s="6" t="s">
        <v>186</v>
      </c>
      <c r="G355" s="6" t="s">
        <v>187</v>
      </c>
      <c r="H355" s="47" t="s">
        <v>884</v>
      </c>
      <c r="I355" s="122" t="s">
        <v>885</v>
      </c>
    </row>
    <row r="356" spans="1:9" x14ac:dyDescent="0.2">
      <c r="A356" s="6">
        <v>350</v>
      </c>
      <c r="B356" s="6" t="s">
        <v>185</v>
      </c>
      <c r="C356" s="6">
        <v>300</v>
      </c>
      <c r="D356" s="6" t="s">
        <v>186</v>
      </c>
      <c r="E356" s="6" t="s">
        <v>186</v>
      </c>
      <c r="F356" s="6" t="s">
        <v>186</v>
      </c>
      <c r="G356" s="6" t="s">
        <v>187</v>
      </c>
      <c r="H356" s="47" t="s">
        <v>886</v>
      </c>
      <c r="I356" s="122" t="s">
        <v>887</v>
      </c>
    </row>
    <row r="357" spans="1:9" x14ac:dyDescent="0.2">
      <c r="A357" s="6">
        <v>351</v>
      </c>
      <c r="B357" s="6" t="s">
        <v>185</v>
      </c>
      <c r="C357" s="6">
        <v>301</v>
      </c>
      <c r="D357" s="6" t="s">
        <v>186</v>
      </c>
      <c r="E357" s="6" t="s">
        <v>186</v>
      </c>
      <c r="F357" s="6" t="s">
        <v>186</v>
      </c>
      <c r="G357" s="6" t="s">
        <v>187</v>
      </c>
      <c r="H357" s="47" t="s">
        <v>888</v>
      </c>
      <c r="I357" s="122" t="s">
        <v>889</v>
      </c>
    </row>
    <row r="358" spans="1:9" x14ac:dyDescent="0.2">
      <c r="A358" s="6">
        <v>352</v>
      </c>
      <c r="B358" s="6" t="s">
        <v>185</v>
      </c>
      <c r="C358" s="6">
        <v>302</v>
      </c>
      <c r="D358" s="6" t="s">
        <v>186</v>
      </c>
      <c r="E358" s="6" t="s">
        <v>186</v>
      </c>
      <c r="F358" s="6" t="s">
        <v>186</v>
      </c>
      <c r="G358" s="6" t="s">
        <v>187</v>
      </c>
      <c r="H358" s="47" t="s">
        <v>890</v>
      </c>
      <c r="I358" s="122" t="s">
        <v>891</v>
      </c>
    </row>
    <row r="359" spans="1:9" x14ac:dyDescent="0.2">
      <c r="A359" s="6">
        <v>353</v>
      </c>
      <c r="B359" s="6" t="s">
        <v>185</v>
      </c>
      <c r="C359" s="6">
        <v>303</v>
      </c>
      <c r="D359" s="6" t="s">
        <v>186</v>
      </c>
      <c r="E359" s="6" t="s">
        <v>186</v>
      </c>
      <c r="F359" s="6" t="s">
        <v>186</v>
      </c>
      <c r="G359" s="6" t="s">
        <v>187</v>
      </c>
      <c r="H359" s="47" t="s">
        <v>892</v>
      </c>
      <c r="I359" s="122" t="s">
        <v>893</v>
      </c>
    </row>
    <row r="360" spans="1:9" x14ac:dyDescent="0.2">
      <c r="A360" s="6">
        <v>354</v>
      </c>
      <c r="B360" s="6" t="s">
        <v>185</v>
      </c>
      <c r="C360" s="6">
        <v>304</v>
      </c>
      <c r="D360" s="6" t="s">
        <v>186</v>
      </c>
      <c r="E360" s="6" t="s">
        <v>186</v>
      </c>
      <c r="F360" s="6" t="s">
        <v>186</v>
      </c>
      <c r="G360" s="6" t="s">
        <v>187</v>
      </c>
      <c r="H360" s="47" t="s">
        <v>894</v>
      </c>
      <c r="I360" s="122" t="s">
        <v>895</v>
      </c>
    </row>
    <row r="361" spans="1:9" x14ac:dyDescent="0.2">
      <c r="A361" s="6">
        <v>355</v>
      </c>
      <c r="B361" s="6" t="s">
        <v>185</v>
      </c>
      <c r="C361" s="6">
        <v>305</v>
      </c>
      <c r="D361" s="6" t="s">
        <v>186</v>
      </c>
      <c r="E361" s="6" t="s">
        <v>186</v>
      </c>
      <c r="F361" s="6" t="s">
        <v>186</v>
      </c>
      <c r="G361" s="6" t="s">
        <v>187</v>
      </c>
      <c r="H361" s="47" t="s">
        <v>896</v>
      </c>
      <c r="I361" s="122" t="s">
        <v>897</v>
      </c>
    </row>
    <row r="362" spans="1:9" x14ac:dyDescent="0.2">
      <c r="A362" s="6">
        <v>356</v>
      </c>
      <c r="B362" s="6" t="s">
        <v>185</v>
      </c>
      <c r="C362" s="6">
        <v>306</v>
      </c>
      <c r="D362" s="6" t="s">
        <v>186</v>
      </c>
      <c r="E362" s="6" t="s">
        <v>186</v>
      </c>
      <c r="F362" s="6" t="s">
        <v>186</v>
      </c>
      <c r="G362" s="6" t="s">
        <v>187</v>
      </c>
      <c r="H362" s="47" t="s">
        <v>898</v>
      </c>
      <c r="I362" s="122" t="s">
        <v>899</v>
      </c>
    </row>
    <row r="363" spans="1:9" x14ac:dyDescent="0.2">
      <c r="A363" s="6">
        <v>357</v>
      </c>
      <c r="B363" s="6" t="s">
        <v>185</v>
      </c>
      <c r="C363" s="6">
        <v>307</v>
      </c>
      <c r="D363" s="6" t="s">
        <v>186</v>
      </c>
      <c r="E363" s="6" t="s">
        <v>186</v>
      </c>
      <c r="F363" s="6" t="s">
        <v>186</v>
      </c>
      <c r="G363" s="6" t="s">
        <v>187</v>
      </c>
      <c r="H363" s="47" t="s">
        <v>900</v>
      </c>
      <c r="I363" s="122" t="s">
        <v>901</v>
      </c>
    </row>
    <row r="364" spans="1:9" x14ac:dyDescent="0.2">
      <c r="A364" s="6">
        <v>358</v>
      </c>
      <c r="B364" s="6" t="s">
        <v>185</v>
      </c>
      <c r="C364" s="6">
        <v>308</v>
      </c>
      <c r="D364" s="6" t="s">
        <v>186</v>
      </c>
      <c r="E364" s="6" t="s">
        <v>186</v>
      </c>
      <c r="F364" s="6" t="s">
        <v>186</v>
      </c>
      <c r="G364" s="6" t="s">
        <v>187</v>
      </c>
      <c r="H364" s="47" t="s">
        <v>902</v>
      </c>
      <c r="I364" s="122" t="s">
        <v>903</v>
      </c>
    </row>
    <row r="365" spans="1:9" x14ac:dyDescent="0.2">
      <c r="A365" s="6">
        <v>359</v>
      </c>
      <c r="B365" s="6" t="s">
        <v>185</v>
      </c>
      <c r="C365" s="6">
        <v>309</v>
      </c>
      <c r="D365" s="6" t="s">
        <v>186</v>
      </c>
      <c r="E365" s="6" t="s">
        <v>186</v>
      </c>
      <c r="F365" s="6" t="s">
        <v>186</v>
      </c>
      <c r="G365" s="6" t="s">
        <v>187</v>
      </c>
      <c r="H365" s="47" t="s">
        <v>904</v>
      </c>
      <c r="I365" s="122" t="s">
        <v>905</v>
      </c>
    </row>
    <row r="366" spans="1:9" x14ac:dyDescent="0.2">
      <c r="A366" s="6">
        <v>360</v>
      </c>
      <c r="B366" s="6" t="s">
        <v>185</v>
      </c>
      <c r="C366" s="6">
        <v>310</v>
      </c>
      <c r="D366" s="6" t="s">
        <v>186</v>
      </c>
      <c r="E366" s="6" t="s">
        <v>186</v>
      </c>
      <c r="F366" s="6" t="s">
        <v>186</v>
      </c>
      <c r="G366" s="6" t="s">
        <v>187</v>
      </c>
      <c r="H366" s="47" t="s">
        <v>906</v>
      </c>
      <c r="I366" s="122" t="s">
        <v>907</v>
      </c>
    </row>
    <row r="367" spans="1:9" x14ac:dyDescent="0.2">
      <c r="A367" s="6">
        <v>361</v>
      </c>
      <c r="B367" s="6" t="s">
        <v>185</v>
      </c>
      <c r="C367" s="6">
        <v>311</v>
      </c>
      <c r="D367" s="6" t="s">
        <v>186</v>
      </c>
      <c r="E367" s="6" t="s">
        <v>186</v>
      </c>
      <c r="F367" s="6" t="s">
        <v>186</v>
      </c>
      <c r="G367" s="6" t="s">
        <v>187</v>
      </c>
      <c r="H367" s="47" t="s">
        <v>908</v>
      </c>
      <c r="I367" s="122" t="s">
        <v>909</v>
      </c>
    </row>
    <row r="368" spans="1:9" x14ac:dyDescent="0.2">
      <c r="A368" s="6">
        <v>362</v>
      </c>
      <c r="B368" s="6" t="s">
        <v>185</v>
      </c>
      <c r="C368" s="6">
        <v>312</v>
      </c>
      <c r="D368" s="6" t="s">
        <v>186</v>
      </c>
      <c r="E368" s="6" t="s">
        <v>186</v>
      </c>
      <c r="F368" s="6" t="s">
        <v>186</v>
      </c>
      <c r="G368" s="6" t="s">
        <v>187</v>
      </c>
      <c r="H368" s="47" t="s">
        <v>910</v>
      </c>
      <c r="I368" s="122" t="s">
        <v>911</v>
      </c>
    </row>
    <row r="369" spans="1:9" x14ac:dyDescent="0.2">
      <c r="A369" s="6">
        <v>363</v>
      </c>
      <c r="B369" s="6" t="s">
        <v>185</v>
      </c>
      <c r="C369" s="6">
        <v>313</v>
      </c>
      <c r="D369" s="6" t="s">
        <v>186</v>
      </c>
      <c r="E369" s="6" t="s">
        <v>186</v>
      </c>
      <c r="F369" s="6" t="s">
        <v>186</v>
      </c>
      <c r="G369" s="6" t="s">
        <v>187</v>
      </c>
      <c r="H369" s="47" t="s">
        <v>912</v>
      </c>
      <c r="I369" s="122" t="s">
        <v>913</v>
      </c>
    </row>
    <row r="370" spans="1:9" x14ac:dyDescent="0.2">
      <c r="A370" s="6">
        <v>364</v>
      </c>
      <c r="B370" s="6" t="s">
        <v>185</v>
      </c>
      <c r="C370" s="6">
        <v>314</v>
      </c>
      <c r="D370" s="6" t="s">
        <v>186</v>
      </c>
      <c r="E370" s="6" t="s">
        <v>186</v>
      </c>
      <c r="F370" s="6" t="s">
        <v>186</v>
      </c>
      <c r="G370" s="6" t="s">
        <v>187</v>
      </c>
      <c r="H370" s="47" t="s">
        <v>914</v>
      </c>
      <c r="I370" s="122" t="s">
        <v>915</v>
      </c>
    </row>
    <row r="371" spans="1:9" x14ac:dyDescent="0.2">
      <c r="A371" s="6">
        <v>365</v>
      </c>
      <c r="B371" s="6" t="s">
        <v>185</v>
      </c>
      <c r="C371" s="6">
        <v>315</v>
      </c>
      <c r="D371" s="6" t="s">
        <v>186</v>
      </c>
      <c r="E371" s="6" t="s">
        <v>186</v>
      </c>
      <c r="F371" s="6" t="s">
        <v>186</v>
      </c>
      <c r="G371" s="6" t="s">
        <v>187</v>
      </c>
      <c r="H371" s="47" t="s">
        <v>916</v>
      </c>
      <c r="I371" s="122" t="s">
        <v>917</v>
      </c>
    </row>
    <row r="372" spans="1:9" x14ac:dyDescent="0.2">
      <c r="A372" s="6">
        <v>366</v>
      </c>
      <c r="B372" s="6" t="s">
        <v>185</v>
      </c>
      <c r="C372" s="6">
        <v>316</v>
      </c>
      <c r="D372" s="6" t="s">
        <v>186</v>
      </c>
      <c r="E372" s="6" t="s">
        <v>186</v>
      </c>
      <c r="F372" s="6" t="s">
        <v>186</v>
      </c>
      <c r="G372" s="6" t="s">
        <v>187</v>
      </c>
      <c r="H372" s="47" t="s">
        <v>918</v>
      </c>
      <c r="I372" s="122" t="s">
        <v>919</v>
      </c>
    </row>
    <row r="373" spans="1:9" x14ac:dyDescent="0.2">
      <c r="A373" s="6">
        <v>367</v>
      </c>
      <c r="B373" s="6" t="s">
        <v>185</v>
      </c>
      <c r="C373" s="6">
        <v>317</v>
      </c>
      <c r="D373" s="6" t="s">
        <v>186</v>
      </c>
      <c r="E373" s="6" t="s">
        <v>186</v>
      </c>
      <c r="F373" s="6" t="s">
        <v>186</v>
      </c>
      <c r="G373" s="6" t="s">
        <v>187</v>
      </c>
      <c r="H373" s="47" t="s">
        <v>920</v>
      </c>
      <c r="I373" s="122" t="s">
        <v>921</v>
      </c>
    </row>
    <row r="374" spans="1:9" x14ac:dyDescent="0.2">
      <c r="A374" s="6">
        <v>368</v>
      </c>
      <c r="B374" s="6" t="s">
        <v>185</v>
      </c>
      <c r="C374" s="6">
        <v>318</v>
      </c>
      <c r="D374" s="6" t="s">
        <v>186</v>
      </c>
      <c r="E374" s="6" t="s">
        <v>186</v>
      </c>
      <c r="F374" s="6" t="s">
        <v>186</v>
      </c>
      <c r="G374" s="6" t="s">
        <v>187</v>
      </c>
      <c r="H374" s="47" t="s">
        <v>922</v>
      </c>
      <c r="I374" s="122" t="s">
        <v>923</v>
      </c>
    </row>
    <row r="375" spans="1:9" x14ac:dyDescent="0.2">
      <c r="A375" s="6">
        <v>369</v>
      </c>
      <c r="B375" s="6" t="s">
        <v>185</v>
      </c>
      <c r="C375" s="6">
        <v>319</v>
      </c>
      <c r="D375" s="6" t="s">
        <v>186</v>
      </c>
      <c r="E375" s="6" t="s">
        <v>186</v>
      </c>
      <c r="F375" s="6" t="s">
        <v>186</v>
      </c>
      <c r="G375" s="6" t="s">
        <v>187</v>
      </c>
      <c r="H375" s="47" t="s">
        <v>924</v>
      </c>
      <c r="I375" s="122" t="s">
        <v>925</v>
      </c>
    </row>
    <row r="376" spans="1:9" x14ac:dyDescent="0.2">
      <c r="A376" s="6">
        <v>370</v>
      </c>
      <c r="B376" s="6" t="s">
        <v>185</v>
      </c>
      <c r="C376" s="6">
        <v>320</v>
      </c>
      <c r="D376" s="6" t="s">
        <v>186</v>
      </c>
      <c r="E376" s="6" t="s">
        <v>186</v>
      </c>
      <c r="F376" s="6" t="s">
        <v>186</v>
      </c>
      <c r="G376" s="6" t="s">
        <v>187</v>
      </c>
      <c r="H376" s="47" t="s">
        <v>926</v>
      </c>
      <c r="I376" s="122" t="s">
        <v>927</v>
      </c>
    </row>
    <row r="377" spans="1:9" x14ac:dyDescent="0.2">
      <c r="A377" s="6">
        <v>371</v>
      </c>
      <c r="B377" s="6" t="s">
        <v>185</v>
      </c>
      <c r="C377" s="6">
        <v>321</v>
      </c>
      <c r="D377" s="6" t="s">
        <v>186</v>
      </c>
      <c r="E377" s="6" t="s">
        <v>186</v>
      </c>
      <c r="F377" s="6" t="s">
        <v>186</v>
      </c>
      <c r="G377" s="6" t="s">
        <v>187</v>
      </c>
      <c r="H377" s="47" t="s">
        <v>928</v>
      </c>
      <c r="I377" s="122" t="s">
        <v>929</v>
      </c>
    </row>
    <row r="378" spans="1:9" x14ac:dyDescent="0.2">
      <c r="A378" s="6">
        <v>372</v>
      </c>
      <c r="B378" s="6" t="s">
        <v>185</v>
      </c>
      <c r="C378" s="6">
        <v>322</v>
      </c>
      <c r="D378" s="6" t="s">
        <v>186</v>
      </c>
      <c r="E378" s="6" t="s">
        <v>186</v>
      </c>
      <c r="F378" s="6" t="s">
        <v>186</v>
      </c>
      <c r="G378" s="6" t="s">
        <v>187</v>
      </c>
      <c r="H378" s="47" t="s">
        <v>930</v>
      </c>
      <c r="I378" s="122" t="s">
        <v>931</v>
      </c>
    </row>
    <row r="379" spans="1:9" x14ac:dyDescent="0.2">
      <c r="A379" s="6">
        <v>373</v>
      </c>
      <c r="B379" s="6" t="s">
        <v>185</v>
      </c>
      <c r="C379" s="6">
        <v>323</v>
      </c>
      <c r="D379" s="6" t="s">
        <v>186</v>
      </c>
      <c r="E379" s="6" t="s">
        <v>186</v>
      </c>
      <c r="F379" s="6" t="s">
        <v>186</v>
      </c>
      <c r="G379" s="6" t="s">
        <v>187</v>
      </c>
      <c r="H379" s="47" t="s">
        <v>932</v>
      </c>
      <c r="I379" s="122" t="s">
        <v>933</v>
      </c>
    </row>
    <row r="380" spans="1:9" x14ac:dyDescent="0.2">
      <c r="A380" s="6">
        <v>374</v>
      </c>
      <c r="B380" s="6" t="s">
        <v>185</v>
      </c>
      <c r="C380" s="6">
        <v>324</v>
      </c>
      <c r="D380" s="6" t="s">
        <v>186</v>
      </c>
      <c r="E380" s="6" t="s">
        <v>186</v>
      </c>
      <c r="F380" s="6" t="s">
        <v>186</v>
      </c>
      <c r="G380" s="6" t="s">
        <v>187</v>
      </c>
      <c r="H380" s="47" t="s">
        <v>934</v>
      </c>
      <c r="I380" s="122" t="s">
        <v>935</v>
      </c>
    </row>
    <row r="381" spans="1:9" x14ac:dyDescent="0.2">
      <c r="A381" s="6">
        <v>375</v>
      </c>
      <c r="B381" s="6" t="s">
        <v>185</v>
      </c>
      <c r="C381" s="6">
        <v>325</v>
      </c>
      <c r="D381" s="6" t="s">
        <v>186</v>
      </c>
      <c r="E381" s="6" t="s">
        <v>186</v>
      </c>
      <c r="F381" s="6" t="s">
        <v>186</v>
      </c>
      <c r="G381" s="6" t="s">
        <v>187</v>
      </c>
      <c r="H381" s="47" t="s">
        <v>936</v>
      </c>
      <c r="I381" s="122" t="s">
        <v>937</v>
      </c>
    </row>
    <row r="382" spans="1:9" x14ac:dyDescent="0.2">
      <c r="A382" s="6">
        <v>376</v>
      </c>
      <c r="B382" s="6" t="s">
        <v>185</v>
      </c>
      <c r="C382" s="6">
        <v>326</v>
      </c>
      <c r="D382" s="6" t="s">
        <v>186</v>
      </c>
      <c r="E382" s="6" t="s">
        <v>186</v>
      </c>
      <c r="F382" s="6" t="s">
        <v>186</v>
      </c>
      <c r="G382" s="6" t="s">
        <v>187</v>
      </c>
      <c r="H382" s="47" t="s">
        <v>938</v>
      </c>
      <c r="I382" s="122" t="s">
        <v>939</v>
      </c>
    </row>
    <row r="383" spans="1:9" x14ac:dyDescent="0.2">
      <c r="A383" s="6">
        <v>377</v>
      </c>
      <c r="B383" s="6" t="s">
        <v>185</v>
      </c>
      <c r="C383" s="6">
        <v>327</v>
      </c>
      <c r="D383" s="6" t="s">
        <v>186</v>
      </c>
      <c r="E383" s="6" t="s">
        <v>186</v>
      </c>
      <c r="F383" s="6" t="s">
        <v>186</v>
      </c>
      <c r="G383" s="6" t="s">
        <v>187</v>
      </c>
      <c r="H383" s="47" t="s">
        <v>940</v>
      </c>
      <c r="I383" s="122" t="s">
        <v>941</v>
      </c>
    </row>
    <row r="384" spans="1:9" x14ac:dyDescent="0.2">
      <c r="A384" s="6">
        <v>378</v>
      </c>
      <c r="B384" s="6" t="s">
        <v>185</v>
      </c>
      <c r="C384" s="6">
        <v>328</v>
      </c>
      <c r="D384" s="6" t="s">
        <v>186</v>
      </c>
      <c r="E384" s="6" t="s">
        <v>186</v>
      </c>
      <c r="F384" s="6" t="s">
        <v>186</v>
      </c>
      <c r="G384" s="6" t="s">
        <v>187</v>
      </c>
      <c r="H384" s="47" t="s">
        <v>942</v>
      </c>
      <c r="I384" s="122" t="s">
        <v>943</v>
      </c>
    </row>
    <row r="385" spans="1:9" x14ac:dyDescent="0.2">
      <c r="A385" s="6">
        <v>379</v>
      </c>
      <c r="B385" s="6" t="s">
        <v>185</v>
      </c>
      <c r="C385" s="6">
        <v>329</v>
      </c>
      <c r="D385" s="6" t="s">
        <v>186</v>
      </c>
      <c r="E385" s="6" t="s">
        <v>186</v>
      </c>
      <c r="F385" s="6" t="s">
        <v>186</v>
      </c>
      <c r="G385" s="6" t="s">
        <v>187</v>
      </c>
      <c r="H385" s="47" t="s">
        <v>944</v>
      </c>
      <c r="I385" s="122" t="s">
        <v>945</v>
      </c>
    </row>
    <row r="386" spans="1:9" x14ac:dyDescent="0.2">
      <c r="A386" s="6">
        <v>380</v>
      </c>
      <c r="B386" s="6" t="s">
        <v>185</v>
      </c>
      <c r="C386" s="6">
        <v>330</v>
      </c>
      <c r="D386" s="6" t="s">
        <v>186</v>
      </c>
      <c r="E386" s="6" t="s">
        <v>186</v>
      </c>
      <c r="F386" s="6" t="s">
        <v>186</v>
      </c>
      <c r="G386" s="6" t="s">
        <v>187</v>
      </c>
      <c r="H386" s="47" t="s">
        <v>946</v>
      </c>
      <c r="I386" s="122" t="s">
        <v>947</v>
      </c>
    </row>
    <row r="387" spans="1:9" x14ac:dyDescent="0.2">
      <c r="A387" s="6">
        <v>381</v>
      </c>
      <c r="B387" s="6" t="s">
        <v>185</v>
      </c>
      <c r="C387" s="6">
        <v>331</v>
      </c>
      <c r="D387" s="6" t="s">
        <v>186</v>
      </c>
      <c r="E387" s="6" t="s">
        <v>186</v>
      </c>
      <c r="F387" s="6" t="s">
        <v>186</v>
      </c>
      <c r="G387" s="6" t="s">
        <v>187</v>
      </c>
      <c r="H387" s="47" t="s">
        <v>948</v>
      </c>
      <c r="I387" s="122" t="s">
        <v>949</v>
      </c>
    </row>
    <row r="388" spans="1:9" x14ac:dyDescent="0.2">
      <c r="A388" s="6">
        <v>382</v>
      </c>
      <c r="B388" s="6" t="s">
        <v>185</v>
      </c>
      <c r="C388" s="6">
        <v>332</v>
      </c>
      <c r="D388" s="6" t="s">
        <v>186</v>
      </c>
      <c r="E388" s="6" t="s">
        <v>186</v>
      </c>
      <c r="F388" s="6" t="s">
        <v>186</v>
      </c>
      <c r="G388" s="6" t="s">
        <v>187</v>
      </c>
      <c r="H388" s="47" t="s">
        <v>950</v>
      </c>
      <c r="I388" s="122" t="s">
        <v>951</v>
      </c>
    </row>
    <row r="389" spans="1:9" x14ac:dyDescent="0.2">
      <c r="A389" s="6">
        <v>383</v>
      </c>
      <c r="B389" s="6" t="s">
        <v>185</v>
      </c>
      <c r="C389" s="6">
        <v>333</v>
      </c>
      <c r="D389" s="6" t="s">
        <v>186</v>
      </c>
      <c r="E389" s="6" t="s">
        <v>186</v>
      </c>
      <c r="F389" s="6" t="s">
        <v>186</v>
      </c>
      <c r="G389" s="6" t="s">
        <v>187</v>
      </c>
      <c r="H389" s="47" t="s">
        <v>952</v>
      </c>
      <c r="I389" s="122" t="s">
        <v>953</v>
      </c>
    </row>
    <row r="390" spans="1:9" x14ac:dyDescent="0.2">
      <c r="A390" s="6">
        <v>384</v>
      </c>
      <c r="B390" s="6" t="s">
        <v>185</v>
      </c>
      <c r="C390" s="6">
        <v>334</v>
      </c>
      <c r="D390" s="6" t="s">
        <v>186</v>
      </c>
      <c r="E390" s="6" t="s">
        <v>186</v>
      </c>
      <c r="F390" s="6" t="s">
        <v>186</v>
      </c>
      <c r="G390" s="6" t="s">
        <v>187</v>
      </c>
      <c r="H390" s="47" t="s">
        <v>954</v>
      </c>
      <c r="I390" s="122" t="s">
        <v>955</v>
      </c>
    </row>
    <row r="391" spans="1:9" x14ac:dyDescent="0.2">
      <c r="A391" s="6">
        <v>385</v>
      </c>
      <c r="B391" s="6" t="s">
        <v>185</v>
      </c>
      <c r="C391" s="6">
        <v>335</v>
      </c>
      <c r="D391" s="6" t="s">
        <v>186</v>
      </c>
      <c r="E391" s="6" t="s">
        <v>186</v>
      </c>
      <c r="F391" s="6" t="s">
        <v>186</v>
      </c>
      <c r="G391" s="6" t="s">
        <v>187</v>
      </c>
      <c r="H391" s="47" t="s">
        <v>956</v>
      </c>
      <c r="I391" s="122" t="s">
        <v>957</v>
      </c>
    </row>
    <row r="392" spans="1:9" x14ac:dyDescent="0.2">
      <c r="A392" s="6">
        <v>386</v>
      </c>
      <c r="B392" s="6" t="s">
        <v>185</v>
      </c>
      <c r="C392" s="6">
        <v>336</v>
      </c>
      <c r="D392" s="6" t="s">
        <v>186</v>
      </c>
      <c r="E392" s="6" t="s">
        <v>186</v>
      </c>
      <c r="F392" s="6" t="s">
        <v>186</v>
      </c>
      <c r="G392" s="6" t="s">
        <v>187</v>
      </c>
      <c r="H392" s="47" t="s">
        <v>958</v>
      </c>
      <c r="I392" s="122" t="s">
        <v>959</v>
      </c>
    </row>
    <row r="393" spans="1:9" x14ac:dyDescent="0.2">
      <c r="A393" s="6">
        <v>387</v>
      </c>
      <c r="B393" s="6" t="s">
        <v>185</v>
      </c>
      <c r="C393" s="6">
        <v>337</v>
      </c>
      <c r="D393" s="6" t="s">
        <v>186</v>
      </c>
      <c r="E393" s="6" t="s">
        <v>186</v>
      </c>
      <c r="F393" s="6" t="s">
        <v>186</v>
      </c>
      <c r="G393" s="6" t="s">
        <v>187</v>
      </c>
      <c r="H393" s="47" t="s">
        <v>960</v>
      </c>
      <c r="I393" s="122" t="s">
        <v>961</v>
      </c>
    </row>
    <row r="394" spans="1:9" x14ac:dyDescent="0.2">
      <c r="A394" s="6">
        <v>388</v>
      </c>
      <c r="B394" s="6" t="s">
        <v>185</v>
      </c>
      <c r="C394" s="6">
        <v>338</v>
      </c>
      <c r="D394" s="6" t="s">
        <v>186</v>
      </c>
      <c r="E394" s="6" t="s">
        <v>186</v>
      </c>
      <c r="F394" s="6" t="s">
        <v>186</v>
      </c>
      <c r="G394" s="6" t="s">
        <v>187</v>
      </c>
      <c r="H394" s="47" t="s">
        <v>962</v>
      </c>
      <c r="I394" s="122" t="s">
        <v>963</v>
      </c>
    </row>
    <row r="395" spans="1:9" x14ac:dyDescent="0.2">
      <c r="A395" s="6">
        <v>389</v>
      </c>
      <c r="B395" s="6" t="s">
        <v>185</v>
      </c>
      <c r="C395" s="6">
        <v>339</v>
      </c>
      <c r="D395" s="6" t="s">
        <v>186</v>
      </c>
      <c r="E395" s="6" t="s">
        <v>186</v>
      </c>
      <c r="F395" s="6" t="s">
        <v>186</v>
      </c>
      <c r="G395" s="6" t="s">
        <v>187</v>
      </c>
      <c r="H395" s="47" t="s">
        <v>964</v>
      </c>
      <c r="I395" s="122" t="s">
        <v>965</v>
      </c>
    </row>
    <row r="396" spans="1:9" x14ac:dyDescent="0.2">
      <c r="A396" s="6">
        <v>390</v>
      </c>
      <c r="B396" s="6" t="s">
        <v>185</v>
      </c>
      <c r="C396" s="6">
        <v>340</v>
      </c>
      <c r="D396" s="6" t="s">
        <v>186</v>
      </c>
      <c r="E396" s="6" t="s">
        <v>186</v>
      </c>
      <c r="F396" s="6" t="s">
        <v>186</v>
      </c>
      <c r="G396" s="6" t="s">
        <v>187</v>
      </c>
      <c r="H396" s="47" t="s">
        <v>966</v>
      </c>
      <c r="I396" s="122" t="s">
        <v>967</v>
      </c>
    </row>
    <row r="397" spans="1:9" x14ac:dyDescent="0.2">
      <c r="A397" s="6">
        <v>391</v>
      </c>
      <c r="B397" s="6" t="s">
        <v>185</v>
      </c>
      <c r="C397" s="6">
        <v>341</v>
      </c>
      <c r="D397" s="6" t="s">
        <v>186</v>
      </c>
      <c r="E397" s="6" t="s">
        <v>186</v>
      </c>
      <c r="F397" s="6" t="s">
        <v>186</v>
      </c>
      <c r="G397" s="6" t="s">
        <v>187</v>
      </c>
      <c r="H397" s="47" t="s">
        <v>968</v>
      </c>
      <c r="I397" s="122" t="s">
        <v>969</v>
      </c>
    </row>
    <row r="398" spans="1:9" x14ac:dyDescent="0.2">
      <c r="A398" s="6">
        <v>392</v>
      </c>
      <c r="B398" s="6" t="s">
        <v>185</v>
      </c>
      <c r="C398" s="6">
        <v>342</v>
      </c>
      <c r="D398" s="6" t="s">
        <v>186</v>
      </c>
      <c r="E398" s="6" t="s">
        <v>186</v>
      </c>
      <c r="F398" s="6" t="s">
        <v>186</v>
      </c>
      <c r="G398" s="6" t="s">
        <v>187</v>
      </c>
      <c r="H398" s="47" t="s">
        <v>970</v>
      </c>
      <c r="I398" s="122" t="s">
        <v>971</v>
      </c>
    </row>
    <row r="399" spans="1:9" x14ac:dyDescent="0.2">
      <c r="A399" s="6">
        <v>393</v>
      </c>
      <c r="B399" s="6" t="s">
        <v>185</v>
      </c>
      <c r="C399" s="6">
        <v>343</v>
      </c>
      <c r="D399" s="6" t="s">
        <v>186</v>
      </c>
      <c r="E399" s="6" t="s">
        <v>186</v>
      </c>
      <c r="F399" s="6" t="s">
        <v>186</v>
      </c>
      <c r="G399" s="6" t="s">
        <v>187</v>
      </c>
      <c r="H399" s="47" t="s">
        <v>972</v>
      </c>
      <c r="I399" s="122" t="s">
        <v>973</v>
      </c>
    </row>
    <row r="400" spans="1:9" x14ac:dyDescent="0.2">
      <c r="A400" s="6">
        <v>394</v>
      </c>
      <c r="B400" s="6" t="s">
        <v>185</v>
      </c>
      <c r="C400" s="6">
        <v>344</v>
      </c>
      <c r="D400" s="6" t="s">
        <v>186</v>
      </c>
      <c r="E400" s="6" t="s">
        <v>186</v>
      </c>
      <c r="F400" s="6" t="s">
        <v>186</v>
      </c>
      <c r="G400" s="6" t="s">
        <v>187</v>
      </c>
      <c r="H400" s="47" t="s">
        <v>974</v>
      </c>
      <c r="I400" s="122" t="s">
        <v>975</v>
      </c>
    </row>
    <row r="401" spans="1:9" x14ac:dyDescent="0.2">
      <c r="A401" s="6">
        <v>395</v>
      </c>
      <c r="B401" s="6" t="s">
        <v>185</v>
      </c>
      <c r="C401" s="6">
        <v>345</v>
      </c>
      <c r="D401" s="6" t="s">
        <v>186</v>
      </c>
      <c r="E401" s="6" t="s">
        <v>186</v>
      </c>
      <c r="F401" s="6" t="s">
        <v>186</v>
      </c>
      <c r="G401" s="6" t="s">
        <v>187</v>
      </c>
      <c r="H401" s="47" t="s">
        <v>976</v>
      </c>
      <c r="I401" s="122" t="s">
        <v>977</v>
      </c>
    </row>
    <row r="402" spans="1:9" x14ac:dyDescent="0.2">
      <c r="A402" s="6">
        <v>396</v>
      </c>
      <c r="B402" s="6" t="s">
        <v>185</v>
      </c>
      <c r="C402" s="6">
        <v>346</v>
      </c>
      <c r="D402" s="6" t="s">
        <v>186</v>
      </c>
      <c r="E402" s="6" t="s">
        <v>186</v>
      </c>
      <c r="F402" s="6" t="s">
        <v>186</v>
      </c>
      <c r="G402" s="6" t="s">
        <v>187</v>
      </c>
      <c r="H402" s="47" t="s">
        <v>978</v>
      </c>
      <c r="I402" s="122" t="s">
        <v>979</v>
      </c>
    </row>
    <row r="403" spans="1:9" x14ac:dyDescent="0.2">
      <c r="A403" s="6">
        <v>397</v>
      </c>
      <c r="B403" s="6" t="s">
        <v>185</v>
      </c>
      <c r="C403" s="6">
        <v>347</v>
      </c>
      <c r="D403" s="6" t="s">
        <v>186</v>
      </c>
      <c r="E403" s="6" t="s">
        <v>186</v>
      </c>
      <c r="F403" s="6" t="s">
        <v>186</v>
      </c>
      <c r="G403" s="6" t="s">
        <v>187</v>
      </c>
      <c r="H403" s="47" t="s">
        <v>980</v>
      </c>
      <c r="I403" s="122" t="s">
        <v>981</v>
      </c>
    </row>
    <row r="404" spans="1:9" x14ac:dyDescent="0.2">
      <c r="A404" s="6">
        <v>398</v>
      </c>
      <c r="B404" s="6" t="s">
        <v>185</v>
      </c>
      <c r="C404" s="6">
        <v>348</v>
      </c>
      <c r="D404" s="6" t="s">
        <v>186</v>
      </c>
      <c r="E404" s="6" t="s">
        <v>186</v>
      </c>
      <c r="F404" s="6" t="s">
        <v>186</v>
      </c>
      <c r="G404" s="6" t="s">
        <v>187</v>
      </c>
      <c r="H404" s="47" t="s">
        <v>982</v>
      </c>
      <c r="I404" s="122" t="s">
        <v>983</v>
      </c>
    </row>
    <row r="405" spans="1:9" x14ac:dyDescent="0.2">
      <c r="A405" s="6">
        <v>399</v>
      </c>
      <c r="B405" s="6" t="s">
        <v>185</v>
      </c>
      <c r="C405" s="6">
        <v>349</v>
      </c>
      <c r="D405" s="6" t="s">
        <v>186</v>
      </c>
      <c r="E405" s="6" t="s">
        <v>186</v>
      </c>
      <c r="F405" s="6" t="s">
        <v>186</v>
      </c>
      <c r="G405" s="6" t="s">
        <v>187</v>
      </c>
      <c r="H405" s="47" t="s">
        <v>984</v>
      </c>
      <c r="I405" s="122" t="s">
        <v>985</v>
      </c>
    </row>
    <row r="406" spans="1:9" x14ac:dyDescent="0.2">
      <c r="A406" s="6">
        <v>400</v>
      </c>
      <c r="B406" s="6" t="s">
        <v>185</v>
      </c>
      <c r="C406" s="6">
        <v>350</v>
      </c>
      <c r="D406" s="6" t="s">
        <v>186</v>
      </c>
      <c r="E406" s="6" t="s">
        <v>186</v>
      </c>
      <c r="F406" s="6" t="s">
        <v>186</v>
      </c>
      <c r="G406" s="6" t="s">
        <v>187</v>
      </c>
      <c r="H406" s="47" t="s">
        <v>986</v>
      </c>
      <c r="I406" s="122" t="s">
        <v>987</v>
      </c>
    </row>
    <row r="407" spans="1:9" x14ac:dyDescent="0.2">
      <c r="A407" s="6">
        <v>401</v>
      </c>
      <c r="B407" s="6" t="s">
        <v>185</v>
      </c>
      <c r="C407" s="6">
        <v>351</v>
      </c>
      <c r="D407" s="6" t="s">
        <v>186</v>
      </c>
      <c r="E407" s="6" t="s">
        <v>186</v>
      </c>
      <c r="F407" s="6" t="s">
        <v>186</v>
      </c>
      <c r="G407" s="6" t="s">
        <v>187</v>
      </c>
      <c r="H407" s="47" t="s">
        <v>988</v>
      </c>
      <c r="I407" s="122" t="s">
        <v>989</v>
      </c>
    </row>
    <row r="408" spans="1:9" x14ac:dyDescent="0.2">
      <c r="A408" s="6">
        <v>402</v>
      </c>
      <c r="B408" s="6" t="s">
        <v>185</v>
      </c>
      <c r="C408" s="6">
        <v>352</v>
      </c>
      <c r="D408" s="6" t="s">
        <v>186</v>
      </c>
      <c r="E408" s="6" t="s">
        <v>186</v>
      </c>
      <c r="F408" s="6" t="s">
        <v>186</v>
      </c>
      <c r="G408" s="6" t="s">
        <v>187</v>
      </c>
      <c r="H408" s="47" t="s">
        <v>990</v>
      </c>
      <c r="I408" s="122" t="s">
        <v>991</v>
      </c>
    </row>
    <row r="409" spans="1:9" x14ac:dyDescent="0.2">
      <c r="A409" s="6">
        <v>403</v>
      </c>
      <c r="B409" s="6" t="s">
        <v>185</v>
      </c>
      <c r="C409" s="6">
        <v>353</v>
      </c>
      <c r="D409" s="6" t="s">
        <v>186</v>
      </c>
      <c r="E409" s="6" t="s">
        <v>186</v>
      </c>
      <c r="F409" s="6" t="s">
        <v>186</v>
      </c>
      <c r="G409" s="6" t="s">
        <v>187</v>
      </c>
      <c r="H409" s="47" t="s">
        <v>992</v>
      </c>
      <c r="I409" s="122" t="s">
        <v>993</v>
      </c>
    </row>
    <row r="410" spans="1:9" x14ac:dyDescent="0.2">
      <c r="A410" s="6">
        <v>404</v>
      </c>
      <c r="B410" s="6" t="s">
        <v>185</v>
      </c>
      <c r="C410" s="6">
        <v>354</v>
      </c>
      <c r="D410" s="6" t="s">
        <v>186</v>
      </c>
      <c r="E410" s="6" t="s">
        <v>186</v>
      </c>
      <c r="F410" s="6" t="s">
        <v>186</v>
      </c>
      <c r="G410" s="6" t="s">
        <v>187</v>
      </c>
      <c r="H410" s="47" t="s">
        <v>994</v>
      </c>
      <c r="I410" s="122" t="s">
        <v>995</v>
      </c>
    </row>
    <row r="411" spans="1:9" x14ac:dyDescent="0.2">
      <c r="A411" s="6">
        <v>405</v>
      </c>
      <c r="B411" s="6" t="s">
        <v>185</v>
      </c>
      <c r="C411" s="6">
        <v>355</v>
      </c>
      <c r="D411" s="6" t="s">
        <v>186</v>
      </c>
      <c r="E411" s="6" t="s">
        <v>186</v>
      </c>
      <c r="F411" s="6" t="s">
        <v>186</v>
      </c>
      <c r="G411" s="6" t="s">
        <v>187</v>
      </c>
      <c r="H411" s="47" t="s">
        <v>996</v>
      </c>
      <c r="I411" s="122" t="s">
        <v>997</v>
      </c>
    </row>
    <row r="412" spans="1:9" x14ac:dyDescent="0.2">
      <c r="A412" s="6">
        <v>406</v>
      </c>
      <c r="B412" s="6" t="s">
        <v>185</v>
      </c>
      <c r="C412" s="6">
        <v>356</v>
      </c>
      <c r="D412" s="6" t="s">
        <v>186</v>
      </c>
      <c r="E412" s="6" t="s">
        <v>186</v>
      </c>
      <c r="F412" s="6" t="s">
        <v>186</v>
      </c>
      <c r="G412" s="6" t="s">
        <v>187</v>
      </c>
      <c r="H412" s="47" t="s">
        <v>998</v>
      </c>
      <c r="I412" s="122" t="s">
        <v>999</v>
      </c>
    </row>
    <row r="413" spans="1:9" x14ac:dyDescent="0.2">
      <c r="A413" s="6">
        <v>407</v>
      </c>
      <c r="B413" s="6" t="s">
        <v>185</v>
      </c>
      <c r="C413" s="6">
        <v>357</v>
      </c>
      <c r="D413" s="6" t="s">
        <v>186</v>
      </c>
      <c r="E413" s="6" t="s">
        <v>186</v>
      </c>
      <c r="F413" s="6" t="s">
        <v>186</v>
      </c>
      <c r="G413" s="6" t="s">
        <v>187</v>
      </c>
      <c r="H413" s="47" t="s">
        <v>1000</v>
      </c>
      <c r="I413" s="122" t="s">
        <v>1001</v>
      </c>
    </row>
    <row r="414" spans="1:9" x14ac:dyDescent="0.2">
      <c r="A414" s="6">
        <v>408</v>
      </c>
      <c r="B414" s="6" t="s">
        <v>185</v>
      </c>
      <c r="C414" s="6">
        <v>358</v>
      </c>
      <c r="D414" s="6" t="s">
        <v>186</v>
      </c>
      <c r="E414" s="6" t="s">
        <v>186</v>
      </c>
      <c r="F414" s="6" t="s">
        <v>186</v>
      </c>
      <c r="G414" s="6" t="s">
        <v>187</v>
      </c>
      <c r="H414" s="47" t="s">
        <v>1002</v>
      </c>
      <c r="I414" s="122" t="s">
        <v>1003</v>
      </c>
    </row>
    <row r="415" spans="1:9" x14ac:dyDescent="0.2">
      <c r="A415" s="6">
        <v>409</v>
      </c>
      <c r="B415" s="6" t="s">
        <v>185</v>
      </c>
      <c r="C415" s="6">
        <v>359</v>
      </c>
      <c r="D415" s="6" t="s">
        <v>186</v>
      </c>
      <c r="E415" s="6" t="s">
        <v>186</v>
      </c>
      <c r="F415" s="6" t="s">
        <v>186</v>
      </c>
      <c r="G415" s="6" t="s">
        <v>187</v>
      </c>
      <c r="H415" s="47" t="s">
        <v>1004</v>
      </c>
      <c r="I415" s="122" t="s">
        <v>1005</v>
      </c>
    </row>
    <row r="416" spans="1:9" x14ac:dyDescent="0.2">
      <c r="A416" s="6">
        <v>410</v>
      </c>
      <c r="B416" s="6" t="s">
        <v>185</v>
      </c>
      <c r="C416" s="6">
        <v>360</v>
      </c>
      <c r="D416" s="6" t="s">
        <v>186</v>
      </c>
      <c r="E416" s="6" t="s">
        <v>186</v>
      </c>
      <c r="F416" s="6" t="s">
        <v>186</v>
      </c>
      <c r="G416" s="6" t="s">
        <v>187</v>
      </c>
      <c r="H416" s="47" t="s">
        <v>1006</v>
      </c>
      <c r="I416" s="122" t="s">
        <v>1007</v>
      </c>
    </row>
    <row r="417" spans="1:9" x14ac:dyDescent="0.2">
      <c r="A417" s="6">
        <v>411</v>
      </c>
      <c r="B417" s="6" t="s">
        <v>185</v>
      </c>
      <c r="C417" s="6">
        <v>361</v>
      </c>
      <c r="D417" s="6" t="s">
        <v>186</v>
      </c>
      <c r="E417" s="6" t="s">
        <v>186</v>
      </c>
      <c r="F417" s="6" t="s">
        <v>186</v>
      </c>
      <c r="G417" s="6" t="s">
        <v>187</v>
      </c>
      <c r="H417" s="47" t="s">
        <v>1008</v>
      </c>
      <c r="I417" s="122" t="s">
        <v>1009</v>
      </c>
    </row>
    <row r="418" spans="1:9" x14ac:dyDescent="0.2">
      <c r="A418" s="6">
        <v>412</v>
      </c>
      <c r="B418" s="6" t="s">
        <v>185</v>
      </c>
      <c r="C418" s="6">
        <v>362</v>
      </c>
      <c r="D418" s="6" t="s">
        <v>186</v>
      </c>
      <c r="E418" s="6" t="s">
        <v>186</v>
      </c>
      <c r="F418" s="6" t="s">
        <v>186</v>
      </c>
      <c r="G418" s="6" t="s">
        <v>187</v>
      </c>
      <c r="H418" s="47" t="s">
        <v>1010</v>
      </c>
      <c r="I418" s="122" t="s">
        <v>1011</v>
      </c>
    </row>
    <row r="419" spans="1:9" x14ac:dyDescent="0.2">
      <c r="A419" s="6">
        <v>413</v>
      </c>
      <c r="B419" s="6" t="s">
        <v>185</v>
      </c>
      <c r="C419" s="6">
        <v>363</v>
      </c>
      <c r="D419" s="6" t="s">
        <v>186</v>
      </c>
      <c r="E419" s="6" t="s">
        <v>186</v>
      </c>
      <c r="F419" s="6" t="s">
        <v>186</v>
      </c>
      <c r="G419" s="6" t="s">
        <v>187</v>
      </c>
      <c r="H419" s="47" t="s">
        <v>1012</v>
      </c>
      <c r="I419" s="122" t="s">
        <v>1013</v>
      </c>
    </row>
    <row r="420" spans="1:9" x14ac:dyDescent="0.2">
      <c r="A420" s="6">
        <v>414</v>
      </c>
      <c r="B420" s="6" t="s">
        <v>185</v>
      </c>
      <c r="C420" s="6">
        <v>364</v>
      </c>
      <c r="D420" s="6" t="s">
        <v>186</v>
      </c>
      <c r="E420" s="6" t="s">
        <v>186</v>
      </c>
      <c r="F420" s="6" t="s">
        <v>186</v>
      </c>
      <c r="G420" s="6" t="s">
        <v>187</v>
      </c>
      <c r="H420" s="47" t="s">
        <v>1014</v>
      </c>
      <c r="I420" s="122" t="s">
        <v>1015</v>
      </c>
    </row>
    <row r="421" spans="1:9" x14ac:dyDescent="0.2">
      <c r="A421" s="6">
        <v>415</v>
      </c>
      <c r="B421" s="6" t="s">
        <v>185</v>
      </c>
      <c r="C421" s="6">
        <v>365</v>
      </c>
      <c r="D421" s="6" t="s">
        <v>186</v>
      </c>
      <c r="E421" s="6" t="s">
        <v>186</v>
      </c>
      <c r="F421" s="6" t="s">
        <v>186</v>
      </c>
      <c r="G421" s="6" t="s">
        <v>187</v>
      </c>
      <c r="H421" s="47" t="s">
        <v>1016</v>
      </c>
      <c r="I421" s="122" t="s">
        <v>1017</v>
      </c>
    </row>
    <row r="422" spans="1:9" x14ac:dyDescent="0.2">
      <c r="A422" s="6">
        <v>416</v>
      </c>
      <c r="B422" s="6" t="s">
        <v>185</v>
      </c>
      <c r="C422" s="6">
        <v>366</v>
      </c>
      <c r="D422" s="6" t="s">
        <v>186</v>
      </c>
      <c r="E422" s="6" t="s">
        <v>186</v>
      </c>
      <c r="F422" s="6" t="s">
        <v>186</v>
      </c>
      <c r="G422" s="6" t="s">
        <v>187</v>
      </c>
      <c r="H422" s="47" t="s">
        <v>1018</v>
      </c>
      <c r="I422" s="122" t="s">
        <v>1019</v>
      </c>
    </row>
    <row r="423" spans="1:9" x14ac:dyDescent="0.2">
      <c r="A423" s="6">
        <v>417</v>
      </c>
      <c r="B423" s="6" t="s">
        <v>185</v>
      </c>
      <c r="C423" s="6">
        <v>367</v>
      </c>
      <c r="D423" s="6" t="s">
        <v>186</v>
      </c>
      <c r="E423" s="6" t="s">
        <v>186</v>
      </c>
      <c r="F423" s="6" t="s">
        <v>186</v>
      </c>
      <c r="G423" s="6" t="s">
        <v>187</v>
      </c>
      <c r="H423" s="47" t="s">
        <v>1020</v>
      </c>
      <c r="I423" s="122" t="s">
        <v>1021</v>
      </c>
    </row>
    <row r="424" spans="1:9" x14ac:dyDescent="0.2">
      <c r="A424" s="6">
        <v>418</v>
      </c>
      <c r="B424" s="6" t="s">
        <v>185</v>
      </c>
      <c r="C424" s="6">
        <v>368</v>
      </c>
      <c r="D424" s="6" t="s">
        <v>186</v>
      </c>
      <c r="E424" s="6" t="s">
        <v>186</v>
      </c>
      <c r="F424" s="6" t="s">
        <v>186</v>
      </c>
      <c r="G424" s="6" t="s">
        <v>187</v>
      </c>
      <c r="H424" s="47" t="s">
        <v>1022</v>
      </c>
      <c r="I424" s="122" t="s">
        <v>1023</v>
      </c>
    </row>
    <row r="425" spans="1:9" x14ac:dyDescent="0.2">
      <c r="A425" s="6">
        <v>419</v>
      </c>
      <c r="B425" s="6" t="s">
        <v>185</v>
      </c>
      <c r="C425" s="6">
        <v>369</v>
      </c>
      <c r="D425" s="6" t="s">
        <v>186</v>
      </c>
      <c r="E425" s="6" t="s">
        <v>186</v>
      </c>
      <c r="F425" s="6" t="s">
        <v>186</v>
      </c>
      <c r="G425" s="6" t="s">
        <v>187</v>
      </c>
      <c r="H425" s="47" t="s">
        <v>1024</v>
      </c>
      <c r="I425" s="122" t="s">
        <v>1025</v>
      </c>
    </row>
    <row r="426" spans="1:9" x14ac:dyDescent="0.2">
      <c r="A426" s="6">
        <v>420</v>
      </c>
      <c r="B426" s="6" t="s">
        <v>185</v>
      </c>
      <c r="C426" s="6">
        <v>370</v>
      </c>
      <c r="D426" s="6" t="s">
        <v>186</v>
      </c>
      <c r="E426" s="6" t="s">
        <v>186</v>
      </c>
      <c r="F426" s="6" t="s">
        <v>186</v>
      </c>
      <c r="G426" s="6" t="s">
        <v>187</v>
      </c>
      <c r="H426" s="47" t="s">
        <v>1026</v>
      </c>
      <c r="I426" s="122" t="s">
        <v>1027</v>
      </c>
    </row>
    <row r="427" spans="1:9" x14ac:dyDescent="0.2">
      <c r="A427" s="6">
        <v>421</v>
      </c>
      <c r="B427" s="6" t="s">
        <v>185</v>
      </c>
      <c r="C427" s="6">
        <v>371</v>
      </c>
      <c r="D427" s="6" t="s">
        <v>186</v>
      </c>
      <c r="E427" s="6" t="s">
        <v>186</v>
      </c>
      <c r="F427" s="6" t="s">
        <v>186</v>
      </c>
      <c r="G427" s="6" t="s">
        <v>187</v>
      </c>
      <c r="H427" s="47" t="s">
        <v>1028</v>
      </c>
      <c r="I427" s="122" t="s">
        <v>1029</v>
      </c>
    </row>
    <row r="428" spans="1:9" x14ac:dyDescent="0.2">
      <c r="A428" s="6">
        <v>422</v>
      </c>
      <c r="B428" s="6" t="s">
        <v>185</v>
      </c>
      <c r="C428" s="6">
        <v>372</v>
      </c>
      <c r="D428" s="6" t="s">
        <v>186</v>
      </c>
      <c r="E428" s="6" t="s">
        <v>186</v>
      </c>
      <c r="F428" s="6" t="s">
        <v>186</v>
      </c>
      <c r="G428" s="6" t="s">
        <v>187</v>
      </c>
      <c r="H428" s="47" t="s">
        <v>1030</v>
      </c>
      <c r="I428" s="122" t="s">
        <v>1031</v>
      </c>
    </row>
    <row r="429" spans="1:9" x14ac:dyDescent="0.2">
      <c r="A429" s="6">
        <v>423</v>
      </c>
      <c r="B429" s="6" t="s">
        <v>185</v>
      </c>
      <c r="C429" s="6">
        <v>373</v>
      </c>
      <c r="D429" s="6" t="s">
        <v>186</v>
      </c>
      <c r="E429" s="6" t="s">
        <v>186</v>
      </c>
      <c r="F429" s="6" t="s">
        <v>186</v>
      </c>
      <c r="G429" s="6" t="s">
        <v>187</v>
      </c>
      <c r="H429" s="47" t="s">
        <v>1032</v>
      </c>
      <c r="I429" s="122" t="s">
        <v>1033</v>
      </c>
    </row>
    <row r="430" spans="1:9" x14ac:dyDescent="0.2">
      <c r="A430" s="6">
        <v>424</v>
      </c>
      <c r="B430" s="6" t="s">
        <v>185</v>
      </c>
      <c r="C430" s="6">
        <v>374</v>
      </c>
      <c r="D430" s="6" t="s">
        <v>186</v>
      </c>
      <c r="E430" s="6" t="s">
        <v>186</v>
      </c>
      <c r="F430" s="6" t="s">
        <v>186</v>
      </c>
      <c r="G430" s="6" t="s">
        <v>187</v>
      </c>
      <c r="H430" s="47" t="s">
        <v>1034</v>
      </c>
      <c r="I430" s="122" t="s">
        <v>1035</v>
      </c>
    </row>
    <row r="431" spans="1:9" x14ac:dyDescent="0.2">
      <c r="A431" s="6">
        <v>425</v>
      </c>
      <c r="B431" s="6" t="s">
        <v>185</v>
      </c>
      <c r="C431" s="6">
        <v>375</v>
      </c>
      <c r="D431" s="6" t="s">
        <v>186</v>
      </c>
      <c r="E431" s="6" t="s">
        <v>186</v>
      </c>
      <c r="F431" s="6" t="s">
        <v>186</v>
      </c>
      <c r="G431" s="6" t="s">
        <v>187</v>
      </c>
      <c r="H431" s="47" t="s">
        <v>1036</v>
      </c>
      <c r="I431" s="122" t="s">
        <v>1037</v>
      </c>
    </row>
    <row r="432" spans="1:9" x14ac:dyDescent="0.2">
      <c r="A432" s="6">
        <v>426</v>
      </c>
      <c r="B432" s="6" t="s">
        <v>185</v>
      </c>
      <c r="C432" s="6">
        <v>376</v>
      </c>
      <c r="D432" s="6" t="s">
        <v>186</v>
      </c>
      <c r="E432" s="6" t="s">
        <v>186</v>
      </c>
      <c r="F432" s="6" t="s">
        <v>186</v>
      </c>
      <c r="G432" s="6" t="s">
        <v>187</v>
      </c>
      <c r="H432" s="47" t="s">
        <v>1038</v>
      </c>
      <c r="I432" s="122" t="s">
        <v>1039</v>
      </c>
    </row>
    <row r="433" spans="1:9" x14ac:dyDescent="0.2">
      <c r="A433" s="6">
        <v>427</v>
      </c>
      <c r="B433" s="6" t="s">
        <v>185</v>
      </c>
      <c r="C433" s="6">
        <v>377</v>
      </c>
      <c r="D433" s="6" t="s">
        <v>186</v>
      </c>
      <c r="E433" s="6" t="s">
        <v>186</v>
      </c>
      <c r="F433" s="6" t="s">
        <v>186</v>
      </c>
      <c r="G433" s="6" t="s">
        <v>187</v>
      </c>
      <c r="H433" s="47" t="s">
        <v>1040</v>
      </c>
      <c r="I433" s="122" t="s">
        <v>1041</v>
      </c>
    </row>
    <row r="434" spans="1:9" x14ac:dyDescent="0.2">
      <c r="A434" s="6">
        <v>428</v>
      </c>
      <c r="B434" s="6" t="s">
        <v>185</v>
      </c>
      <c r="C434" s="6">
        <v>378</v>
      </c>
      <c r="D434" s="6" t="s">
        <v>186</v>
      </c>
      <c r="E434" s="6" t="s">
        <v>186</v>
      </c>
      <c r="F434" s="6" t="s">
        <v>186</v>
      </c>
      <c r="G434" s="6" t="s">
        <v>187</v>
      </c>
      <c r="H434" s="47" t="s">
        <v>1042</v>
      </c>
      <c r="I434" s="122" t="s">
        <v>1043</v>
      </c>
    </row>
    <row r="435" spans="1:9" x14ac:dyDescent="0.2">
      <c r="A435" s="6">
        <v>429</v>
      </c>
      <c r="B435" s="6" t="s">
        <v>185</v>
      </c>
      <c r="C435" s="6">
        <v>379</v>
      </c>
      <c r="D435" s="6" t="s">
        <v>186</v>
      </c>
      <c r="E435" s="6" t="s">
        <v>186</v>
      </c>
      <c r="F435" s="6" t="s">
        <v>186</v>
      </c>
      <c r="G435" s="6" t="s">
        <v>187</v>
      </c>
      <c r="H435" s="47" t="s">
        <v>1044</v>
      </c>
      <c r="I435" s="122" t="s">
        <v>1045</v>
      </c>
    </row>
    <row r="436" spans="1:9" x14ac:dyDescent="0.2">
      <c r="A436" s="6">
        <v>430</v>
      </c>
      <c r="B436" s="6" t="s">
        <v>185</v>
      </c>
      <c r="C436" s="6">
        <v>380</v>
      </c>
      <c r="D436" s="6" t="s">
        <v>186</v>
      </c>
      <c r="E436" s="6" t="s">
        <v>186</v>
      </c>
      <c r="F436" s="6" t="s">
        <v>186</v>
      </c>
      <c r="G436" s="6" t="s">
        <v>187</v>
      </c>
      <c r="H436" s="47" t="s">
        <v>1046</v>
      </c>
      <c r="I436" s="122" t="s">
        <v>1047</v>
      </c>
    </row>
    <row r="437" spans="1:9" x14ac:dyDescent="0.2">
      <c r="A437" s="6">
        <v>431</v>
      </c>
      <c r="B437" s="6" t="s">
        <v>185</v>
      </c>
      <c r="C437" s="6">
        <v>381</v>
      </c>
      <c r="D437" s="6" t="s">
        <v>186</v>
      </c>
      <c r="E437" s="6" t="s">
        <v>186</v>
      </c>
      <c r="F437" s="6" t="s">
        <v>186</v>
      </c>
      <c r="G437" s="6" t="s">
        <v>187</v>
      </c>
      <c r="H437" s="47" t="s">
        <v>1048</v>
      </c>
      <c r="I437" s="122" t="s">
        <v>1049</v>
      </c>
    </row>
    <row r="438" spans="1:9" x14ac:dyDescent="0.2">
      <c r="A438" s="6">
        <v>432</v>
      </c>
      <c r="B438" s="6" t="s">
        <v>185</v>
      </c>
      <c r="C438" s="6">
        <v>382</v>
      </c>
      <c r="D438" s="6" t="s">
        <v>186</v>
      </c>
      <c r="E438" s="6" t="s">
        <v>186</v>
      </c>
      <c r="F438" s="6" t="s">
        <v>186</v>
      </c>
      <c r="G438" s="6" t="s">
        <v>187</v>
      </c>
      <c r="H438" s="47" t="s">
        <v>1050</v>
      </c>
      <c r="I438" s="122" t="s">
        <v>1051</v>
      </c>
    </row>
    <row r="439" spans="1:9" x14ac:dyDescent="0.2">
      <c r="A439" s="6">
        <v>433</v>
      </c>
      <c r="B439" s="6" t="s">
        <v>185</v>
      </c>
      <c r="C439" s="6">
        <v>383</v>
      </c>
      <c r="D439" s="6" t="s">
        <v>186</v>
      </c>
      <c r="E439" s="6" t="s">
        <v>186</v>
      </c>
      <c r="F439" s="6" t="s">
        <v>186</v>
      </c>
      <c r="G439" s="6" t="s">
        <v>187</v>
      </c>
      <c r="H439" s="47" t="s">
        <v>1052</v>
      </c>
      <c r="I439" s="122" t="s">
        <v>1053</v>
      </c>
    </row>
    <row r="440" spans="1:9" x14ac:dyDescent="0.2">
      <c r="A440" s="6">
        <v>434</v>
      </c>
      <c r="B440" s="6" t="s">
        <v>185</v>
      </c>
      <c r="C440" s="6">
        <v>384</v>
      </c>
      <c r="D440" s="6" t="s">
        <v>186</v>
      </c>
      <c r="E440" s="6" t="s">
        <v>186</v>
      </c>
      <c r="F440" s="6" t="s">
        <v>186</v>
      </c>
      <c r="G440" s="6" t="s">
        <v>187</v>
      </c>
      <c r="H440" s="47" t="s">
        <v>1054</v>
      </c>
      <c r="I440" s="122" t="s">
        <v>1055</v>
      </c>
    </row>
    <row r="441" spans="1:9" x14ac:dyDescent="0.2">
      <c r="A441" s="6">
        <v>435</v>
      </c>
      <c r="B441" s="6" t="s">
        <v>185</v>
      </c>
      <c r="C441" s="6">
        <v>385</v>
      </c>
      <c r="D441" s="6" t="s">
        <v>186</v>
      </c>
      <c r="E441" s="6" t="s">
        <v>186</v>
      </c>
      <c r="F441" s="6" t="s">
        <v>186</v>
      </c>
      <c r="G441" s="6" t="s">
        <v>187</v>
      </c>
      <c r="H441" s="47" t="s">
        <v>1056</v>
      </c>
      <c r="I441" s="122" t="s">
        <v>1057</v>
      </c>
    </row>
    <row r="442" spans="1:9" x14ac:dyDescent="0.2">
      <c r="A442" s="6">
        <v>436</v>
      </c>
      <c r="B442" s="6" t="s">
        <v>185</v>
      </c>
      <c r="C442" s="6">
        <v>386</v>
      </c>
      <c r="D442" s="6" t="s">
        <v>186</v>
      </c>
      <c r="E442" s="6" t="s">
        <v>186</v>
      </c>
      <c r="F442" s="6" t="s">
        <v>186</v>
      </c>
      <c r="G442" s="6" t="s">
        <v>187</v>
      </c>
      <c r="H442" s="47" t="s">
        <v>1058</v>
      </c>
      <c r="I442" s="122" t="s">
        <v>1059</v>
      </c>
    </row>
    <row r="443" spans="1:9" x14ac:dyDescent="0.2">
      <c r="A443" s="6">
        <v>437</v>
      </c>
      <c r="B443" s="6" t="s">
        <v>185</v>
      </c>
      <c r="C443" s="6">
        <v>387</v>
      </c>
      <c r="D443" s="6" t="s">
        <v>186</v>
      </c>
      <c r="E443" s="6" t="s">
        <v>186</v>
      </c>
      <c r="F443" s="6" t="s">
        <v>186</v>
      </c>
      <c r="G443" s="6" t="s">
        <v>187</v>
      </c>
      <c r="H443" s="47" t="s">
        <v>1060</v>
      </c>
      <c r="I443" s="122" t="s">
        <v>1061</v>
      </c>
    </row>
    <row r="444" spans="1:9" x14ac:dyDescent="0.2">
      <c r="A444" s="6">
        <v>438</v>
      </c>
      <c r="B444" s="6" t="s">
        <v>185</v>
      </c>
      <c r="C444" s="6">
        <v>388</v>
      </c>
      <c r="D444" s="6" t="s">
        <v>186</v>
      </c>
      <c r="E444" s="6" t="s">
        <v>186</v>
      </c>
      <c r="F444" s="6" t="s">
        <v>186</v>
      </c>
      <c r="G444" s="6" t="s">
        <v>187</v>
      </c>
      <c r="H444" s="47" t="s">
        <v>1062</v>
      </c>
      <c r="I444" s="122" t="s">
        <v>1063</v>
      </c>
    </row>
    <row r="445" spans="1:9" x14ac:dyDescent="0.2">
      <c r="A445" s="6">
        <v>439</v>
      </c>
      <c r="B445" s="6" t="s">
        <v>185</v>
      </c>
      <c r="C445" s="6">
        <v>389</v>
      </c>
      <c r="D445" s="6" t="s">
        <v>186</v>
      </c>
      <c r="E445" s="6" t="s">
        <v>186</v>
      </c>
      <c r="F445" s="6" t="s">
        <v>186</v>
      </c>
      <c r="G445" s="6" t="s">
        <v>187</v>
      </c>
      <c r="H445" s="47" t="s">
        <v>1064</v>
      </c>
      <c r="I445" s="122" t="s">
        <v>1065</v>
      </c>
    </row>
    <row r="446" spans="1:9" x14ac:dyDescent="0.2">
      <c r="A446" s="6">
        <v>440</v>
      </c>
      <c r="B446" s="6" t="s">
        <v>185</v>
      </c>
      <c r="C446" s="6">
        <v>390</v>
      </c>
      <c r="D446" s="6" t="s">
        <v>186</v>
      </c>
      <c r="E446" s="6" t="s">
        <v>186</v>
      </c>
      <c r="F446" s="6" t="s">
        <v>186</v>
      </c>
      <c r="G446" s="6" t="s">
        <v>187</v>
      </c>
      <c r="H446" s="47" t="s">
        <v>1066</v>
      </c>
      <c r="I446" s="122" t="s">
        <v>1067</v>
      </c>
    </row>
    <row r="447" spans="1:9" x14ac:dyDescent="0.2">
      <c r="A447" s="6">
        <v>441</v>
      </c>
      <c r="B447" s="6" t="s">
        <v>185</v>
      </c>
      <c r="C447" s="6">
        <v>391</v>
      </c>
      <c r="D447" s="6" t="s">
        <v>186</v>
      </c>
      <c r="E447" s="6" t="s">
        <v>186</v>
      </c>
      <c r="F447" s="6" t="s">
        <v>186</v>
      </c>
      <c r="G447" s="6" t="s">
        <v>187</v>
      </c>
      <c r="H447" s="47" t="s">
        <v>1068</v>
      </c>
      <c r="I447" s="122" t="s">
        <v>1069</v>
      </c>
    </row>
    <row r="448" spans="1:9" x14ac:dyDescent="0.2">
      <c r="A448" s="6">
        <v>442</v>
      </c>
      <c r="B448" s="6" t="s">
        <v>185</v>
      </c>
      <c r="C448" s="6">
        <v>392</v>
      </c>
      <c r="D448" s="6" t="s">
        <v>186</v>
      </c>
      <c r="E448" s="6" t="s">
        <v>186</v>
      </c>
      <c r="F448" s="6" t="s">
        <v>186</v>
      </c>
      <c r="G448" s="6" t="s">
        <v>187</v>
      </c>
      <c r="H448" s="47" t="s">
        <v>1070</v>
      </c>
      <c r="I448" s="122" t="s">
        <v>1071</v>
      </c>
    </row>
    <row r="449" spans="1:9" x14ac:dyDescent="0.2">
      <c r="A449" s="6">
        <v>443</v>
      </c>
      <c r="B449" s="6" t="s">
        <v>185</v>
      </c>
      <c r="C449" s="6">
        <v>393</v>
      </c>
      <c r="D449" s="6" t="s">
        <v>186</v>
      </c>
      <c r="E449" s="6" t="s">
        <v>186</v>
      </c>
      <c r="F449" s="6" t="s">
        <v>186</v>
      </c>
      <c r="G449" s="6" t="s">
        <v>187</v>
      </c>
      <c r="H449" s="47" t="s">
        <v>1072</v>
      </c>
      <c r="I449" s="122" t="s">
        <v>1073</v>
      </c>
    </row>
    <row r="450" spans="1:9" x14ac:dyDescent="0.2">
      <c r="A450" s="6">
        <v>444</v>
      </c>
      <c r="B450" s="6" t="s">
        <v>185</v>
      </c>
      <c r="C450" s="6">
        <v>394</v>
      </c>
      <c r="D450" s="6" t="s">
        <v>186</v>
      </c>
      <c r="E450" s="6" t="s">
        <v>186</v>
      </c>
      <c r="F450" s="6" t="s">
        <v>186</v>
      </c>
      <c r="G450" s="6" t="s">
        <v>187</v>
      </c>
      <c r="H450" s="47" t="s">
        <v>1074</v>
      </c>
      <c r="I450" s="122" t="s">
        <v>1075</v>
      </c>
    </row>
    <row r="451" spans="1:9" x14ac:dyDescent="0.2">
      <c r="A451" s="6">
        <v>445</v>
      </c>
      <c r="B451" s="6" t="s">
        <v>185</v>
      </c>
      <c r="C451" s="6">
        <v>395</v>
      </c>
      <c r="D451" s="6" t="s">
        <v>186</v>
      </c>
      <c r="E451" s="6" t="s">
        <v>186</v>
      </c>
      <c r="F451" s="6" t="s">
        <v>186</v>
      </c>
      <c r="G451" s="6" t="s">
        <v>187</v>
      </c>
      <c r="H451" s="47" t="s">
        <v>1076</v>
      </c>
      <c r="I451" s="122" t="s">
        <v>1077</v>
      </c>
    </row>
    <row r="452" spans="1:9" x14ac:dyDescent="0.2">
      <c r="A452" s="6">
        <v>446</v>
      </c>
      <c r="B452" s="6" t="s">
        <v>185</v>
      </c>
      <c r="C452" s="6">
        <v>396</v>
      </c>
      <c r="D452" s="6" t="s">
        <v>186</v>
      </c>
      <c r="E452" s="6" t="s">
        <v>186</v>
      </c>
      <c r="F452" s="6" t="s">
        <v>186</v>
      </c>
      <c r="G452" s="6" t="s">
        <v>187</v>
      </c>
      <c r="H452" s="47" t="s">
        <v>1078</v>
      </c>
      <c r="I452" s="122" t="s">
        <v>1079</v>
      </c>
    </row>
    <row r="453" spans="1:9" x14ac:dyDescent="0.2">
      <c r="A453" s="6">
        <v>447</v>
      </c>
      <c r="B453" s="6" t="s">
        <v>185</v>
      </c>
      <c r="C453" s="6">
        <v>397</v>
      </c>
      <c r="D453" s="6" t="s">
        <v>186</v>
      </c>
      <c r="E453" s="6" t="s">
        <v>186</v>
      </c>
      <c r="F453" s="6" t="s">
        <v>186</v>
      </c>
      <c r="G453" s="6" t="s">
        <v>187</v>
      </c>
      <c r="H453" s="47" t="s">
        <v>1080</v>
      </c>
      <c r="I453" s="122" t="s">
        <v>1081</v>
      </c>
    </row>
    <row r="454" spans="1:9" x14ac:dyDescent="0.2">
      <c r="A454" s="6">
        <v>448</v>
      </c>
      <c r="B454" s="6" t="s">
        <v>185</v>
      </c>
      <c r="C454" s="6">
        <v>398</v>
      </c>
      <c r="D454" s="6" t="s">
        <v>186</v>
      </c>
      <c r="E454" s="6" t="s">
        <v>186</v>
      </c>
      <c r="F454" s="6" t="s">
        <v>186</v>
      </c>
      <c r="G454" s="6" t="s">
        <v>187</v>
      </c>
      <c r="H454" s="47" t="s">
        <v>1082</v>
      </c>
      <c r="I454" s="122" t="s">
        <v>1083</v>
      </c>
    </row>
    <row r="455" spans="1:9" x14ac:dyDescent="0.2">
      <c r="A455" s="6">
        <v>449</v>
      </c>
      <c r="B455" s="6" t="s">
        <v>185</v>
      </c>
      <c r="C455" s="6">
        <v>399</v>
      </c>
      <c r="D455" s="6" t="s">
        <v>186</v>
      </c>
      <c r="E455" s="6" t="s">
        <v>186</v>
      </c>
      <c r="F455" s="6" t="s">
        <v>186</v>
      </c>
      <c r="G455" s="6" t="s">
        <v>187</v>
      </c>
      <c r="H455" s="47" t="s">
        <v>1084</v>
      </c>
      <c r="I455" s="122" t="s">
        <v>1085</v>
      </c>
    </row>
    <row r="456" spans="1:9" x14ac:dyDescent="0.2">
      <c r="A456" s="6">
        <v>450</v>
      </c>
      <c r="B456" s="6" t="s">
        <v>185</v>
      </c>
      <c r="C456" s="6">
        <v>400</v>
      </c>
      <c r="D456" s="6" t="s">
        <v>186</v>
      </c>
      <c r="E456" s="6" t="s">
        <v>186</v>
      </c>
      <c r="F456" s="6" t="s">
        <v>186</v>
      </c>
      <c r="G456" s="6" t="s">
        <v>187</v>
      </c>
      <c r="H456" s="47" t="s">
        <v>1086</v>
      </c>
      <c r="I456" s="122" t="s">
        <v>1087</v>
      </c>
    </row>
    <row r="457" spans="1:9" x14ac:dyDescent="0.2">
      <c r="A457" s="6">
        <v>451</v>
      </c>
      <c r="B457" s="6" t="s">
        <v>185</v>
      </c>
      <c r="C457" s="6">
        <v>401</v>
      </c>
      <c r="D457" s="6" t="s">
        <v>186</v>
      </c>
      <c r="E457" s="6" t="s">
        <v>186</v>
      </c>
      <c r="F457" s="6" t="s">
        <v>186</v>
      </c>
      <c r="G457" s="6" t="s">
        <v>187</v>
      </c>
      <c r="H457" s="47" t="s">
        <v>1088</v>
      </c>
      <c r="I457" s="122" t="s">
        <v>1089</v>
      </c>
    </row>
    <row r="458" spans="1:9" x14ac:dyDescent="0.2">
      <c r="A458" s="6">
        <v>452</v>
      </c>
      <c r="B458" s="6" t="s">
        <v>185</v>
      </c>
      <c r="C458" s="6">
        <v>402</v>
      </c>
      <c r="D458" s="6" t="s">
        <v>186</v>
      </c>
      <c r="E458" s="6" t="s">
        <v>186</v>
      </c>
      <c r="F458" s="6" t="s">
        <v>186</v>
      </c>
      <c r="G458" s="6" t="s">
        <v>187</v>
      </c>
      <c r="H458" s="47" t="s">
        <v>1090</v>
      </c>
      <c r="I458" s="122" t="s">
        <v>1091</v>
      </c>
    </row>
    <row r="459" spans="1:9" x14ac:dyDescent="0.2">
      <c r="A459" s="6">
        <v>453</v>
      </c>
      <c r="B459" s="6" t="s">
        <v>185</v>
      </c>
      <c r="C459" s="6">
        <v>403</v>
      </c>
      <c r="D459" s="6" t="s">
        <v>186</v>
      </c>
      <c r="E459" s="6" t="s">
        <v>186</v>
      </c>
      <c r="F459" s="6" t="s">
        <v>186</v>
      </c>
      <c r="G459" s="6" t="s">
        <v>187</v>
      </c>
      <c r="H459" s="47" t="s">
        <v>1092</v>
      </c>
      <c r="I459" s="122" t="s">
        <v>1093</v>
      </c>
    </row>
    <row r="460" spans="1:9" x14ac:dyDescent="0.2">
      <c r="A460" s="6">
        <v>454</v>
      </c>
      <c r="B460" s="6" t="s">
        <v>185</v>
      </c>
      <c r="C460" s="6">
        <v>404</v>
      </c>
      <c r="D460" s="6" t="s">
        <v>186</v>
      </c>
      <c r="E460" s="6" t="s">
        <v>186</v>
      </c>
      <c r="F460" s="6" t="s">
        <v>186</v>
      </c>
      <c r="G460" s="6" t="s">
        <v>187</v>
      </c>
      <c r="H460" s="47" t="s">
        <v>1094</v>
      </c>
      <c r="I460" s="122" t="s">
        <v>1095</v>
      </c>
    </row>
    <row r="461" spans="1:9" x14ac:dyDescent="0.2">
      <c r="A461" s="6">
        <v>455</v>
      </c>
      <c r="B461" s="6" t="s">
        <v>185</v>
      </c>
      <c r="C461" s="6">
        <v>405</v>
      </c>
      <c r="D461" s="6" t="s">
        <v>186</v>
      </c>
      <c r="E461" s="6" t="s">
        <v>186</v>
      </c>
      <c r="F461" s="6" t="s">
        <v>186</v>
      </c>
      <c r="G461" s="6" t="s">
        <v>187</v>
      </c>
      <c r="H461" s="47" t="s">
        <v>1096</v>
      </c>
      <c r="I461" s="122" t="s">
        <v>1097</v>
      </c>
    </row>
    <row r="462" spans="1:9" x14ac:dyDescent="0.2">
      <c r="A462" s="6">
        <v>456</v>
      </c>
      <c r="B462" s="6" t="s">
        <v>185</v>
      </c>
      <c r="C462" s="6">
        <v>406</v>
      </c>
      <c r="D462" s="6" t="s">
        <v>186</v>
      </c>
      <c r="E462" s="6" t="s">
        <v>186</v>
      </c>
      <c r="F462" s="6" t="s">
        <v>186</v>
      </c>
      <c r="G462" s="6" t="s">
        <v>187</v>
      </c>
      <c r="H462" s="47" t="s">
        <v>1098</v>
      </c>
      <c r="I462" s="122" t="s">
        <v>1099</v>
      </c>
    </row>
    <row r="463" spans="1:9" x14ac:dyDescent="0.2">
      <c r="A463" s="6">
        <v>457</v>
      </c>
      <c r="B463" s="6" t="s">
        <v>185</v>
      </c>
      <c r="C463" s="6">
        <v>407</v>
      </c>
      <c r="D463" s="6" t="s">
        <v>186</v>
      </c>
      <c r="E463" s="6" t="s">
        <v>186</v>
      </c>
      <c r="F463" s="6" t="s">
        <v>186</v>
      </c>
      <c r="G463" s="6" t="s">
        <v>187</v>
      </c>
      <c r="H463" s="47" t="s">
        <v>1100</v>
      </c>
      <c r="I463" s="122" t="s">
        <v>1101</v>
      </c>
    </row>
    <row r="464" spans="1:9" x14ac:dyDescent="0.2">
      <c r="A464" s="6">
        <v>458</v>
      </c>
      <c r="B464" s="6" t="s">
        <v>185</v>
      </c>
      <c r="C464" s="6">
        <v>408</v>
      </c>
      <c r="D464" s="6" t="s">
        <v>186</v>
      </c>
      <c r="E464" s="6" t="s">
        <v>186</v>
      </c>
      <c r="F464" s="6" t="s">
        <v>186</v>
      </c>
      <c r="G464" s="6" t="s">
        <v>187</v>
      </c>
      <c r="H464" s="47" t="s">
        <v>1102</v>
      </c>
      <c r="I464" s="122" t="s">
        <v>1103</v>
      </c>
    </row>
    <row r="465" spans="1:9" x14ac:dyDescent="0.2">
      <c r="A465" s="6">
        <v>459</v>
      </c>
      <c r="B465" s="6" t="s">
        <v>185</v>
      </c>
      <c r="C465" s="6">
        <v>409</v>
      </c>
      <c r="D465" s="6" t="s">
        <v>186</v>
      </c>
      <c r="E465" s="6" t="s">
        <v>186</v>
      </c>
      <c r="F465" s="6" t="s">
        <v>186</v>
      </c>
      <c r="G465" s="6" t="s">
        <v>187</v>
      </c>
      <c r="H465" s="47" t="s">
        <v>1104</v>
      </c>
      <c r="I465" s="122" t="s">
        <v>1105</v>
      </c>
    </row>
    <row r="466" spans="1:9" x14ac:dyDescent="0.2">
      <c r="A466" s="6">
        <v>460</v>
      </c>
      <c r="B466" s="6" t="s">
        <v>185</v>
      </c>
      <c r="C466" s="6">
        <v>410</v>
      </c>
      <c r="D466" s="6" t="s">
        <v>186</v>
      </c>
      <c r="E466" s="6" t="s">
        <v>186</v>
      </c>
      <c r="F466" s="6" t="s">
        <v>186</v>
      </c>
      <c r="G466" s="6" t="s">
        <v>187</v>
      </c>
      <c r="H466" s="47" t="s">
        <v>1106</v>
      </c>
      <c r="I466" s="122" t="s">
        <v>1107</v>
      </c>
    </row>
    <row r="467" spans="1:9" x14ac:dyDescent="0.2">
      <c r="A467" s="6">
        <v>461</v>
      </c>
      <c r="B467" s="6" t="s">
        <v>185</v>
      </c>
      <c r="C467" s="6">
        <v>411</v>
      </c>
      <c r="D467" s="6" t="s">
        <v>186</v>
      </c>
      <c r="E467" s="6" t="s">
        <v>186</v>
      </c>
      <c r="F467" s="6" t="s">
        <v>186</v>
      </c>
      <c r="G467" s="6" t="s">
        <v>187</v>
      </c>
      <c r="H467" s="47" t="s">
        <v>1108</v>
      </c>
      <c r="I467" s="122" t="s">
        <v>1109</v>
      </c>
    </row>
    <row r="468" spans="1:9" x14ac:dyDescent="0.2">
      <c r="A468" s="6">
        <v>462</v>
      </c>
      <c r="B468" s="6" t="s">
        <v>185</v>
      </c>
      <c r="C468" s="6">
        <v>412</v>
      </c>
      <c r="D468" s="6" t="s">
        <v>186</v>
      </c>
      <c r="E468" s="6" t="s">
        <v>186</v>
      </c>
      <c r="F468" s="6" t="s">
        <v>186</v>
      </c>
      <c r="G468" s="6" t="s">
        <v>187</v>
      </c>
      <c r="H468" s="47" t="s">
        <v>1110</v>
      </c>
      <c r="I468" s="122" t="s">
        <v>1111</v>
      </c>
    </row>
    <row r="469" spans="1:9" x14ac:dyDescent="0.2">
      <c r="A469" s="6">
        <v>463</v>
      </c>
      <c r="B469" s="6" t="s">
        <v>185</v>
      </c>
      <c r="C469" s="6">
        <v>413</v>
      </c>
      <c r="D469" s="6" t="s">
        <v>186</v>
      </c>
      <c r="E469" s="6" t="s">
        <v>186</v>
      </c>
      <c r="F469" s="6" t="s">
        <v>186</v>
      </c>
      <c r="G469" s="6" t="s">
        <v>187</v>
      </c>
      <c r="H469" s="47" t="s">
        <v>1112</v>
      </c>
      <c r="I469" s="122" t="s">
        <v>1113</v>
      </c>
    </row>
    <row r="470" spans="1:9" x14ac:dyDescent="0.2">
      <c r="A470" s="6">
        <v>464</v>
      </c>
      <c r="B470" s="6" t="s">
        <v>185</v>
      </c>
      <c r="C470" s="6">
        <v>414</v>
      </c>
      <c r="D470" s="6" t="s">
        <v>186</v>
      </c>
      <c r="E470" s="6" t="s">
        <v>186</v>
      </c>
      <c r="F470" s="6" t="s">
        <v>186</v>
      </c>
      <c r="G470" s="6" t="s">
        <v>187</v>
      </c>
      <c r="H470" s="47" t="s">
        <v>1114</v>
      </c>
      <c r="I470" s="122" t="s">
        <v>1115</v>
      </c>
    </row>
    <row r="471" spans="1:9" x14ac:dyDescent="0.2">
      <c r="A471" s="6">
        <v>465</v>
      </c>
      <c r="B471" s="6" t="s">
        <v>185</v>
      </c>
      <c r="C471" s="6">
        <v>415</v>
      </c>
      <c r="D471" s="6" t="s">
        <v>186</v>
      </c>
      <c r="E471" s="6" t="s">
        <v>186</v>
      </c>
      <c r="F471" s="6" t="s">
        <v>186</v>
      </c>
      <c r="G471" s="6" t="s">
        <v>187</v>
      </c>
      <c r="H471" s="47" t="s">
        <v>1116</v>
      </c>
      <c r="I471" s="122" t="s">
        <v>1117</v>
      </c>
    </row>
    <row r="472" spans="1:9" x14ac:dyDescent="0.2">
      <c r="A472" s="6">
        <v>466</v>
      </c>
      <c r="B472" s="6" t="s">
        <v>185</v>
      </c>
      <c r="C472" s="6">
        <v>416</v>
      </c>
      <c r="D472" s="6" t="s">
        <v>186</v>
      </c>
      <c r="E472" s="6" t="s">
        <v>186</v>
      </c>
      <c r="F472" s="6" t="s">
        <v>186</v>
      </c>
      <c r="G472" s="6" t="s">
        <v>187</v>
      </c>
      <c r="H472" s="47" t="s">
        <v>1118</v>
      </c>
      <c r="I472" s="122" t="s">
        <v>1119</v>
      </c>
    </row>
    <row r="473" spans="1:9" x14ac:dyDescent="0.2">
      <c r="A473" s="6">
        <v>467</v>
      </c>
      <c r="B473" s="6" t="s">
        <v>185</v>
      </c>
      <c r="C473" s="6">
        <v>417</v>
      </c>
      <c r="D473" s="6" t="s">
        <v>186</v>
      </c>
      <c r="E473" s="6" t="s">
        <v>186</v>
      </c>
      <c r="F473" s="6" t="s">
        <v>186</v>
      </c>
      <c r="G473" s="6" t="s">
        <v>187</v>
      </c>
      <c r="H473" s="47" t="s">
        <v>1120</v>
      </c>
      <c r="I473" s="122" t="s">
        <v>1121</v>
      </c>
    </row>
    <row r="474" spans="1:9" x14ac:dyDescent="0.2">
      <c r="A474" s="6">
        <v>468</v>
      </c>
      <c r="B474" s="6" t="s">
        <v>185</v>
      </c>
      <c r="C474" s="6">
        <v>418</v>
      </c>
      <c r="D474" s="6" t="s">
        <v>186</v>
      </c>
      <c r="E474" s="6" t="s">
        <v>186</v>
      </c>
      <c r="F474" s="6" t="s">
        <v>186</v>
      </c>
      <c r="G474" s="6" t="s">
        <v>187</v>
      </c>
      <c r="H474" s="47" t="s">
        <v>1122</v>
      </c>
      <c r="I474" s="122" t="s">
        <v>1123</v>
      </c>
    </row>
    <row r="475" spans="1:9" x14ac:dyDescent="0.2">
      <c r="A475" s="6">
        <v>469</v>
      </c>
      <c r="B475" s="6" t="s">
        <v>185</v>
      </c>
      <c r="C475" s="6">
        <v>419</v>
      </c>
      <c r="D475" s="6" t="s">
        <v>186</v>
      </c>
      <c r="E475" s="6" t="s">
        <v>186</v>
      </c>
      <c r="F475" s="6" t="s">
        <v>186</v>
      </c>
      <c r="G475" s="6" t="s">
        <v>187</v>
      </c>
      <c r="H475" s="47" t="s">
        <v>1124</v>
      </c>
      <c r="I475" s="122" t="s">
        <v>1125</v>
      </c>
    </row>
    <row r="476" spans="1:9" x14ac:dyDescent="0.2">
      <c r="A476" s="6">
        <v>470</v>
      </c>
      <c r="B476" s="6" t="s">
        <v>185</v>
      </c>
      <c r="C476" s="6">
        <v>420</v>
      </c>
      <c r="D476" s="6" t="s">
        <v>186</v>
      </c>
      <c r="E476" s="6" t="s">
        <v>186</v>
      </c>
      <c r="F476" s="6" t="s">
        <v>186</v>
      </c>
      <c r="G476" s="6" t="s">
        <v>187</v>
      </c>
      <c r="H476" s="47" t="s">
        <v>1126</v>
      </c>
      <c r="I476" s="122" t="s">
        <v>1127</v>
      </c>
    </row>
    <row r="477" spans="1:9" x14ac:dyDescent="0.2">
      <c r="A477" s="6">
        <v>471</v>
      </c>
      <c r="B477" s="6" t="s">
        <v>185</v>
      </c>
      <c r="C477" s="6">
        <v>421</v>
      </c>
      <c r="D477" s="6" t="s">
        <v>186</v>
      </c>
      <c r="E477" s="6" t="s">
        <v>186</v>
      </c>
      <c r="F477" s="6" t="s">
        <v>186</v>
      </c>
      <c r="G477" s="6" t="s">
        <v>187</v>
      </c>
      <c r="H477" s="47" t="s">
        <v>1128</v>
      </c>
      <c r="I477" s="122" t="s">
        <v>1129</v>
      </c>
    </row>
    <row r="478" spans="1:9" x14ac:dyDescent="0.2">
      <c r="A478" s="6">
        <v>472</v>
      </c>
      <c r="B478" s="6" t="s">
        <v>185</v>
      </c>
      <c r="C478" s="6">
        <v>422</v>
      </c>
      <c r="D478" s="6" t="s">
        <v>186</v>
      </c>
      <c r="E478" s="6" t="s">
        <v>186</v>
      </c>
      <c r="F478" s="6" t="s">
        <v>186</v>
      </c>
      <c r="G478" s="6" t="s">
        <v>187</v>
      </c>
      <c r="H478" s="47" t="s">
        <v>1130</v>
      </c>
      <c r="I478" s="122" t="s">
        <v>1131</v>
      </c>
    </row>
    <row r="479" spans="1:9" x14ac:dyDescent="0.2">
      <c r="A479" s="6">
        <v>473</v>
      </c>
      <c r="B479" s="6" t="s">
        <v>185</v>
      </c>
      <c r="C479" s="6">
        <v>423</v>
      </c>
      <c r="D479" s="6" t="s">
        <v>186</v>
      </c>
      <c r="E479" s="6" t="s">
        <v>186</v>
      </c>
      <c r="F479" s="6" t="s">
        <v>186</v>
      </c>
      <c r="G479" s="6" t="s">
        <v>187</v>
      </c>
      <c r="H479" s="47" t="s">
        <v>1132</v>
      </c>
      <c r="I479" s="122" t="s">
        <v>1133</v>
      </c>
    </row>
    <row r="480" spans="1:9" x14ac:dyDescent="0.2">
      <c r="A480" s="6">
        <v>474</v>
      </c>
      <c r="B480" s="6" t="s">
        <v>185</v>
      </c>
      <c r="C480" s="6">
        <v>424</v>
      </c>
      <c r="D480" s="6" t="s">
        <v>186</v>
      </c>
      <c r="E480" s="6" t="s">
        <v>186</v>
      </c>
      <c r="F480" s="6" t="s">
        <v>186</v>
      </c>
      <c r="G480" s="6" t="s">
        <v>187</v>
      </c>
      <c r="H480" s="47" t="s">
        <v>1134</v>
      </c>
      <c r="I480" s="122" t="s">
        <v>1135</v>
      </c>
    </row>
    <row r="481" spans="1:9" x14ac:dyDescent="0.2">
      <c r="A481" s="6">
        <v>475</v>
      </c>
      <c r="B481" s="6" t="s">
        <v>185</v>
      </c>
      <c r="C481" s="6">
        <v>425</v>
      </c>
      <c r="D481" s="6" t="s">
        <v>186</v>
      </c>
      <c r="E481" s="6" t="s">
        <v>186</v>
      </c>
      <c r="F481" s="6" t="s">
        <v>186</v>
      </c>
      <c r="G481" s="6" t="s">
        <v>187</v>
      </c>
      <c r="H481" s="47" t="s">
        <v>1136</v>
      </c>
      <c r="I481" s="122" t="s">
        <v>1137</v>
      </c>
    </row>
    <row r="482" spans="1:9" x14ac:dyDescent="0.2">
      <c r="A482" s="6">
        <v>476</v>
      </c>
      <c r="B482" s="6" t="s">
        <v>185</v>
      </c>
      <c r="C482" s="6">
        <v>426</v>
      </c>
      <c r="D482" s="6" t="s">
        <v>186</v>
      </c>
      <c r="E482" s="6" t="s">
        <v>186</v>
      </c>
      <c r="F482" s="6" t="s">
        <v>186</v>
      </c>
      <c r="G482" s="6" t="s">
        <v>187</v>
      </c>
      <c r="H482" s="47" t="s">
        <v>1138</v>
      </c>
      <c r="I482" s="122" t="s">
        <v>1139</v>
      </c>
    </row>
    <row r="483" spans="1:9" x14ac:dyDescent="0.2">
      <c r="A483" s="6">
        <v>477</v>
      </c>
      <c r="B483" s="6" t="s">
        <v>185</v>
      </c>
      <c r="C483" s="6">
        <v>427</v>
      </c>
      <c r="D483" s="6" t="s">
        <v>186</v>
      </c>
      <c r="E483" s="6" t="s">
        <v>186</v>
      </c>
      <c r="F483" s="6" t="s">
        <v>186</v>
      </c>
      <c r="G483" s="6" t="s">
        <v>187</v>
      </c>
      <c r="H483" s="47" t="s">
        <v>1140</v>
      </c>
      <c r="I483" s="122" t="s">
        <v>1141</v>
      </c>
    </row>
    <row r="484" spans="1:9" x14ac:dyDescent="0.2">
      <c r="A484" s="6">
        <v>478</v>
      </c>
      <c r="B484" s="6" t="s">
        <v>185</v>
      </c>
      <c r="C484" s="6">
        <v>428</v>
      </c>
      <c r="D484" s="6" t="s">
        <v>186</v>
      </c>
      <c r="E484" s="6" t="s">
        <v>186</v>
      </c>
      <c r="F484" s="6" t="s">
        <v>186</v>
      </c>
      <c r="G484" s="6" t="s">
        <v>187</v>
      </c>
      <c r="H484" s="47" t="s">
        <v>1142</v>
      </c>
      <c r="I484" s="122" t="s">
        <v>1143</v>
      </c>
    </row>
    <row r="485" spans="1:9" x14ac:dyDescent="0.2">
      <c r="A485" s="6">
        <v>479</v>
      </c>
      <c r="B485" s="6" t="s">
        <v>185</v>
      </c>
      <c r="C485" s="6">
        <v>429</v>
      </c>
      <c r="D485" s="6" t="s">
        <v>186</v>
      </c>
      <c r="E485" s="6" t="s">
        <v>186</v>
      </c>
      <c r="F485" s="6" t="s">
        <v>186</v>
      </c>
      <c r="G485" s="6" t="s">
        <v>187</v>
      </c>
      <c r="H485" s="47" t="s">
        <v>1144</v>
      </c>
      <c r="I485" s="122" t="s">
        <v>1145</v>
      </c>
    </row>
    <row r="486" spans="1:9" x14ac:dyDescent="0.2">
      <c r="A486" s="6">
        <v>480</v>
      </c>
      <c r="B486" s="6" t="s">
        <v>185</v>
      </c>
      <c r="C486" s="6">
        <v>430</v>
      </c>
      <c r="D486" s="6" t="s">
        <v>186</v>
      </c>
      <c r="E486" s="6" t="s">
        <v>186</v>
      </c>
      <c r="F486" s="6" t="s">
        <v>186</v>
      </c>
      <c r="G486" s="6" t="s">
        <v>187</v>
      </c>
      <c r="H486" s="47" t="s">
        <v>1146</v>
      </c>
      <c r="I486" s="122" t="s">
        <v>1147</v>
      </c>
    </row>
    <row r="487" spans="1:9" x14ac:dyDescent="0.2">
      <c r="A487" s="6">
        <v>481</v>
      </c>
      <c r="B487" s="6" t="s">
        <v>185</v>
      </c>
      <c r="C487" s="6">
        <v>431</v>
      </c>
      <c r="D487" s="6" t="s">
        <v>186</v>
      </c>
      <c r="E487" s="6" t="s">
        <v>186</v>
      </c>
      <c r="F487" s="6" t="s">
        <v>186</v>
      </c>
      <c r="G487" s="6" t="s">
        <v>187</v>
      </c>
      <c r="H487" s="47" t="s">
        <v>1148</v>
      </c>
      <c r="I487" s="122" t="s">
        <v>1149</v>
      </c>
    </row>
    <row r="488" spans="1:9" x14ac:dyDescent="0.2">
      <c r="A488" s="6">
        <v>482</v>
      </c>
      <c r="B488" s="6" t="s">
        <v>185</v>
      </c>
      <c r="C488" s="6">
        <v>432</v>
      </c>
      <c r="D488" s="6" t="s">
        <v>186</v>
      </c>
      <c r="E488" s="6" t="s">
        <v>186</v>
      </c>
      <c r="F488" s="6" t="s">
        <v>186</v>
      </c>
      <c r="G488" s="6" t="s">
        <v>187</v>
      </c>
      <c r="H488" s="47" t="s">
        <v>1150</v>
      </c>
      <c r="I488" s="122" t="s">
        <v>1151</v>
      </c>
    </row>
    <row r="489" spans="1:9" x14ac:dyDescent="0.2">
      <c r="A489" s="6">
        <v>483</v>
      </c>
      <c r="B489" s="6" t="s">
        <v>185</v>
      </c>
      <c r="C489" s="6">
        <v>433</v>
      </c>
      <c r="D489" s="6" t="s">
        <v>186</v>
      </c>
      <c r="E489" s="6" t="s">
        <v>186</v>
      </c>
      <c r="F489" s="6" t="s">
        <v>186</v>
      </c>
      <c r="G489" s="6" t="s">
        <v>187</v>
      </c>
      <c r="H489" s="47" t="s">
        <v>1152</v>
      </c>
      <c r="I489" s="122" t="s">
        <v>1153</v>
      </c>
    </row>
    <row r="490" spans="1:9" x14ac:dyDescent="0.2">
      <c r="A490" s="6">
        <v>484</v>
      </c>
      <c r="B490" s="6" t="s">
        <v>185</v>
      </c>
      <c r="C490" s="6">
        <v>434</v>
      </c>
      <c r="D490" s="6" t="s">
        <v>186</v>
      </c>
      <c r="E490" s="6" t="s">
        <v>186</v>
      </c>
      <c r="F490" s="6" t="s">
        <v>186</v>
      </c>
      <c r="G490" s="6" t="s">
        <v>187</v>
      </c>
      <c r="H490" s="47" t="s">
        <v>1154</v>
      </c>
      <c r="I490" s="122" t="s">
        <v>1155</v>
      </c>
    </row>
    <row r="491" spans="1:9" x14ac:dyDescent="0.2">
      <c r="A491" s="6">
        <v>485</v>
      </c>
      <c r="B491" s="6" t="s">
        <v>185</v>
      </c>
      <c r="C491" s="6">
        <v>435</v>
      </c>
      <c r="D491" s="6" t="s">
        <v>186</v>
      </c>
      <c r="E491" s="6" t="s">
        <v>186</v>
      </c>
      <c r="F491" s="6" t="s">
        <v>186</v>
      </c>
      <c r="G491" s="6" t="s">
        <v>187</v>
      </c>
      <c r="H491" s="47" t="s">
        <v>1156</v>
      </c>
      <c r="I491" s="122" t="s">
        <v>1157</v>
      </c>
    </row>
    <row r="492" spans="1:9" x14ac:dyDescent="0.2">
      <c r="A492" s="6">
        <v>486</v>
      </c>
      <c r="B492" s="6" t="s">
        <v>185</v>
      </c>
      <c r="C492" s="6">
        <v>436</v>
      </c>
      <c r="D492" s="6" t="s">
        <v>186</v>
      </c>
      <c r="E492" s="6" t="s">
        <v>186</v>
      </c>
      <c r="F492" s="6" t="s">
        <v>186</v>
      </c>
      <c r="G492" s="6" t="s">
        <v>187</v>
      </c>
      <c r="H492" s="47" t="s">
        <v>1158</v>
      </c>
      <c r="I492" s="122" t="s">
        <v>1159</v>
      </c>
    </row>
    <row r="493" spans="1:9" x14ac:dyDescent="0.2">
      <c r="A493" s="6">
        <v>487</v>
      </c>
      <c r="B493" s="6" t="s">
        <v>185</v>
      </c>
      <c r="C493" s="6">
        <v>437</v>
      </c>
      <c r="D493" s="6" t="s">
        <v>186</v>
      </c>
      <c r="E493" s="6" t="s">
        <v>186</v>
      </c>
      <c r="F493" s="6" t="s">
        <v>186</v>
      </c>
      <c r="G493" s="6" t="s">
        <v>187</v>
      </c>
      <c r="H493" s="47" t="s">
        <v>1160</v>
      </c>
      <c r="I493" s="122" t="s">
        <v>1161</v>
      </c>
    </row>
    <row r="494" spans="1:9" x14ac:dyDescent="0.2">
      <c r="A494" s="6">
        <v>488</v>
      </c>
      <c r="B494" s="6" t="s">
        <v>185</v>
      </c>
      <c r="C494" s="6">
        <v>438</v>
      </c>
      <c r="D494" s="6" t="s">
        <v>186</v>
      </c>
      <c r="E494" s="6" t="s">
        <v>186</v>
      </c>
      <c r="F494" s="6" t="s">
        <v>186</v>
      </c>
      <c r="G494" s="6" t="s">
        <v>187</v>
      </c>
      <c r="H494" s="47" t="s">
        <v>1162</v>
      </c>
      <c r="I494" s="122" t="s">
        <v>1163</v>
      </c>
    </row>
    <row r="495" spans="1:9" x14ac:dyDescent="0.2">
      <c r="A495" s="6">
        <v>489</v>
      </c>
      <c r="B495" s="6" t="s">
        <v>185</v>
      </c>
      <c r="C495" s="6">
        <v>439</v>
      </c>
      <c r="D495" s="6" t="s">
        <v>186</v>
      </c>
      <c r="E495" s="6" t="s">
        <v>186</v>
      </c>
      <c r="F495" s="6" t="s">
        <v>186</v>
      </c>
      <c r="G495" s="6" t="s">
        <v>187</v>
      </c>
      <c r="H495" s="47" t="s">
        <v>1164</v>
      </c>
      <c r="I495" s="122" t="s">
        <v>1165</v>
      </c>
    </row>
    <row r="496" spans="1:9" x14ac:dyDescent="0.2">
      <c r="A496" s="6">
        <v>490</v>
      </c>
      <c r="B496" s="6" t="s">
        <v>185</v>
      </c>
      <c r="C496" s="6">
        <v>440</v>
      </c>
      <c r="D496" s="6" t="s">
        <v>186</v>
      </c>
      <c r="E496" s="6" t="s">
        <v>186</v>
      </c>
      <c r="F496" s="6" t="s">
        <v>186</v>
      </c>
      <c r="G496" s="6" t="s">
        <v>187</v>
      </c>
      <c r="H496" s="47" t="s">
        <v>1166</v>
      </c>
      <c r="I496" s="122" t="s">
        <v>1167</v>
      </c>
    </row>
    <row r="497" spans="1:9" x14ac:dyDescent="0.2">
      <c r="A497" s="6">
        <v>491</v>
      </c>
      <c r="B497" s="6" t="s">
        <v>185</v>
      </c>
      <c r="C497" s="6">
        <v>441</v>
      </c>
      <c r="D497" s="6" t="s">
        <v>186</v>
      </c>
      <c r="E497" s="6" t="s">
        <v>186</v>
      </c>
      <c r="F497" s="6" t="s">
        <v>186</v>
      </c>
      <c r="G497" s="6" t="s">
        <v>187</v>
      </c>
      <c r="H497" s="47" t="s">
        <v>1168</v>
      </c>
      <c r="I497" s="122" t="s">
        <v>1169</v>
      </c>
    </row>
    <row r="498" spans="1:9" x14ac:dyDescent="0.2">
      <c r="A498" s="6">
        <v>492</v>
      </c>
      <c r="B498" s="6" t="s">
        <v>185</v>
      </c>
      <c r="C498" s="6">
        <v>442</v>
      </c>
      <c r="D498" s="6" t="s">
        <v>186</v>
      </c>
      <c r="E498" s="6" t="s">
        <v>186</v>
      </c>
      <c r="F498" s="6" t="s">
        <v>186</v>
      </c>
      <c r="G498" s="6" t="s">
        <v>187</v>
      </c>
      <c r="H498" s="47" t="s">
        <v>1170</v>
      </c>
      <c r="I498" s="122" t="s">
        <v>1171</v>
      </c>
    </row>
    <row r="499" spans="1:9" x14ac:dyDescent="0.2">
      <c r="A499" s="6">
        <v>493</v>
      </c>
      <c r="B499" s="6" t="s">
        <v>185</v>
      </c>
      <c r="C499" s="6">
        <v>443</v>
      </c>
      <c r="D499" s="6" t="s">
        <v>186</v>
      </c>
      <c r="E499" s="6" t="s">
        <v>186</v>
      </c>
      <c r="F499" s="6" t="s">
        <v>186</v>
      </c>
      <c r="G499" s="6" t="s">
        <v>187</v>
      </c>
      <c r="H499" s="47" t="s">
        <v>1172</v>
      </c>
      <c r="I499" s="122" t="s">
        <v>1173</v>
      </c>
    </row>
    <row r="500" spans="1:9" x14ac:dyDescent="0.2">
      <c r="A500" s="6">
        <v>494</v>
      </c>
      <c r="B500" s="6" t="s">
        <v>185</v>
      </c>
      <c r="C500" s="6">
        <v>444</v>
      </c>
      <c r="D500" s="6" t="s">
        <v>186</v>
      </c>
      <c r="E500" s="6" t="s">
        <v>186</v>
      </c>
      <c r="F500" s="6" t="s">
        <v>186</v>
      </c>
      <c r="G500" s="6" t="s">
        <v>187</v>
      </c>
      <c r="H500" s="47" t="s">
        <v>1174</v>
      </c>
      <c r="I500" s="122" t="s">
        <v>1175</v>
      </c>
    </row>
    <row r="501" spans="1:9" x14ac:dyDescent="0.2">
      <c r="A501" s="6">
        <v>495</v>
      </c>
      <c r="B501" s="6" t="s">
        <v>185</v>
      </c>
      <c r="C501" s="6">
        <v>445</v>
      </c>
      <c r="D501" s="6" t="s">
        <v>186</v>
      </c>
      <c r="E501" s="6" t="s">
        <v>186</v>
      </c>
      <c r="F501" s="6" t="s">
        <v>186</v>
      </c>
      <c r="G501" s="6" t="s">
        <v>187</v>
      </c>
      <c r="H501" s="47" t="s">
        <v>1176</v>
      </c>
      <c r="I501" s="122" t="s">
        <v>1177</v>
      </c>
    </row>
    <row r="502" spans="1:9" x14ac:dyDescent="0.2">
      <c r="A502" s="6">
        <v>496</v>
      </c>
      <c r="B502" s="6" t="s">
        <v>185</v>
      </c>
      <c r="C502" s="6">
        <v>446</v>
      </c>
      <c r="D502" s="6" t="s">
        <v>186</v>
      </c>
      <c r="E502" s="6" t="s">
        <v>186</v>
      </c>
      <c r="F502" s="6" t="s">
        <v>186</v>
      </c>
      <c r="G502" s="6" t="s">
        <v>187</v>
      </c>
      <c r="H502" s="47" t="s">
        <v>1178</v>
      </c>
      <c r="I502" s="122" t="s">
        <v>1179</v>
      </c>
    </row>
    <row r="503" spans="1:9" x14ac:dyDescent="0.2">
      <c r="A503" s="6">
        <v>497</v>
      </c>
      <c r="B503" s="6" t="s">
        <v>185</v>
      </c>
      <c r="C503" s="6">
        <v>447</v>
      </c>
      <c r="D503" s="6" t="s">
        <v>186</v>
      </c>
      <c r="E503" s="6" t="s">
        <v>186</v>
      </c>
      <c r="F503" s="6" t="s">
        <v>186</v>
      </c>
      <c r="G503" s="6" t="s">
        <v>187</v>
      </c>
      <c r="H503" s="47" t="s">
        <v>1180</v>
      </c>
      <c r="I503" s="122" t="s">
        <v>1181</v>
      </c>
    </row>
    <row r="504" spans="1:9" x14ac:dyDescent="0.2">
      <c r="A504" s="6">
        <v>498</v>
      </c>
      <c r="B504" s="6" t="s">
        <v>185</v>
      </c>
      <c r="C504" s="6">
        <v>448</v>
      </c>
      <c r="D504" s="6" t="s">
        <v>186</v>
      </c>
      <c r="E504" s="6" t="s">
        <v>186</v>
      </c>
      <c r="F504" s="6" t="s">
        <v>186</v>
      </c>
      <c r="G504" s="6" t="s">
        <v>187</v>
      </c>
      <c r="H504" s="47" t="s">
        <v>1182</v>
      </c>
      <c r="I504" s="122" t="s">
        <v>1183</v>
      </c>
    </row>
    <row r="505" spans="1:9" x14ac:dyDescent="0.2">
      <c r="A505" s="6">
        <v>499</v>
      </c>
      <c r="B505" s="6" t="s">
        <v>185</v>
      </c>
      <c r="C505" s="6">
        <v>449</v>
      </c>
      <c r="D505" s="6" t="s">
        <v>186</v>
      </c>
      <c r="E505" s="6" t="s">
        <v>186</v>
      </c>
      <c r="F505" s="6" t="s">
        <v>186</v>
      </c>
      <c r="G505" s="6" t="s">
        <v>187</v>
      </c>
      <c r="H505" s="47" t="s">
        <v>1184</v>
      </c>
      <c r="I505" s="122" t="s">
        <v>1185</v>
      </c>
    </row>
    <row r="506" spans="1:9" x14ac:dyDescent="0.2">
      <c r="A506" s="6">
        <v>500</v>
      </c>
      <c r="B506" s="6" t="s">
        <v>185</v>
      </c>
      <c r="C506" s="6">
        <v>450</v>
      </c>
      <c r="D506" s="6" t="s">
        <v>186</v>
      </c>
      <c r="E506" s="6" t="s">
        <v>186</v>
      </c>
      <c r="F506" s="6" t="s">
        <v>186</v>
      </c>
      <c r="G506" s="6" t="s">
        <v>187</v>
      </c>
      <c r="H506" s="47" t="s">
        <v>1186</v>
      </c>
      <c r="I506" s="122" t="s">
        <v>1187</v>
      </c>
    </row>
    <row r="507" spans="1:9" x14ac:dyDescent="0.2">
      <c r="A507" s="6">
        <v>501</v>
      </c>
      <c r="B507" s="6" t="s">
        <v>185</v>
      </c>
      <c r="C507" s="6">
        <v>451</v>
      </c>
      <c r="D507" s="6" t="s">
        <v>186</v>
      </c>
      <c r="E507" s="6" t="s">
        <v>186</v>
      </c>
      <c r="F507" s="6" t="s">
        <v>186</v>
      </c>
      <c r="G507" s="6" t="s">
        <v>187</v>
      </c>
      <c r="H507" s="47" t="s">
        <v>1188</v>
      </c>
      <c r="I507" s="122" t="s">
        <v>1189</v>
      </c>
    </row>
    <row r="508" spans="1:9" x14ac:dyDescent="0.2">
      <c r="A508" s="6">
        <v>502</v>
      </c>
      <c r="B508" s="6" t="s">
        <v>185</v>
      </c>
      <c r="C508" s="6">
        <v>452</v>
      </c>
      <c r="D508" s="6" t="s">
        <v>186</v>
      </c>
      <c r="E508" s="6" t="s">
        <v>186</v>
      </c>
      <c r="F508" s="6" t="s">
        <v>186</v>
      </c>
      <c r="G508" s="6" t="s">
        <v>187</v>
      </c>
      <c r="H508" s="47" t="s">
        <v>1190</v>
      </c>
      <c r="I508" s="122" t="s">
        <v>1191</v>
      </c>
    </row>
    <row r="509" spans="1:9" x14ac:dyDescent="0.2">
      <c r="A509" s="6">
        <v>503</v>
      </c>
      <c r="B509" s="6" t="s">
        <v>185</v>
      </c>
      <c r="C509" s="6">
        <v>453</v>
      </c>
      <c r="D509" s="6" t="s">
        <v>186</v>
      </c>
      <c r="E509" s="6" t="s">
        <v>186</v>
      </c>
      <c r="F509" s="6" t="s">
        <v>186</v>
      </c>
      <c r="G509" s="6" t="s">
        <v>187</v>
      </c>
      <c r="H509" s="47" t="s">
        <v>1192</v>
      </c>
      <c r="I509" s="122" t="s">
        <v>1193</v>
      </c>
    </row>
    <row r="510" spans="1:9" x14ac:dyDescent="0.2">
      <c r="A510" s="6">
        <v>504</v>
      </c>
      <c r="B510" s="6" t="s">
        <v>185</v>
      </c>
      <c r="C510" s="6">
        <v>454</v>
      </c>
      <c r="D510" s="6" t="s">
        <v>186</v>
      </c>
      <c r="E510" s="6" t="s">
        <v>186</v>
      </c>
      <c r="F510" s="6" t="s">
        <v>186</v>
      </c>
      <c r="G510" s="6" t="s">
        <v>187</v>
      </c>
      <c r="H510" s="47" t="s">
        <v>1194</v>
      </c>
      <c r="I510" s="122" t="s">
        <v>1195</v>
      </c>
    </row>
    <row r="511" spans="1:9" x14ac:dyDescent="0.2">
      <c r="A511" s="6">
        <v>505</v>
      </c>
      <c r="B511" s="6" t="s">
        <v>185</v>
      </c>
      <c r="C511" s="6">
        <v>455</v>
      </c>
      <c r="D511" s="6" t="s">
        <v>186</v>
      </c>
      <c r="E511" s="6" t="s">
        <v>186</v>
      </c>
      <c r="F511" s="6" t="s">
        <v>186</v>
      </c>
      <c r="G511" s="6" t="s">
        <v>187</v>
      </c>
      <c r="H511" s="47" t="s">
        <v>1196</v>
      </c>
      <c r="I511" s="122" t="s">
        <v>1197</v>
      </c>
    </row>
    <row r="512" spans="1:9" x14ac:dyDescent="0.2">
      <c r="A512" s="6">
        <v>506</v>
      </c>
      <c r="B512" s="6" t="s">
        <v>185</v>
      </c>
      <c r="C512" s="6">
        <v>456</v>
      </c>
      <c r="D512" s="6" t="s">
        <v>186</v>
      </c>
      <c r="E512" s="6" t="s">
        <v>186</v>
      </c>
      <c r="F512" s="6" t="s">
        <v>186</v>
      </c>
      <c r="G512" s="6" t="s">
        <v>187</v>
      </c>
      <c r="H512" s="47" t="s">
        <v>1198</v>
      </c>
      <c r="I512" s="122" t="s">
        <v>1199</v>
      </c>
    </row>
    <row r="513" spans="1:9" x14ac:dyDescent="0.2">
      <c r="A513" s="6">
        <v>507</v>
      </c>
      <c r="B513" s="6" t="s">
        <v>185</v>
      </c>
      <c r="C513" s="6">
        <v>457</v>
      </c>
      <c r="D513" s="6" t="s">
        <v>186</v>
      </c>
      <c r="E513" s="6" t="s">
        <v>186</v>
      </c>
      <c r="F513" s="6" t="s">
        <v>186</v>
      </c>
      <c r="G513" s="6" t="s">
        <v>187</v>
      </c>
      <c r="H513" s="47" t="s">
        <v>1200</v>
      </c>
      <c r="I513" s="122" t="s">
        <v>1201</v>
      </c>
    </row>
    <row r="514" spans="1:9" x14ac:dyDescent="0.2">
      <c r="A514" s="6">
        <v>508</v>
      </c>
      <c r="B514" s="6" t="s">
        <v>185</v>
      </c>
      <c r="C514" s="6">
        <v>458</v>
      </c>
      <c r="D514" s="6" t="s">
        <v>186</v>
      </c>
      <c r="E514" s="6" t="s">
        <v>186</v>
      </c>
      <c r="F514" s="6" t="s">
        <v>186</v>
      </c>
      <c r="G514" s="6" t="s">
        <v>187</v>
      </c>
      <c r="H514" s="47" t="s">
        <v>1202</v>
      </c>
      <c r="I514" s="122" t="s">
        <v>1203</v>
      </c>
    </row>
    <row r="515" spans="1:9" x14ac:dyDescent="0.2">
      <c r="A515" s="6">
        <v>509</v>
      </c>
      <c r="B515" s="6" t="s">
        <v>185</v>
      </c>
      <c r="C515" s="6">
        <v>459</v>
      </c>
      <c r="D515" s="6" t="s">
        <v>186</v>
      </c>
      <c r="E515" s="6" t="s">
        <v>186</v>
      </c>
      <c r="F515" s="6" t="s">
        <v>186</v>
      </c>
      <c r="G515" s="6" t="s">
        <v>187</v>
      </c>
      <c r="H515" s="47" t="s">
        <v>1204</v>
      </c>
      <c r="I515" s="122" t="s">
        <v>1205</v>
      </c>
    </row>
    <row r="516" spans="1:9" x14ac:dyDescent="0.2">
      <c r="A516" s="6">
        <v>510</v>
      </c>
      <c r="B516" s="6" t="s">
        <v>185</v>
      </c>
      <c r="C516" s="6">
        <v>460</v>
      </c>
      <c r="D516" s="6" t="s">
        <v>186</v>
      </c>
      <c r="E516" s="6" t="s">
        <v>186</v>
      </c>
      <c r="F516" s="6" t="s">
        <v>186</v>
      </c>
      <c r="G516" s="6" t="s">
        <v>187</v>
      </c>
      <c r="H516" s="47" t="s">
        <v>1206</v>
      </c>
      <c r="I516" s="122" t="s">
        <v>1207</v>
      </c>
    </row>
    <row r="517" spans="1:9" x14ac:dyDescent="0.2">
      <c r="A517" s="6">
        <v>511</v>
      </c>
      <c r="B517" s="6" t="s">
        <v>185</v>
      </c>
      <c r="C517" s="6">
        <v>461</v>
      </c>
      <c r="D517" s="6" t="s">
        <v>186</v>
      </c>
      <c r="E517" s="6" t="s">
        <v>186</v>
      </c>
      <c r="F517" s="6" t="s">
        <v>186</v>
      </c>
      <c r="G517" s="6" t="s">
        <v>187</v>
      </c>
      <c r="H517" s="47" t="s">
        <v>1208</v>
      </c>
      <c r="I517" s="122" t="s">
        <v>1209</v>
      </c>
    </row>
    <row r="518" spans="1:9" x14ac:dyDescent="0.2">
      <c r="A518" s="6">
        <v>512</v>
      </c>
      <c r="B518" s="6" t="s">
        <v>185</v>
      </c>
      <c r="C518" s="6">
        <v>462</v>
      </c>
      <c r="D518" s="6" t="s">
        <v>186</v>
      </c>
      <c r="E518" s="6" t="s">
        <v>186</v>
      </c>
      <c r="F518" s="6" t="s">
        <v>186</v>
      </c>
      <c r="G518" s="6" t="s">
        <v>187</v>
      </c>
      <c r="H518" s="47" t="s">
        <v>1210</v>
      </c>
      <c r="I518" s="122" t="s">
        <v>1211</v>
      </c>
    </row>
    <row r="519" spans="1:9" x14ac:dyDescent="0.2">
      <c r="A519" s="6">
        <v>513</v>
      </c>
      <c r="B519" s="6" t="s">
        <v>185</v>
      </c>
      <c r="C519" s="6">
        <v>463</v>
      </c>
      <c r="D519" s="6" t="s">
        <v>186</v>
      </c>
      <c r="E519" s="6" t="s">
        <v>186</v>
      </c>
      <c r="F519" s="6" t="s">
        <v>186</v>
      </c>
      <c r="G519" s="6" t="s">
        <v>187</v>
      </c>
      <c r="H519" s="47" t="s">
        <v>1212</v>
      </c>
      <c r="I519" s="122" t="s">
        <v>1213</v>
      </c>
    </row>
    <row r="520" spans="1:9" x14ac:dyDescent="0.2">
      <c r="A520" s="6">
        <v>514</v>
      </c>
      <c r="B520" s="6" t="s">
        <v>185</v>
      </c>
      <c r="C520" s="6">
        <v>464</v>
      </c>
      <c r="D520" s="6" t="s">
        <v>186</v>
      </c>
      <c r="E520" s="6" t="s">
        <v>186</v>
      </c>
      <c r="F520" s="6" t="s">
        <v>186</v>
      </c>
      <c r="G520" s="6" t="s">
        <v>187</v>
      </c>
      <c r="H520" s="47" t="s">
        <v>1214</v>
      </c>
      <c r="I520" s="122" t="s">
        <v>1215</v>
      </c>
    </row>
    <row r="521" spans="1:9" x14ac:dyDescent="0.2">
      <c r="A521" s="6">
        <v>515</v>
      </c>
      <c r="B521" s="6" t="s">
        <v>185</v>
      </c>
      <c r="C521" s="6">
        <v>465</v>
      </c>
      <c r="D521" s="6" t="s">
        <v>186</v>
      </c>
      <c r="E521" s="6" t="s">
        <v>186</v>
      </c>
      <c r="F521" s="6" t="s">
        <v>186</v>
      </c>
      <c r="G521" s="6" t="s">
        <v>187</v>
      </c>
      <c r="H521" s="47" t="s">
        <v>1216</v>
      </c>
      <c r="I521" s="122" t="s">
        <v>1217</v>
      </c>
    </row>
    <row r="522" spans="1:9" x14ac:dyDescent="0.2">
      <c r="A522" s="6">
        <v>516</v>
      </c>
      <c r="B522" s="6" t="s">
        <v>185</v>
      </c>
      <c r="C522" s="6">
        <v>466</v>
      </c>
      <c r="D522" s="6" t="s">
        <v>186</v>
      </c>
      <c r="E522" s="6" t="s">
        <v>186</v>
      </c>
      <c r="F522" s="6" t="s">
        <v>186</v>
      </c>
      <c r="G522" s="6" t="s">
        <v>187</v>
      </c>
      <c r="H522" s="47" t="s">
        <v>1218</v>
      </c>
      <c r="I522" s="122" t="s">
        <v>1219</v>
      </c>
    </row>
    <row r="523" spans="1:9" x14ac:dyDescent="0.2">
      <c r="A523" s="6">
        <v>517</v>
      </c>
      <c r="B523" s="6" t="s">
        <v>185</v>
      </c>
      <c r="C523" s="6">
        <v>467</v>
      </c>
      <c r="D523" s="6" t="s">
        <v>186</v>
      </c>
      <c r="E523" s="6" t="s">
        <v>186</v>
      </c>
      <c r="F523" s="6" t="s">
        <v>186</v>
      </c>
      <c r="G523" s="6" t="s">
        <v>187</v>
      </c>
      <c r="H523" s="47" t="s">
        <v>1220</v>
      </c>
      <c r="I523" s="122" t="s">
        <v>1221</v>
      </c>
    </row>
    <row r="524" spans="1:9" x14ac:dyDescent="0.2">
      <c r="A524" s="6">
        <v>518</v>
      </c>
      <c r="B524" s="6" t="s">
        <v>185</v>
      </c>
      <c r="C524" s="6">
        <v>468</v>
      </c>
      <c r="D524" s="6" t="s">
        <v>186</v>
      </c>
      <c r="E524" s="6" t="s">
        <v>186</v>
      </c>
      <c r="F524" s="6" t="s">
        <v>186</v>
      </c>
      <c r="G524" s="6" t="s">
        <v>187</v>
      </c>
      <c r="H524" s="47" t="s">
        <v>1222</v>
      </c>
      <c r="I524" s="122" t="s">
        <v>1223</v>
      </c>
    </row>
    <row r="525" spans="1:9" x14ac:dyDescent="0.2">
      <c r="A525" s="6">
        <v>519</v>
      </c>
      <c r="B525" s="6" t="s">
        <v>185</v>
      </c>
      <c r="C525" s="6">
        <v>469</v>
      </c>
      <c r="D525" s="6" t="s">
        <v>186</v>
      </c>
      <c r="E525" s="6" t="s">
        <v>186</v>
      </c>
      <c r="F525" s="6" t="s">
        <v>186</v>
      </c>
      <c r="G525" s="6" t="s">
        <v>187</v>
      </c>
      <c r="H525" s="47" t="s">
        <v>1224</v>
      </c>
      <c r="I525" s="122" t="s">
        <v>1225</v>
      </c>
    </row>
    <row r="526" spans="1:9" x14ac:dyDescent="0.2">
      <c r="A526" s="6">
        <v>520</v>
      </c>
      <c r="B526" s="6" t="s">
        <v>185</v>
      </c>
      <c r="C526" s="6">
        <v>470</v>
      </c>
      <c r="D526" s="6" t="s">
        <v>186</v>
      </c>
      <c r="E526" s="6" t="s">
        <v>186</v>
      </c>
      <c r="F526" s="6" t="s">
        <v>186</v>
      </c>
      <c r="G526" s="6" t="s">
        <v>187</v>
      </c>
      <c r="H526" s="47" t="s">
        <v>1226</v>
      </c>
      <c r="I526" s="122" t="s">
        <v>1227</v>
      </c>
    </row>
    <row r="527" spans="1:9" x14ac:dyDescent="0.2">
      <c r="A527" s="6">
        <v>521</v>
      </c>
      <c r="B527" s="6" t="s">
        <v>185</v>
      </c>
      <c r="C527" s="6">
        <v>471</v>
      </c>
      <c r="D527" s="6" t="s">
        <v>186</v>
      </c>
      <c r="E527" s="6" t="s">
        <v>186</v>
      </c>
      <c r="F527" s="6" t="s">
        <v>186</v>
      </c>
      <c r="G527" s="6" t="s">
        <v>187</v>
      </c>
      <c r="H527" s="47" t="s">
        <v>1228</v>
      </c>
      <c r="I527" s="122" t="s">
        <v>1229</v>
      </c>
    </row>
    <row r="528" spans="1:9" x14ac:dyDescent="0.2">
      <c r="A528" s="6">
        <v>522</v>
      </c>
      <c r="B528" s="6" t="s">
        <v>185</v>
      </c>
      <c r="C528" s="6">
        <v>472</v>
      </c>
      <c r="D528" s="6" t="s">
        <v>186</v>
      </c>
      <c r="E528" s="6" t="s">
        <v>186</v>
      </c>
      <c r="F528" s="6" t="s">
        <v>186</v>
      </c>
      <c r="G528" s="6" t="s">
        <v>187</v>
      </c>
      <c r="H528" s="47" t="s">
        <v>1230</v>
      </c>
      <c r="I528" s="122" t="s">
        <v>1231</v>
      </c>
    </row>
    <row r="529" spans="1:9" x14ac:dyDescent="0.2">
      <c r="A529" s="6">
        <v>523</v>
      </c>
      <c r="B529" s="6" t="s">
        <v>185</v>
      </c>
      <c r="C529" s="6">
        <v>473</v>
      </c>
      <c r="D529" s="6" t="s">
        <v>186</v>
      </c>
      <c r="E529" s="6" t="s">
        <v>186</v>
      </c>
      <c r="F529" s="6" t="s">
        <v>186</v>
      </c>
      <c r="G529" s="6" t="s">
        <v>187</v>
      </c>
      <c r="H529" s="47" t="s">
        <v>1232</v>
      </c>
      <c r="I529" s="122" t="s">
        <v>1233</v>
      </c>
    </row>
    <row r="530" spans="1:9" x14ac:dyDescent="0.2">
      <c r="A530" s="6">
        <v>524</v>
      </c>
      <c r="B530" s="6" t="s">
        <v>185</v>
      </c>
      <c r="C530" s="6">
        <v>474</v>
      </c>
      <c r="D530" s="6" t="s">
        <v>186</v>
      </c>
      <c r="E530" s="6" t="s">
        <v>186</v>
      </c>
      <c r="F530" s="6" t="s">
        <v>186</v>
      </c>
      <c r="G530" s="6" t="s">
        <v>187</v>
      </c>
      <c r="H530" s="47" t="s">
        <v>1234</v>
      </c>
      <c r="I530" s="122" t="s">
        <v>1235</v>
      </c>
    </row>
    <row r="531" spans="1:9" x14ac:dyDescent="0.2">
      <c r="A531" s="6">
        <v>525</v>
      </c>
      <c r="B531" s="6" t="s">
        <v>185</v>
      </c>
      <c r="C531" s="6">
        <v>475</v>
      </c>
      <c r="D531" s="6" t="s">
        <v>186</v>
      </c>
      <c r="E531" s="6" t="s">
        <v>186</v>
      </c>
      <c r="F531" s="6" t="s">
        <v>186</v>
      </c>
      <c r="G531" s="6" t="s">
        <v>187</v>
      </c>
      <c r="H531" s="47" t="s">
        <v>1236</v>
      </c>
      <c r="I531" s="122" t="s">
        <v>1237</v>
      </c>
    </row>
    <row r="532" spans="1:9" x14ac:dyDescent="0.2">
      <c r="A532" s="6">
        <v>526</v>
      </c>
      <c r="B532" s="6" t="s">
        <v>185</v>
      </c>
      <c r="C532" s="6">
        <v>476</v>
      </c>
      <c r="D532" s="6" t="s">
        <v>186</v>
      </c>
      <c r="E532" s="6" t="s">
        <v>186</v>
      </c>
      <c r="F532" s="6" t="s">
        <v>186</v>
      </c>
      <c r="G532" s="6" t="s">
        <v>187</v>
      </c>
      <c r="H532" s="47" t="s">
        <v>1238</v>
      </c>
      <c r="I532" s="122" t="s">
        <v>1239</v>
      </c>
    </row>
    <row r="533" spans="1:9" x14ac:dyDescent="0.2">
      <c r="A533" s="6">
        <v>527</v>
      </c>
      <c r="B533" s="6" t="s">
        <v>185</v>
      </c>
      <c r="C533" s="6">
        <v>477</v>
      </c>
      <c r="D533" s="6" t="s">
        <v>186</v>
      </c>
      <c r="E533" s="6" t="s">
        <v>186</v>
      </c>
      <c r="F533" s="6" t="s">
        <v>186</v>
      </c>
      <c r="G533" s="6" t="s">
        <v>187</v>
      </c>
      <c r="H533" s="47" t="s">
        <v>1240</v>
      </c>
      <c r="I533" s="122" t="s">
        <v>1241</v>
      </c>
    </row>
    <row r="534" spans="1:9" x14ac:dyDescent="0.2">
      <c r="A534" s="6">
        <v>528</v>
      </c>
      <c r="B534" s="6" t="s">
        <v>185</v>
      </c>
      <c r="C534" s="6">
        <v>478</v>
      </c>
      <c r="D534" s="6" t="s">
        <v>186</v>
      </c>
      <c r="E534" s="6" t="s">
        <v>186</v>
      </c>
      <c r="F534" s="6" t="s">
        <v>186</v>
      </c>
      <c r="G534" s="6" t="s">
        <v>187</v>
      </c>
      <c r="H534" s="47" t="s">
        <v>1242</v>
      </c>
      <c r="I534" s="122" t="s">
        <v>1243</v>
      </c>
    </row>
    <row r="535" spans="1:9" x14ac:dyDescent="0.2">
      <c r="A535" s="6">
        <v>529</v>
      </c>
      <c r="B535" s="6" t="s">
        <v>185</v>
      </c>
      <c r="C535" s="6">
        <v>479</v>
      </c>
      <c r="D535" s="6" t="s">
        <v>186</v>
      </c>
      <c r="E535" s="6" t="s">
        <v>186</v>
      </c>
      <c r="F535" s="6" t="s">
        <v>186</v>
      </c>
      <c r="G535" s="6" t="s">
        <v>187</v>
      </c>
      <c r="H535" s="47" t="s">
        <v>1244</v>
      </c>
      <c r="I535" s="122" t="s">
        <v>1245</v>
      </c>
    </row>
    <row r="536" spans="1:9" x14ac:dyDescent="0.2">
      <c r="A536" s="6">
        <v>530</v>
      </c>
      <c r="B536" s="6" t="s">
        <v>185</v>
      </c>
      <c r="C536" s="6">
        <v>480</v>
      </c>
      <c r="D536" s="6" t="s">
        <v>186</v>
      </c>
      <c r="E536" s="6" t="s">
        <v>186</v>
      </c>
      <c r="F536" s="6" t="s">
        <v>186</v>
      </c>
      <c r="G536" s="6" t="s">
        <v>187</v>
      </c>
      <c r="H536" s="47" t="s">
        <v>1246</v>
      </c>
      <c r="I536" s="122" t="s">
        <v>1247</v>
      </c>
    </row>
    <row r="537" spans="1:9" x14ac:dyDescent="0.2">
      <c r="A537" s="6">
        <v>531</v>
      </c>
      <c r="B537" s="6" t="s">
        <v>185</v>
      </c>
      <c r="C537" s="6">
        <v>481</v>
      </c>
      <c r="D537" s="6" t="s">
        <v>186</v>
      </c>
      <c r="E537" s="6" t="s">
        <v>186</v>
      </c>
      <c r="F537" s="6" t="s">
        <v>186</v>
      </c>
      <c r="G537" s="6" t="s">
        <v>187</v>
      </c>
      <c r="H537" s="47" t="s">
        <v>1248</v>
      </c>
      <c r="I537" s="122" t="s">
        <v>1249</v>
      </c>
    </row>
    <row r="538" spans="1:9" x14ac:dyDescent="0.2">
      <c r="A538" s="6">
        <v>532</v>
      </c>
      <c r="B538" s="6" t="s">
        <v>185</v>
      </c>
      <c r="C538" s="6">
        <v>482</v>
      </c>
      <c r="D538" s="6" t="s">
        <v>186</v>
      </c>
      <c r="E538" s="6" t="s">
        <v>186</v>
      </c>
      <c r="F538" s="6" t="s">
        <v>186</v>
      </c>
      <c r="G538" s="6" t="s">
        <v>187</v>
      </c>
      <c r="H538" s="47" t="s">
        <v>1250</v>
      </c>
      <c r="I538" s="122" t="s">
        <v>1251</v>
      </c>
    </row>
    <row r="539" spans="1:9" x14ac:dyDescent="0.2">
      <c r="A539" s="6">
        <v>533</v>
      </c>
      <c r="B539" s="6" t="s">
        <v>185</v>
      </c>
      <c r="C539" s="6">
        <v>483</v>
      </c>
      <c r="D539" s="6" t="s">
        <v>186</v>
      </c>
      <c r="E539" s="6" t="s">
        <v>186</v>
      </c>
      <c r="F539" s="6" t="s">
        <v>186</v>
      </c>
      <c r="G539" s="6" t="s">
        <v>187</v>
      </c>
      <c r="H539" s="47" t="s">
        <v>1252</v>
      </c>
      <c r="I539" s="122" t="s">
        <v>1253</v>
      </c>
    </row>
    <row r="540" spans="1:9" x14ac:dyDescent="0.2">
      <c r="A540" s="6">
        <v>534</v>
      </c>
      <c r="B540" s="6" t="s">
        <v>185</v>
      </c>
      <c r="C540" s="6">
        <v>484</v>
      </c>
      <c r="D540" s="6" t="s">
        <v>186</v>
      </c>
      <c r="E540" s="6" t="s">
        <v>186</v>
      </c>
      <c r="F540" s="6" t="s">
        <v>186</v>
      </c>
      <c r="G540" s="6" t="s">
        <v>187</v>
      </c>
      <c r="H540" s="47" t="s">
        <v>1254</v>
      </c>
      <c r="I540" s="122" t="s">
        <v>1255</v>
      </c>
    </row>
    <row r="541" spans="1:9" x14ac:dyDescent="0.2">
      <c r="A541" s="6">
        <v>535</v>
      </c>
      <c r="B541" s="6" t="s">
        <v>185</v>
      </c>
      <c r="C541" s="6">
        <v>485</v>
      </c>
      <c r="D541" s="6" t="s">
        <v>186</v>
      </c>
      <c r="E541" s="6" t="s">
        <v>186</v>
      </c>
      <c r="F541" s="6" t="s">
        <v>186</v>
      </c>
      <c r="G541" s="6" t="s">
        <v>187</v>
      </c>
      <c r="H541" s="47" t="s">
        <v>1256</v>
      </c>
      <c r="I541" s="122" t="s">
        <v>1257</v>
      </c>
    </row>
    <row r="542" spans="1:9" x14ac:dyDescent="0.2">
      <c r="A542" s="6">
        <v>536</v>
      </c>
      <c r="B542" s="6" t="s">
        <v>185</v>
      </c>
      <c r="C542" s="6">
        <v>486</v>
      </c>
      <c r="D542" s="6" t="s">
        <v>186</v>
      </c>
      <c r="E542" s="6" t="s">
        <v>186</v>
      </c>
      <c r="F542" s="6" t="s">
        <v>186</v>
      </c>
      <c r="G542" s="6" t="s">
        <v>187</v>
      </c>
      <c r="H542" s="47" t="s">
        <v>1258</v>
      </c>
      <c r="I542" s="122" t="s">
        <v>1259</v>
      </c>
    </row>
    <row r="543" spans="1:9" x14ac:dyDescent="0.2">
      <c r="A543" s="6">
        <v>537</v>
      </c>
      <c r="B543" s="6" t="s">
        <v>185</v>
      </c>
      <c r="C543" s="6">
        <v>487</v>
      </c>
      <c r="D543" s="6" t="s">
        <v>186</v>
      </c>
      <c r="E543" s="6" t="s">
        <v>186</v>
      </c>
      <c r="F543" s="6" t="s">
        <v>186</v>
      </c>
      <c r="G543" s="6" t="s">
        <v>187</v>
      </c>
      <c r="H543" s="47" t="s">
        <v>1260</v>
      </c>
      <c r="I543" s="122" t="s">
        <v>1261</v>
      </c>
    </row>
    <row r="544" spans="1:9" x14ac:dyDescent="0.2">
      <c r="A544" s="6">
        <v>538</v>
      </c>
      <c r="B544" s="6" t="s">
        <v>185</v>
      </c>
      <c r="C544" s="6">
        <v>488</v>
      </c>
      <c r="D544" s="6" t="s">
        <v>186</v>
      </c>
      <c r="E544" s="6" t="s">
        <v>186</v>
      </c>
      <c r="F544" s="6" t="s">
        <v>186</v>
      </c>
      <c r="G544" s="6" t="s">
        <v>187</v>
      </c>
      <c r="H544" s="47" t="s">
        <v>1262</v>
      </c>
      <c r="I544" s="122" t="s">
        <v>1263</v>
      </c>
    </row>
    <row r="545" spans="1:9" x14ac:dyDescent="0.2">
      <c r="A545" s="6">
        <v>539</v>
      </c>
      <c r="B545" s="6" t="s">
        <v>185</v>
      </c>
      <c r="C545" s="6">
        <v>489</v>
      </c>
      <c r="D545" s="6" t="s">
        <v>186</v>
      </c>
      <c r="E545" s="6" t="s">
        <v>186</v>
      </c>
      <c r="F545" s="6" t="s">
        <v>186</v>
      </c>
      <c r="G545" s="6" t="s">
        <v>187</v>
      </c>
      <c r="H545" s="47" t="s">
        <v>1264</v>
      </c>
      <c r="I545" s="122" t="s">
        <v>1265</v>
      </c>
    </row>
    <row r="546" spans="1:9" x14ac:dyDescent="0.2">
      <c r="A546" s="6">
        <v>540</v>
      </c>
      <c r="B546" s="6" t="s">
        <v>185</v>
      </c>
      <c r="C546" s="6">
        <v>490</v>
      </c>
      <c r="D546" s="6" t="s">
        <v>186</v>
      </c>
      <c r="E546" s="6" t="s">
        <v>186</v>
      </c>
      <c r="F546" s="6" t="s">
        <v>186</v>
      </c>
      <c r="G546" s="6" t="s">
        <v>187</v>
      </c>
      <c r="H546" s="47" t="s">
        <v>1266</v>
      </c>
      <c r="I546" s="122" t="s">
        <v>1267</v>
      </c>
    </row>
    <row r="547" spans="1:9" x14ac:dyDescent="0.2">
      <c r="A547" s="6">
        <v>541</v>
      </c>
      <c r="B547" s="6" t="s">
        <v>185</v>
      </c>
      <c r="C547" s="6">
        <v>491</v>
      </c>
      <c r="D547" s="6" t="s">
        <v>186</v>
      </c>
      <c r="E547" s="6" t="s">
        <v>186</v>
      </c>
      <c r="F547" s="6" t="s">
        <v>186</v>
      </c>
      <c r="G547" s="6" t="s">
        <v>187</v>
      </c>
      <c r="H547" s="47" t="s">
        <v>1268</v>
      </c>
      <c r="I547" s="122" t="s">
        <v>1269</v>
      </c>
    </row>
    <row r="548" spans="1:9" x14ac:dyDescent="0.2">
      <c r="A548" s="6">
        <v>542</v>
      </c>
      <c r="B548" s="6" t="s">
        <v>185</v>
      </c>
      <c r="C548" s="6">
        <v>492</v>
      </c>
      <c r="D548" s="6" t="s">
        <v>186</v>
      </c>
      <c r="E548" s="6" t="s">
        <v>186</v>
      </c>
      <c r="F548" s="6" t="s">
        <v>186</v>
      </c>
      <c r="G548" s="6" t="s">
        <v>187</v>
      </c>
      <c r="H548" s="47" t="s">
        <v>1270</v>
      </c>
      <c r="I548" s="122" t="s">
        <v>1271</v>
      </c>
    </row>
    <row r="549" spans="1:9" x14ac:dyDescent="0.2">
      <c r="A549" s="6">
        <v>543</v>
      </c>
      <c r="B549" s="6" t="s">
        <v>185</v>
      </c>
      <c r="C549" s="6">
        <v>493</v>
      </c>
      <c r="D549" s="6" t="s">
        <v>186</v>
      </c>
      <c r="E549" s="6" t="s">
        <v>186</v>
      </c>
      <c r="F549" s="6" t="s">
        <v>186</v>
      </c>
      <c r="G549" s="6" t="s">
        <v>187</v>
      </c>
      <c r="H549" s="47" t="s">
        <v>1272</v>
      </c>
      <c r="I549" s="122" t="s">
        <v>1273</v>
      </c>
    </row>
    <row r="550" spans="1:9" x14ac:dyDescent="0.2">
      <c r="A550" s="6">
        <v>544</v>
      </c>
      <c r="B550" s="6" t="s">
        <v>185</v>
      </c>
      <c r="C550" s="6">
        <v>494</v>
      </c>
      <c r="D550" s="6" t="s">
        <v>186</v>
      </c>
      <c r="E550" s="6" t="s">
        <v>186</v>
      </c>
      <c r="F550" s="6" t="s">
        <v>186</v>
      </c>
      <c r="G550" s="6" t="s">
        <v>187</v>
      </c>
      <c r="H550" s="47" t="s">
        <v>1274</v>
      </c>
      <c r="I550" s="122" t="s">
        <v>1275</v>
      </c>
    </row>
    <row r="551" spans="1:9" x14ac:dyDescent="0.2">
      <c r="A551" s="6">
        <v>545</v>
      </c>
      <c r="B551" s="6" t="s">
        <v>185</v>
      </c>
      <c r="C551" s="6">
        <v>495</v>
      </c>
      <c r="D551" s="6" t="s">
        <v>186</v>
      </c>
      <c r="E551" s="6" t="s">
        <v>186</v>
      </c>
      <c r="F551" s="6" t="s">
        <v>186</v>
      </c>
      <c r="G551" s="6" t="s">
        <v>187</v>
      </c>
      <c r="H551" s="47" t="s">
        <v>1276</v>
      </c>
      <c r="I551" s="122" t="s">
        <v>1277</v>
      </c>
    </row>
    <row r="552" spans="1:9" x14ac:dyDescent="0.2">
      <c r="A552" s="6">
        <v>546</v>
      </c>
      <c r="B552" s="6" t="s">
        <v>185</v>
      </c>
      <c r="C552" s="6">
        <v>496</v>
      </c>
      <c r="D552" s="6" t="s">
        <v>186</v>
      </c>
      <c r="E552" s="6" t="s">
        <v>186</v>
      </c>
      <c r="F552" s="6" t="s">
        <v>186</v>
      </c>
      <c r="G552" s="6" t="s">
        <v>187</v>
      </c>
      <c r="H552" s="47" t="s">
        <v>1278</v>
      </c>
      <c r="I552" s="122" t="s">
        <v>1279</v>
      </c>
    </row>
    <row r="553" spans="1:9" x14ac:dyDescent="0.2">
      <c r="A553" s="6">
        <v>547</v>
      </c>
      <c r="B553" s="6" t="s">
        <v>185</v>
      </c>
      <c r="C553" s="6">
        <v>497</v>
      </c>
      <c r="D553" s="6" t="s">
        <v>186</v>
      </c>
      <c r="E553" s="6" t="s">
        <v>186</v>
      </c>
      <c r="F553" s="6" t="s">
        <v>186</v>
      </c>
      <c r="G553" s="6" t="s">
        <v>187</v>
      </c>
      <c r="H553" s="47" t="s">
        <v>1280</v>
      </c>
      <c r="I553" s="122" t="s">
        <v>1281</v>
      </c>
    </row>
    <row r="554" spans="1:9" x14ac:dyDescent="0.2">
      <c r="A554" s="6">
        <v>548</v>
      </c>
      <c r="B554" s="6" t="s">
        <v>185</v>
      </c>
      <c r="C554" s="6">
        <v>498</v>
      </c>
      <c r="D554" s="6" t="s">
        <v>186</v>
      </c>
      <c r="E554" s="6" t="s">
        <v>186</v>
      </c>
      <c r="F554" s="6" t="s">
        <v>186</v>
      </c>
      <c r="G554" s="6" t="s">
        <v>187</v>
      </c>
      <c r="H554" s="47" t="s">
        <v>1282</v>
      </c>
      <c r="I554" s="122" t="s">
        <v>1283</v>
      </c>
    </row>
    <row r="555" spans="1:9" x14ac:dyDescent="0.2">
      <c r="A555" s="6">
        <v>549</v>
      </c>
      <c r="B555" s="6" t="s">
        <v>185</v>
      </c>
      <c r="C555" s="6">
        <v>499</v>
      </c>
      <c r="D555" s="6" t="s">
        <v>186</v>
      </c>
      <c r="E555" s="6" t="s">
        <v>186</v>
      </c>
      <c r="F555" s="6" t="s">
        <v>186</v>
      </c>
      <c r="G555" s="6" t="s">
        <v>187</v>
      </c>
      <c r="H555" s="47" t="s">
        <v>1284</v>
      </c>
      <c r="I555" s="122" t="s">
        <v>1285</v>
      </c>
    </row>
    <row r="556" spans="1:9" x14ac:dyDescent="0.2">
      <c r="A556" s="6">
        <v>550</v>
      </c>
      <c r="B556" s="6" t="s">
        <v>185</v>
      </c>
      <c r="C556" s="6">
        <v>500</v>
      </c>
      <c r="D556" s="6" t="s">
        <v>186</v>
      </c>
      <c r="E556" s="6" t="s">
        <v>186</v>
      </c>
      <c r="F556" s="6" t="s">
        <v>186</v>
      </c>
      <c r="G556" s="6" t="s">
        <v>187</v>
      </c>
      <c r="H556" s="47" t="s">
        <v>1286</v>
      </c>
      <c r="I556" s="122" t="s">
        <v>1287</v>
      </c>
    </row>
    <row r="557" spans="1:9" x14ac:dyDescent="0.2">
      <c r="A557" s="6">
        <v>551</v>
      </c>
      <c r="B557" s="6" t="s">
        <v>185</v>
      </c>
      <c r="C557" s="6">
        <v>505</v>
      </c>
      <c r="D557" s="6" t="s">
        <v>186</v>
      </c>
      <c r="E557" s="6" t="s">
        <v>186</v>
      </c>
      <c r="F557" s="6" t="s">
        <v>186</v>
      </c>
      <c r="G557" s="6" t="s">
        <v>187</v>
      </c>
      <c r="H557" s="47" t="s">
        <v>1288</v>
      </c>
      <c r="I557" s="122" t="s">
        <v>1289</v>
      </c>
    </row>
    <row r="558" spans="1:9" x14ac:dyDescent="0.2">
      <c r="A558" s="6">
        <v>552</v>
      </c>
      <c r="B558" s="6" t="s">
        <v>185</v>
      </c>
      <c r="C558" s="6">
        <v>510</v>
      </c>
      <c r="D558" s="6" t="s">
        <v>186</v>
      </c>
      <c r="E558" s="6" t="s">
        <v>186</v>
      </c>
      <c r="F558" s="6" t="s">
        <v>186</v>
      </c>
      <c r="G558" s="6" t="s">
        <v>187</v>
      </c>
      <c r="H558" s="47" t="s">
        <v>1290</v>
      </c>
      <c r="I558" s="122" t="s">
        <v>1291</v>
      </c>
    </row>
    <row r="559" spans="1:9" x14ac:dyDescent="0.2">
      <c r="A559" s="6">
        <v>553</v>
      </c>
      <c r="B559" s="6" t="s">
        <v>185</v>
      </c>
      <c r="C559" s="6">
        <v>515</v>
      </c>
      <c r="D559" s="6" t="s">
        <v>186</v>
      </c>
      <c r="E559" s="6" t="s">
        <v>186</v>
      </c>
      <c r="F559" s="6" t="s">
        <v>186</v>
      </c>
      <c r="G559" s="6" t="s">
        <v>187</v>
      </c>
      <c r="H559" s="47" t="s">
        <v>1292</v>
      </c>
      <c r="I559" s="122" t="s">
        <v>1293</v>
      </c>
    </row>
    <row r="560" spans="1:9" x14ac:dyDescent="0.2">
      <c r="A560" s="6">
        <v>554</v>
      </c>
      <c r="B560" s="6" t="s">
        <v>185</v>
      </c>
      <c r="C560" s="6">
        <v>520</v>
      </c>
      <c r="D560" s="6" t="s">
        <v>186</v>
      </c>
      <c r="E560" s="6" t="s">
        <v>186</v>
      </c>
      <c r="F560" s="6" t="s">
        <v>186</v>
      </c>
      <c r="G560" s="6" t="s">
        <v>187</v>
      </c>
      <c r="H560" s="47" t="s">
        <v>1294</v>
      </c>
      <c r="I560" s="122" t="s">
        <v>1295</v>
      </c>
    </row>
    <row r="561" spans="1:9" x14ac:dyDescent="0.2">
      <c r="A561" s="6">
        <v>555</v>
      </c>
      <c r="B561" s="6" t="s">
        <v>185</v>
      </c>
      <c r="C561" s="6">
        <v>525</v>
      </c>
      <c r="D561" s="6" t="s">
        <v>186</v>
      </c>
      <c r="E561" s="6" t="s">
        <v>186</v>
      </c>
      <c r="F561" s="6" t="s">
        <v>186</v>
      </c>
      <c r="G561" s="6" t="s">
        <v>187</v>
      </c>
      <c r="H561" s="47" t="s">
        <v>1296</v>
      </c>
      <c r="I561" s="122" t="s">
        <v>1297</v>
      </c>
    </row>
    <row r="562" spans="1:9" x14ac:dyDescent="0.2">
      <c r="A562" s="6">
        <v>556</v>
      </c>
      <c r="B562" s="6" t="s">
        <v>185</v>
      </c>
      <c r="C562" s="6">
        <v>530</v>
      </c>
      <c r="D562" s="6" t="s">
        <v>186</v>
      </c>
      <c r="E562" s="6" t="s">
        <v>186</v>
      </c>
      <c r="F562" s="6" t="s">
        <v>186</v>
      </c>
      <c r="G562" s="6" t="s">
        <v>187</v>
      </c>
      <c r="H562" s="47" t="s">
        <v>1298</v>
      </c>
      <c r="I562" s="122" t="s">
        <v>1299</v>
      </c>
    </row>
    <row r="563" spans="1:9" x14ac:dyDescent="0.2">
      <c r="A563" s="6">
        <v>557</v>
      </c>
      <c r="B563" s="6" t="s">
        <v>185</v>
      </c>
      <c r="C563" s="6">
        <v>535</v>
      </c>
      <c r="D563" s="6" t="s">
        <v>186</v>
      </c>
      <c r="E563" s="6" t="s">
        <v>186</v>
      </c>
      <c r="F563" s="6" t="s">
        <v>186</v>
      </c>
      <c r="G563" s="6" t="s">
        <v>187</v>
      </c>
      <c r="H563" s="47" t="s">
        <v>1300</v>
      </c>
      <c r="I563" s="122" t="s">
        <v>1301</v>
      </c>
    </row>
    <row r="564" spans="1:9" x14ac:dyDescent="0.2">
      <c r="A564" s="6">
        <v>558</v>
      </c>
      <c r="B564" s="6" t="s">
        <v>185</v>
      </c>
      <c r="C564" s="6">
        <v>540</v>
      </c>
      <c r="D564" s="6" t="s">
        <v>186</v>
      </c>
      <c r="E564" s="6" t="s">
        <v>186</v>
      </c>
      <c r="F564" s="6" t="s">
        <v>186</v>
      </c>
      <c r="G564" s="6" t="s">
        <v>187</v>
      </c>
      <c r="H564" s="47" t="s">
        <v>1302</v>
      </c>
      <c r="I564" s="122" t="s">
        <v>1303</v>
      </c>
    </row>
    <row r="565" spans="1:9" x14ac:dyDescent="0.2">
      <c r="A565" s="6">
        <v>559</v>
      </c>
      <c r="B565" s="6" t="s">
        <v>185</v>
      </c>
      <c r="C565" s="6">
        <v>545</v>
      </c>
      <c r="D565" s="6" t="s">
        <v>186</v>
      </c>
      <c r="E565" s="6" t="s">
        <v>186</v>
      </c>
      <c r="F565" s="6" t="s">
        <v>186</v>
      </c>
      <c r="G565" s="6" t="s">
        <v>187</v>
      </c>
      <c r="H565" s="47" t="s">
        <v>1304</v>
      </c>
      <c r="I565" s="122" t="s">
        <v>1305</v>
      </c>
    </row>
    <row r="566" spans="1:9" x14ac:dyDescent="0.2">
      <c r="A566" s="6">
        <v>560</v>
      </c>
      <c r="B566" s="6" t="s">
        <v>185</v>
      </c>
      <c r="C566" s="6">
        <v>550</v>
      </c>
      <c r="D566" s="6" t="s">
        <v>186</v>
      </c>
      <c r="E566" s="6" t="s">
        <v>186</v>
      </c>
      <c r="F566" s="6" t="s">
        <v>186</v>
      </c>
      <c r="G566" s="6" t="s">
        <v>187</v>
      </c>
      <c r="H566" s="47" t="s">
        <v>1306</v>
      </c>
      <c r="I566" s="122" t="s">
        <v>1307</v>
      </c>
    </row>
    <row r="567" spans="1:9" x14ac:dyDescent="0.2">
      <c r="A567" s="6">
        <v>762</v>
      </c>
      <c r="B567" s="6" t="s">
        <v>1308</v>
      </c>
      <c r="C567" s="6">
        <v>5</v>
      </c>
      <c r="D567" s="6">
        <v>1</v>
      </c>
      <c r="E567" s="6" t="s">
        <v>186</v>
      </c>
      <c r="F567" s="6" t="s">
        <v>186</v>
      </c>
      <c r="G567" s="6" t="s">
        <v>1309</v>
      </c>
      <c r="H567" s="47" t="s">
        <v>1310</v>
      </c>
      <c r="I567" s="122" t="s">
        <v>1311</v>
      </c>
    </row>
    <row r="568" spans="1:9" x14ac:dyDescent="0.2">
      <c r="A568" s="6">
        <v>763</v>
      </c>
      <c r="B568" s="6" t="s">
        <v>1308</v>
      </c>
      <c r="C568" s="6">
        <v>5</v>
      </c>
      <c r="D568" s="6">
        <v>2</v>
      </c>
      <c r="E568" s="6" t="s">
        <v>186</v>
      </c>
      <c r="F568" s="6" t="s">
        <v>186</v>
      </c>
      <c r="G568" s="6" t="s">
        <v>1309</v>
      </c>
      <c r="H568" s="47" t="s">
        <v>1312</v>
      </c>
      <c r="I568" s="122" t="s">
        <v>1313</v>
      </c>
    </row>
    <row r="569" spans="1:9" x14ac:dyDescent="0.2">
      <c r="A569" s="6">
        <v>764</v>
      </c>
      <c r="B569" s="6" t="s">
        <v>1308</v>
      </c>
      <c r="C569" s="6">
        <v>6</v>
      </c>
      <c r="D569" s="6">
        <v>1</v>
      </c>
      <c r="E569" s="6" t="s">
        <v>186</v>
      </c>
      <c r="F569" s="6" t="s">
        <v>186</v>
      </c>
      <c r="G569" s="6" t="s">
        <v>1309</v>
      </c>
      <c r="H569" s="47" t="s">
        <v>1314</v>
      </c>
      <c r="I569" s="122" t="s">
        <v>1315</v>
      </c>
    </row>
    <row r="570" spans="1:9" x14ac:dyDescent="0.2">
      <c r="A570" s="6">
        <v>765</v>
      </c>
      <c r="B570" s="6" t="s">
        <v>1308</v>
      </c>
      <c r="C570" s="6">
        <v>6</v>
      </c>
      <c r="D570" s="6">
        <v>2</v>
      </c>
      <c r="E570" s="6" t="s">
        <v>186</v>
      </c>
      <c r="F570" s="6" t="s">
        <v>186</v>
      </c>
      <c r="G570" s="6" t="s">
        <v>1309</v>
      </c>
      <c r="H570" s="47" t="s">
        <v>1316</v>
      </c>
      <c r="I570" s="122" t="s">
        <v>1317</v>
      </c>
    </row>
    <row r="571" spans="1:9" x14ac:dyDescent="0.2">
      <c r="A571" s="6">
        <v>766</v>
      </c>
      <c r="B571" s="6" t="s">
        <v>1308</v>
      </c>
      <c r="C571" s="6">
        <v>7</v>
      </c>
      <c r="D571" s="6">
        <v>1</v>
      </c>
      <c r="E571" s="6" t="s">
        <v>186</v>
      </c>
      <c r="F571" s="6" t="s">
        <v>186</v>
      </c>
      <c r="G571" s="6" t="s">
        <v>1309</v>
      </c>
      <c r="H571" s="47" t="s">
        <v>1318</v>
      </c>
      <c r="I571" s="122" t="s">
        <v>1319</v>
      </c>
    </row>
    <row r="572" spans="1:9" x14ac:dyDescent="0.2">
      <c r="A572" s="6">
        <v>767</v>
      </c>
      <c r="B572" s="6" t="s">
        <v>1308</v>
      </c>
      <c r="C572" s="6">
        <v>7</v>
      </c>
      <c r="D572" s="6">
        <v>2</v>
      </c>
      <c r="E572" s="6" t="s">
        <v>186</v>
      </c>
      <c r="F572" s="6" t="s">
        <v>186</v>
      </c>
      <c r="G572" s="6" t="s">
        <v>1309</v>
      </c>
      <c r="H572" s="47" t="s">
        <v>1320</v>
      </c>
      <c r="I572" s="122" t="s">
        <v>1321</v>
      </c>
    </row>
    <row r="573" spans="1:9" x14ac:dyDescent="0.2">
      <c r="A573" s="6">
        <v>768</v>
      </c>
      <c r="B573" s="6" t="s">
        <v>1308</v>
      </c>
      <c r="C573" s="6">
        <v>9</v>
      </c>
      <c r="D573" s="6">
        <v>1</v>
      </c>
      <c r="E573" s="6" t="s">
        <v>186</v>
      </c>
      <c r="F573" s="6" t="s">
        <v>186</v>
      </c>
      <c r="G573" s="6" t="s">
        <v>1309</v>
      </c>
      <c r="H573" s="47" t="s">
        <v>1322</v>
      </c>
      <c r="I573" s="122" t="s">
        <v>1323</v>
      </c>
    </row>
    <row r="574" spans="1:9" x14ac:dyDescent="0.2">
      <c r="A574" s="6">
        <v>769</v>
      </c>
      <c r="B574" s="6" t="s">
        <v>1308</v>
      </c>
      <c r="C574" s="6">
        <v>9</v>
      </c>
      <c r="D574" s="6">
        <v>2</v>
      </c>
      <c r="E574" s="6" t="s">
        <v>186</v>
      </c>
      <c r="F574" s="6" t="s">
        <v>186</v>
      </c>
      <c r="G574" s="6" t="s">
        <v>1309</v>
      </c>
      <c r="H574" s="47" t="s">
        <v>1324</v>
      </c>
      <c r="I574" s="122" t="s">
        <v>1325</v>
      </c>
    </row>
    <row r="575" spans="1:9" x14ac:dyDescent="0.2">
      <c r="A575" s="6">
        <v>770</v>
      </c>
      <c r="B575" s="6" t="s">
        <v>1308</v>
      </c>
      <c r="C575" s="6">
        <v>2</v>
      </c>
      <c r="D575" s="6">
        <v>2</v>
      </c>
      <c r="E575" s="6" t="s">
        <v>186</v>
      </c>
      <c r="F575" s="6" t="s">
        <v>186</v>
      </c>
      <c r="G575" s="6" t="s">
        <v>187</v>
      </c>
      <c r="H575" s="47" t="s">
        <v>1326</v>
      </c>
      <c r="I575" s="122" t="s">
        <v>1327</v>
      </c>
    </row>
    <row r="576" spans="1:9" x14ac:dyDescent="0.2">
      <c r="A576" s="6">
        <v>771</v>
      </c>
      <c r="B576" s="6" t="s">
        <v>1308</v>
      </c>
      <c r="C576" s="6">
        <v>6</v>
      </c>
      <c r="D576" s="6">
        <v>1</v>
      </c>
      <c r="E576" s="6" t="s">
        <v>186</v>
      </c>
      <c r="F576" s="6" t="s">
        <v>186</v>
      </c>
      <c r="G576" s="6" t="s">
        <v>1309</v>
      </c>
      <c r="H576" s="47" t="s">
        <v>1328</v>
      </c>
      <c r="I576" s="122" t="s">
        <v>1329</v>
      </c>
    </row>
    <row r="577" spans="1:9" x14ac:dyDescent="0.2">
      <c r="A577" s="6">
        <v>772</v>
      </c>
      <c r="B577" s="6" t="s">
        <v>1308</v>
      </c>
      <c r="C577" s="6">
        <v>6</v>
      </c>
      <c r="D577" s="6">
        <v>2</v>
      </c>
      <c r="E577" s="6" t="s">
        <v>186</v>
      </c>
      <c r="F577" s="6" t="s">
        <v>186</v>
      </c>
      <c r="G577" s="6" t="s">
        <v>1309</v>
      </c>
      <c r="H577" s="47" t="s">
        <v>1330</v>
      </c>
      <c r="I577" s="122" t="s">
        <v>1331</v>
      </c>
    </row>
    <row r="578" spans="1:9" x14ac:dyDescent="0.2">
      <c r="A578" s="6">
        <v>773</v>
      </c>
      <c r="B578" s="6" t="s">
        <v>1308</v>
      </c>
      <c r="C578" s="6">
        <v>8</v>
      </c>
      <c r="D578" s="6">
        <v>1</v>
      </c>
      <c r="E578" s="6" t="s">
        <v>186</v>
      </c>
      <c r="F578" s="6" t="s">
        <v>186</v>
      </c>
      <c r="G578" s="6" t="s">
        <v>1309</v>
      </c>
      <c r="H578" s="47" t="s">
        <v>1332</v>
      </c>
      <c r="I578" s="122" t="s">
        <v>1333</v>
      </c>
    </row>
    <row r="579" spans="1:9" x14ac:dyDescent="0.2">
      <c r="A579" s="6">
        <v>774</v>
      </c>
      <c r="B579" s="6" t="s">
        <v>1308</v>
      </c>
      <c r="C579" s="6">
        <v>8</v>
      </c>
      <c r="D579" s="6">
        <v>2</v>
      </c>
      <c r="E579" s="6" t="s">
        <v>186</v>
      </c>
      <c r="F579" s="6" t="s">
        <v>186</v>
      </c>
      <c r="G579" s="6" t="s">
        <v>1309</v>
      </c>
      <c r="H579" s="47" t="s">
        <v>1334</v>
      </c>
      <c r="I579" s="122" t="s">
        <v>1335</v>
      </c>
    </row>
    <row r="580" spans="1:9" x14ac:dyDescent="0.2">
      <c r="A580" s="6">
        <v>775</v>
      </c>
      <c r="B580" s="6" t="s">
        <v>1308</v>
      </c>
      <c r="C580" s="6">
        <v>5</v>
      </c>
      <c r="D580" s="6">
        <v>1</v>
      </c>
      <c r="E580" s="6" t="s">
        <v>186</v>
      </c>
      <c r="F580" s="6" t="s">
        <v>186</v>
      </c>
      <c r="G580" s="6">
        <v>0</v>
      </c>
      <c r="H580" s="47" t="s">
        <v>1336</v>
      </c>
      <c r="I580" s="122" t="s">
        <v>1337</v>
      </c>
    </row>
    <row r="581" spans="1:9" x14ac:dyDescent="0.2">
      <c r="A581" s="6">
        <v>776</v>
      </c>
      <c r="B581" s="6" t="s">
        <v>1308</v>
      </c>
      <c r="C581" s="6">
        <v>5</v>
      </c>
      <c r="D581" s="6">
        <v>2</v>
      </c>
      <c r="E581" s="6" t="s">
        <v>186</v>
      </c>
      <c r="F581" s="6" t="s">
        <v>186</v>
      </c>
      <c r="G581" s="6">
        <v>0</v>
      </c>
      <c r="H581" s="47" t="s">
        <v>1338</v>
      </c>
      <c r="I581" s="122" t="s">
        <v>1339</v>
      </c>
    </row>
    <row r="582" spans="1:9" x14ac:dyDescent="0.2">
      <c r="A582" s="6">
        <v>777</v>
      </c>
      <c r="B582" s="6" t="s">
        <v>1308</v>
      </c>
      <c r="C582" s="6">
        <v>7.5</v>
      </c>
      <c r="D582" s="6">
        <v>1</v>
      </c>
      <c r="E582" s="6" t="s">
        <v>186</v>
      </c>
      <c r="F582" s="6" t="s">
        <v>186</v>
      </c>
      <c r="G582" s="6">
        <v>0</v>
      </c>
      <c r="H582" s="47" t="s">
        <v>1340</v>
      </c>
      <c r="I582" s="122" t="s">
        <v>1341</v>
      </c>
    </row>
    <row r="583" spans="1:9" x14ac:dyDescent="0.2">
      <c r="A583" s="6">
        <v>778</v>
      </c>
      <c r="B583" s="6" t="s">
        <v>1308</v>
      </c>
      <c r="C583" s="6">
        <v>7.5</v>
      </c>
      <c r="D583" s="6">
        <v>2</v>
      </c>
      <c r="E583" s="6" t="s">
        <v>186</v>
      </c>
      <c r="F583" s="6" t="s">
        <v>186</v>
      </c>
      <c r="G583" s="6">
        <v>0</v>
      </c>
      <c r="H583" s="47" t="s">
        <v>1342</v>
      </c>
      <c r="I583" s="122" t="s">
        <v>1343</v>
      </c>
    </row>
    <row r="584" spans="1:9" x14ac:dyDescent="0.2">
      <c r="A584" s="6">
        <v>779</v>
      </c>
      <c r="B584" s="6" t="s">
        <v>1308</v>
      </c>
      <c r="C584" s="6">
        <v>10</v>
      </c>
      <c r="D584" s="6">
        <v>2</v>
      </c>
      <c r="E584" s="6" t="s">
        <v>186</v>
      </c>
      <c r="F584" s="6" t="s">
        <v>186</v>
      </c>
      <c r="G584" s="6">
        <v>0</v>
      </c>
      <c r="H584" s="47" t="s">
        <v>1344</v>
      </c>
      <c r="I584" s="122" t="s">
        <v>1345</v>
      </c>
    </row>
    <row r="585" spans="1:9" x14ac:dyDescent="0.2">
      <c r="A585" s="6">
        <v>780</v>
      </c>
      <c r="B585" s="6" t="s">
        <v>1308</v>
      </c>
      <c r="C585" s="6">
        <v>15</v>
      </c>
      <c r="D585" s="6">
        <v>1</v>
      </c>
      <c r="E585" s="6" t="s">
        <v>186</v>
      </c>
      <c r="F585" s="6" t="s">
        <v>186</v>
      </c>
      <c r="G585" s="6">
        <v>0</v>
      </c>
      <c r="H585" s="47" t="s">
        <v>1346</v>
      </c>
      <c r="I585" s="122" t="s">
        <v>1347</v>
      </c>
    </row>
    <row r="586" spans="1:9" x14ac:dyDescent="0.2">
      <c r="A586" s="6">
        <v>781</v>
      </c>
      <c r="B586" s="6" t="s">
        <v>1308</v>
      </c>
      <c r="C586" s="6">
        <v>15</v>
      </c>
      <c r="D586" s="6">
        <v>2</v>
      </c>
      <c r="E586" s="6" t="s">
        <v>186</v>
      </c>
      <c r="F586" s="6" t="s">
        <v>186</v>
      </c>
      <c r="G586" s="6">
        <v>0</v>
      </c>
      <c r="H586" s="47" t="s">
        <v>1348</v>
      </c>
      <c r="I586" s="122" t="s">
        <v>1349</v>
      </c>
    </row>
    <row r="587" spans="1:9" x14ac:dyDescent="0.2">
      <c r="A587" s="6">
        <v>782</v>
      </c>
      <c r="B587" s="6" t="s">
        <v>1308</v>
      </c>
      <c r="C587" s="6">
        <v>20</v>
      </c>
      <c r="D587" s="6">
        <v>1</v>
      </c>
      <c r="E587" s="6" t="s">
        <v>186</v>
      </c>
      <c r="F587" s="6" t="s">
        <v>186</v>
      </c>
      <c r="G587" s="6">
        <v>0</v>
      </c>
      <c r="H587" s="47" t="s">
        <v>1350</v>
      </c>
      <c r="I587" s="122" t="s">
        <v>1351</v>
      </c>
    </row>
    <row r="588" spans="1:9" x14ac:dyDescent="0.2">
      <c r="A588" s="6">
        <v>783</v>
      </c>
      <c r="B588" s="6" t="s">
        <v>1308</v>
      </c>
      <c r="C588" s="6">
        <v>20</v>
      </c>
      <c r="D588" s="6">
        <v>2</v>
      </c>
      <c r="E588" s="6" t="s">
        <v>186</v>
      </c>
      <c r="F588" s="6" t="s">
        <v>186</v>
      </c>
      <c r="G588" s="6">
        <v>0</v>
      </c>
      <c r="H588" s="47" t="s">
        <v>1352</v>
      </c>
      <c r="I588" s="122" t="s">
        <v>1353</v>
      </c>
    </row>
    <row r="589" spans="1:9" x14ac:dyDescent="0.2">
      <c r="A589" s="6">
        <v>784</v>
      </c>
      <c r="B589" s="6" t="s">
        <v>1308</v>
      </c>
      <c r="C589" s="6">
        <v>25</v>
      </c>
      <c r="D589" s="6">
        <v>1</v>
      </c>
      <c r="E589" s="6" t="s">
        <v>186</v>
      </c>
      <c r="F589" s="6" t="s">
        <v>186</v>
      </c>
      <c r="G589" s="6">
        <v>0</v>
      </c>
      <c r="H589" s="47" t="s">
        <v>1354</v>
      </c>
      <c r="I589" s="122" t="s">
        <v>1355</v>
      </c>
    </row>
    <row r="590" spans="1:9" x14ac:dyDescent="0.2">
      <c r="A590" s="6">
        <v>785</v>
      </c>
      <c r="B590" s="6" t="s">
        <v>1308</v>
      </c>
      <c r="C590" s="6">
        <v>25</v>
      </c>
      <c r="D590" s="6">
        <v>2</v>
      </c>
      <c r="E590" s="6" t="s">
        <v>186</v>
      </c>
      <c r="F590" s="6" t="s">
        <v>186</v>
      </c>
      <c r="G590" s="6">
        <v>0</v>
      </c>
      <c r="H590" s="47" t="s">
        <v>1356</v>
      </c>
      <c r="I590" s="122" t="s">
        <v>1357</v>
      </c>
    </row>
    <row r="591" spans="1:9" x14ac:dyDescent="0.2">
      <c r="A591" s="6">
        <v>786</v>
      </c>
      <c r="B591" s="6" t="s">
        <v>1308</v>
      </c>
      <c r="C591" s="6">
        <v>34</v>
      </c>
      <c r="D591" s="6">
        <v>1</v>
      </c>
      <c r="E591" s="6" t="s">
        <v>186</v>
      </c>
      <c r="F591" s="6" t="s">
        <v>186</v>
      </c>
      <c r="G591" s="6">
        <v>0</v>
      </c>
      <c r="H591" s="47" t="s">
        <v>1358</v>
      </c>
      <c r="I591" s="122" t="s">
        <v>1359</v>
      </c>
    </row>
    <row r="592" spans="1:9" x14ac:dyDescent="0.2">
      <c r="A592" s="6">
        <v>787</v>
      </c>
      <c r="B592" s="6" t="s">
        <v>1308</v>
      </c>
      <c r="C592" s="6">
        <v>34</v>
      </c>
      <c r="D592" s="6">
        <v>2</v>
      </c>
      <c r="E592" s="6" t="s">
        <v>186</v>
      </c>
      <c r="F592" s="6" t="s">
        <v>186</v>
      </c>
      <c r="G592" s="6">
        <v>0</v>
      </c>
      <c r="H592" s="47" t="s">
        <v>1360</v>
      </c>
      <c r="I592" s="122" t="s">
        <v>1361</v>
      </c>
    </row>
    <row r="593" spans="1:9" x14ac:dyDescent="0.2">
      <c r="A593" s="6">
        <v>788</v>
      </c>
      <c r="B593" s="6" t="s">
        <v>1308</v>
      </c>
      <c r="C593" s="6">
        <v>40</v>
      </c>
      <c r="D593" s="6">
        <v>1</v>
      </c>
      <c r="E593" s="6" t="s">
        <v>186</v>
      </c>
      <c r="F593" s="6" t="s">
        <v>186</v>
      </c>
      <c r="G593" s="6">
        <v>0</v>
      </c>
      <c r="H593" s="47" t="s">
        <v>1362</v>
      </c>
      <c r="I593" s="122" t="s">
        <v>1363</v>
      </c>
    </row>
    <row r="594" spans="1:9" x14ac:dyDescent="0.2">
      <c r="A594" s="6">
        <v>789</v>
      </c>
      <c r="B594" s="6" t="s">
        <v>1308</v>
      </c>
      <c r="C594" s="6">
        <v>40</v>
      </c>
      <c r="D594" s="6">
        <v>2</v>
      </c>
      <c r="E594" s="6" t="s">
        <v>186</v>
      </c>
      <c r="F594" s="6" t="s">
        <v>186</v>
      </c>
      <c r="G594" s="6">
        <v>0</v>
      </c>
      <c r="H594" s="47" t="s">
        <v>1364</v>
      </c>
      <c r="I594" s="122" t="s">
        <v>1365</v>
      </c>
    </row>
    <row r="595" spans="1:9" x14ac:dyDescent="0.2">
      <c r="A595" s="6">
        <v>790</v>
      </c>
      <c r="B595" s="6" t="s">
        <v>1308</v>
      </c>
      <c r="C595" s="6">
        <v>50</v>
      </c>
      <c r="D595" s="6">
        <v>2</v>
      </c>
      <c r="E595" s="6" t="s">
        <v>186</v>
      </c>
      <c r="F595" s="6" t="s">
        <v>186</v>
      </c>
      <c r="G595" s="6">
        <v>0</v>
      </c>
      <c r="H595" s="47" t="s">
        <v>1366</v>
      </c>
      <c r="I595" s="122" t="s">
        <v>1367</v>
      </c>
    </row>
    <row r="596" spans="1:9" x14ac:dyDescent="0.2">
      <c r="A596" s="6">
        <v>791</v>
      </c>
      <c r="B596" s="6" t="s">
        <v>1308</v>
      </c>
      <c r="C596" s="6">
        <v>6</v>
      </c>
      <c r="D596" s="6">
        <v>1</v>
      </c>
      <c r="E596" s="6" t="s">
        <v>186</v>
      </c>
      <c r="F596" s="6" t="s">
        <v>186</v>
      </c>
      <c r="G596" s="6">
        <v>0</v>
      </c>
      <c r="H596" s="47" t="s">
        <v>1368</v>
      </c>
      <c r="I596" s="122" t="s">
        <v>1369</v>
      </c>
    </row>
    <row r="597" spans="1:9" x14ac:dyDescent="0.2">
      <c r="A597" s="6">
        <v>792</v>
      </c>
      <c r="B597" s="6" t="s">
        <v>1308</v>
      </c>
      <c r="C597" s="6">
        <v>6</v>
      </c>
      <c r="D597" s="6">
        <v>2</v>
      </c>
      <c r="E597" s="6" t="s">
        <v>186</v>
      </c>
      <c r="F597" s="6" t="s">
        <v>186</v>
      </c>
      <c r="G597" s="6">
        <v>0</v>
      </c>
      <c r="H597" s="47" t="s">
        <v>1370</v>
      </c>
      <c r="I597" s="122" t="s">
        <v>1371</v>
      </c>
    </row>
    <row r="598" spans="1:9" x14ac:dyDescent="0.2">
      <c r="A598" s="6">
        <v>793</v>
      </c>
      <c r="B598" s="6" t="s">
        <v>1308</v>
      </c>
      <c r="C598" s="6">
        <v>2</v>
      </c>
      <c r="D598" s="6">
        <v>1</v>
      </c>
      <c r="E598" s="6" t="s">
        <v>186</v>
      </c>
      <c r="F598" s="6" t="s">
        <v>186</v>
      </c>
      <c r="G598" s="6">
        <v>0</v>
      </c>
      <c r="H598" s="47" t="s">
        <v>1372</v>
      </c>
      <c r="I598" s="122" t="s">
        <v>1373</v>
      </c>
    </row>
    <row r="599" spans="1:9" x14ac:dyDescent="0.2">
      <c r="A599" s="6">
        <v>794</v>
      </c>
      <c r="B599" s="6" t="s">
        <v>1308</v>
      </c>
      <c r="C599" s="6">
        <v>2</v>
      </c>
      <c r="D599" s="6">
        <v>2</v>
      </c>
      <c r="E599" s="6" t="s">
        <v>186</v>
      </c>
      <c r="F599" s="6" t="s">
        <v>186</v>
      </c>
      <c r="G599" s="6">
        <v>0</v>
      </c>
      <c r="H599" s="47" t="s">
        <v>1374</v>
      </c>
      <c r="I599" s="122" t="s">
        <v>1375</v>
      </c>
    </row>
    <row r="600" spans="1:9" x14ac:dyDescent="0.2">
      <c r="A600" s="6">
        <v>795</v>
      </c>
      <c r="B600" s="6" t="s">
        <v>1308</v>
      </c>
      <c r="C600" s="6">
        <v>3</v>
      </c>
      <c r="D600" s="6">
        <v>1</v>
      </c>
      <c r="E600" s="6" t="s">
        <v>186</v>
      </c>
      <c r="F600" s="6" t="s">
        <v>186</v>
      </c>
      <c r="G600" s="6">
        <v>0</v>
      </c>
      <c r="H600" s="47" t="s">
        <v>1376</v>
      </c>
      <c r="I600" s="122" t="s">
        <v>1377</v>
      </c>
    </row>
    <row r="601" spans="1:9" x14ac:dyDescent="0.2">
      <c r="A601" s="6">
        <v>796</v>
      </c>
      <c r="B601" s="6" t="s">
        <v>1308</v>
      </c>
      <c r="C601" s="6">
        <v>0</v>
      </c>
      <c r="D601" s="6">
        <v>0</v>
      </c>
      <c r="E601" s="6" t="s">
        <v>186</v>
      </c>
      <c r="F601" s="6" t="s">
        <v>186</v>
      </c>
      <c r="G601" s="6">
        <v>0</v>
      </c>
      <c r="H601" s="47" t="s">
        <v>1378</v>
      </c>
      <c r="I601" s="122" t="s">
        <v>1379</v>
      </c>
    </row>
    <row r="602" spans="1:9" x14ac:dyDescent="0.2">
      <c r="A602" s="6">
        <v>797</v>
      </c>
      <c r="B602" s="6" t="s">
        <v>1380</v>
      </c>
      <c r="C602" s="6">
        <v>13</v>
      </c>
      <c r="D602" s="6">
        <v>2</v>
      </c>
      <c r="E602" s="6">
        <v>21</v>
      </c>
      <c r="F602" s="6" t="s">
        <v>1381</v>
      </c>
      <c r="G602" s="6" t="s">
        <v>1309</v>
      </c>
      <c r="H602" s="47" t="s">
        <v>1382</v>
      </c>
      <c r="I602" s="122" t="s">
        <v>1383</v>
      </c>
    </row>
    <row r="603" spans="1:9" x14ac:dyDescent="0.2">
      <c r="A603" s="6">
        <v>798</v>
      </c>
      <c r="B603" s="6" t="s">
        <v>1380</v>
      </c>
      <c r="C603" s="6">
        <v>13</v>
      </c>
      <c r="D603" s="6">
        <v>4</v>
      </c>
      <c r="E603" s="6">
        <v>21</v>
      </c>
      <c r="F603" s="6" t="s">
        <v>1381</v>
      </c>
      <c r="G603" s="6" t="s">
        <v>1309</v>
      </c>
      <c r="H603" s="47" t="s">
        <v>1384</v>
      </c>
      <c r="I603" s="122" t="s">
        <v>1385</v>
      </c>
    </row>
    <row r="604" spans="1:9" x14ac:dyDescent="0.2">
      <c r="A604" s="6">
        <v>799</v>
      </c>
      <c r="B604" s="6" t="s">
        <v>1380</v>
      </c>
      <c r="C604" s="6">
        <v>14</v>
      </c>
      <c r="D604" s="6">
        <v>1</v>
      </c>
      <c r="E604" s="6">
        <v>22</v>
      </c>
      <c r="F604" s="6" t="s">
        <v>1381</v>
      </c>
      <c r="G604" s="6" t="s">
        <v>1386</v>
      </c>
      <c r="H604" s="47" t="s">
        <v>1387</v>
      </c>
      <c r="I604" s="122" t="s">
        <v>1388</v>
      </c>
    </row>
    <row r="605" spans="1:9" x14ac:dyDescent="0.2">
      <c r="A605" s="6">
        <v>800</v>
      </c>
      <c r="B605" s="6" t="s">
        <v>1380</v>
      </c>
      <c r="C605" s="6">
        <v>14</v>
      </c>
      <c r="D605" s="6">
        <v>2</v>
      </c>
      <c r="E605" s="6">
        <v>22</v>
      </c>
      <c r="F605" s="6" t="s">
        <v>1381</v>
      </c>
      <c r="G605" s="6" t="s">
        <v>1386</v>
      </c>
      <c r="H605" s="47" t="s">
        <v>1389</v>
      </c>
      <c r="I605" s="122" t="s">
        <v>1390</v>
      </c>
    </row>
    <row r="606" spans="1:9" x14ac:dyDescent="0.2">
      <c r="A606" s="6">
        <v>801</v>
      </c>
      <c r="B606" s="6" t="s">
        <v>1380</v>
      </c>
      <c r="C606" s="6">
        <v>14</v>
      </c>
      <c r="D606" s="6">
        <v>3</v>
      </c>
      <c r="E606" s="6">
        <v>22</v>
      </c>
      <c r="F606" s="6" t="s">
        <v>1381</v>
      </c>
      <c r="G606" s="6" t="s">
        <v>1386</v>
      </c>
      <c r="H606" s="47" t="s">
        <v>1391</v>
      </c>
      <c r="I606" s="122" t="s">
        <v>1392</v>
      </c>
    </row>
    <row r="607" spans="1:9" x14ac:dyDescent="0.2">
      <c r="A607" s="6">
        <v>802</v>
      </c>
      <c r="B607" s="6" t="s">
        <v>1380</v>
      </c>
      <c r="C607" s="6">
        <v>14</v>
      </c>
      <c r="D607" s="6">
        <v>3</v>
      </c>
      <c r="E607" s="6">
        <v>22</v>
      </c>
      <c r="F607" s="6" t="s">
        <v>1381</v>
      </c>
      <c r="G607" s="6" t="s">
        <v>1386</v>
      </c>
      <c r="H607" s="47" t="s">
        <v>1393</v>
      </c>
      <c r="I607" s="122" t="s">
        <v>1394</v>
      </c>
    </row>
    <row r="608" spans="1:9" x14ac:dyDescent="0.2">
      <c r="A608" s="6">
        <v>803</v>
      </c>
      <c r="B608" s="6" t="s">
        <v>1380</v>
      </c>
      <c r="C608" s="6">
        <v>14</v>
      </c>
      <c r="D608" s="6">
        <v>4</v>
      </c>
      <c r="E608" s="6">
        <v>22</v>
      </c>
      <c r="F608" s="6" t="s">
        <v>1381</v>
      </c>
      <c r="G608" s="6" t="s">
        <v>1386</v>
      </c>
      <c r="H608" s="47" t="s">
        <v>1395</v>
      </c>
      <c r="I608" s="122" t="s">
        <v>1396</v>
      </c>
    </row>
    <row r="609" spans="1:9" x14ac:dyDescent="0.2">
      <c r="A609" s="6">
        <v>804</v>
      </c>
      <c r="B609" s="6" t="s">
        <v>1380</v>
      </c>
      <c r="C609" s="6">
        <v>21</v>
      </c>
      <c r="D609" s="6">
        <v>1</v>
      </c>
      <c r="E609" s="6">
        <v>34</v>
      </c>
      <c r="F609" s="6" t="s">
        <v>1381</v>
      </c>
      <c r="G609" s="6" t="s">
        <v>1386</v>
      </c>
      <c r="H609" s="47" t="s">
        <v>1397</v>
      </c>
      <c r="I609" s="122" t="s">
        <v>1398</v>
      </c>
    </row>
    <row r="610" spans="1:9" x14ac:dyDescent="0.2">
      <c r="A610" s="6">
        <v>805</v>
      </c>
      <c r="B610" s="6" t="s">
        <v>1380</v>
      </c>
      <c r="C610" s="6">
        <v>21</v>
      </c>
      <c r="D610" s="6">
        <v>2</v>
      </c>
      <c r="E610" s="6">
        <v>34</v>
      </c>
      <c r="F610" s="6" t="s">
        <v>1381</v>
      </c>
      <c r="G610" s="6" t="s">
        <v>1386</v>
      </c>
      <c r="H610" s="47" t="s">
        <v>1399</v>
      </c>
      <c r="I610" s="122" t="s">
        <v>1400</v>
      </c>
    </row>
    <row r="611" spans="1:9" x14ac:dyDescent="0.2">
      <c r="A611" s="6">
        <v>806</v>
      </c>
      <c r="B611" s="6" t="s">
        <v>1380</v>
      </c>
      <c r="C611" s="6">
        <v>21</v>
      </c>
      <c r="D611" s="6">
        <v>3</v>
      </c>
      <c r="E611" s="6">
        <v>34</v>
      </c>
      <c r="F611" s="6" t="s">
        <v>1381</v>
      </c>
      <c r="G611" s="6" t="s">
        <v>1386</v>
      </c>
      <c r="H611" s="47" t="s">
        <v>1401</v>
      </c>
      <c r="I611" s="122" t="s">
        <v>1402</v>
      </c>
    </row>
    <row r="612" spans="1:9" x14ac:dyDescent="0.2">
      <c r="A612" s="6">
        <v>807</v>
      </c>
      <c r="B612" s="6" t="s">
        <v>1380</v>
      </c>
      <c r="C612" s="6">
        <v>21</v>
      </c>
      <c r="D612" s="6">
        <v>4</v>
      </c>
      <c r="E612" s="6">
        <v>34</v>
      </c>
      <c r="F612" s="6" t="s">
        <v>1381</v>
      </c>
      <c r="G612" s="6" t="s">
        <v>1386</v>
      </c>
      <c r="H612" s="47" t="s">
        <v>1403</v>
      </c>
      <c r="I612" s="122" t="s">
        <v>1404</v>
      </c>
    </row>
    <row r="613" spans="1:9" x14ac:dyDescent="0.2">
      <c r="A613" s="6">
        <v>808</v>
      </c>
      <c r="B613" s="6" t="s">
        <v>1380</v>
      </c>
      <c r="C613" s="6">
        <v>24</v>
      </c>
      <c r="D613" s="6">
        <v>1</v>
      </c>
      <c r="E613" s="6">
        <v>22</v>
      </c>
      <c r="F613" s="6" t="s">
        <v>1405</v>
      </c>
      <c r="G613" s="6" t="s">
        <v>1386</v>
      </c>
      <c r="H613" s="47" t="s">
        <v>1406</v>
      </c>
      <c r="I613" s="122" t="s">
        <v>1407</v>
      </c>
    </row>
    <row r="614" spans="1:9" x14ac:dyDescent="0.2">
      <c r="A614" s="6">
        <v>809</v>
      </c>
      <c r="B614" s="6" t="s">
        <v>1380</v>
      </c>
      <c r="C614" s="6">
        <v>24</v>
      </c>
      <c r="D614" s="6">
        <v>2</v>
      </c>
      <c r="E614" s="6">
        <v>22</v>
      </c>
      <c r="F614" s="6" t="s">
        <v>1405</v>
      </c>
      <c r="G614" s="6" t="s">
        <v>1386</v>
      </c>
      <c r="H614" s="47" t="s">
        <v>1408</v>
      </c>
      <c r="I614" s="122" t="s">
        <v>1409</v>
      </c>
    </row>
    <row r="615" spans="1:9" x14ac:dyDescent="0.2">
      <c r="A615" s="6">
        <v>810</v>
      </c>
      <c r="B615" s="6" t="s">
        <v>1380</v>
      </c>
      <c r="C615" s="6">
        <v>24</v>
      </c>
      <c r="D615" s="6">
        <v>3</v>
      </c>
      <c r="E615" s="6">
        <v>22</v>
      </c>
      <c r="F615" s="6" t="s">
        <v>1405</v>
      </c>
      <c r="G615" s="6" t="s">
        <v>1386</v>
      </c>
      <c r="H615" s="47" t="s">
        <v>1410</v>
      </c>
      <c r="I615" s="122" t="s">
        <v>1411</v>
      </c>
    </row>
    <row r="616" spans="1:9" x14ac:dyDescent="0.2">
      <c r="A616" s="6">
        <v>811</v>
      </c>
      <c r="B616" s="6" t="s">
        <v>1380</v>
      </c>
      <c r="C616" s="6">
        <v>24</v>
      </c>
      <c r="D616" s="6">
        <v>4</v>
      </c>
      <c r="E616" s="6">
        <v>22</v>
      </c>
      <c r="F616" s="6" t="s">
        <v>1405</v>
      </c>
      <c r="G616" s="6" t="s">
        <v>1386</v>
      </c>
      <c r="H616" s="47" t="s">
        <v>1412</v>
      </c>
      <c r="I616" s="122" t="s">
        <v>1413</v>
      </c>
    </row>
    <row r="617" spans="1:9" x14ac:dyDescent="0.2">
      <c r="A617" s="6">
        <v>812</v>
      </c>
      <c r="B617" s="6" t="s">
        <v>1380</v>
      </c>
      <c r="C617" s="6">
        <v>24</v>
      </c>
      <c r="D617" s="6">
        <v>6</v>
      </c>
      <c r="E617" s="6">
        <v>22</v>
      </c>
      <c r="F617" s="6" t="s">
        <v>1405</v>
      </c>
      <c r="G617" s="6" t="s">
        <v>1386</v>
      </c>
      <c r="H617" s="47" t="s">
        <v>1414</v>
      </c>
      <c r="I617" s="122" t="s">
        <v>1415</v>
      </c>
    </row>
    <row r="618" spans="1:9" x14ac:dyDescent="0.2">
      <c r="A618" s="6">
        <v>813</v>
      </c>
      <c r="B618" s="6" t="s">
        <v>1380</v>
      </c>
      <c r="C618" s="6">
        <v>28</v>
      </c>
      <c r="D618" s="6">
        <v>1</v>
      </c>
      <c r="E618" s="6">
        <v>45.8</v>
      </c>
      <c r="F618" s="6" t="s">
        <v>1381</v>
      </c>
      <c r="G618" s="6" t="s">
        <v>1386</v>
      </c>
      <c r="H618" s="47" t="s">
        <v>1416</v>
      </c>
      <c r="I618" s="122" t="s">
        <v>1417</v>
      </c>
    </row>
    <row r="619" spans="1:9" x14ac:dyDescent="0.2">
      <c r="A619" s="6">
        <v>814</v>
      </c>
      <c r="B619" s="6" t="s">
        <v>1380</v>
      </c>
      <c r="C619" s="6">
        <v>28</v>
      </c>
      <c r="D619" s="6">
        <v>1</v>
      </c>
      <c r="E619" s="6">
        <v>45.8</v>
      </c>
      <c r="F619" s="6" t="s">
        <v>1381</v>
      </c>
      <c r="G619" s="6" t="s">
        <v>1386</v>
      </c>
      <c r="H619" s="47" t="s">
        <v>1418</v>
      </c>
      <c r="I619" s="122" t="s">
        <v>1419</v>
      </c>
    </row>
    <row r="620" spans="1:9" x14ac:dyDescent="0.2">
      <c r="A620" s="6">
        <v>815</v>
      </c>
      <c r="B620" s="6" t="s">
        <v>1380</v>
      </c>
      <c r="C620" s="6">
        <v>28</v>
      </c>
      <c r="D620" s="6">
        <v>2</v>
      </c>
      <c r="E620" s="6">
        <v>45.8</v>
      </c>
      <c r="F620" s="6" t="s">
        <v>1381</v>
      </c>
      <c r="G620" s="6" t="s">
        <v>1386</v>
      </c>
      <c r="H620" s="47" t="s">
        <v>1420</v>
      </c>
      <c r="I620" s="122" t="s">
        <v>1421</v>
      </c>
    </row>
    <row r="621" spans="1:9" x14ac:dyDescent="0.2">
      <c r="A621" s="6">
        <v>816</v>
      </c>
      <c r="B621" s="6" t="s">
        <v>1380</v>
      </c>
      <c r="C621" s="6">
        <v>28</v>
      </c>
      <c r="D621" s="6">
        <v>3</v>
      </c>
      <c r="E621" s="6">
        <v>45.8</v>
      </c>
      <c r="F621" s="6" t="s">
        <v>1381</v>
      </c>
      <c r="G621" s="6" t="s">
        <v>1386</v>
      </c>
      <c r="H621" s="47" t="s">
        <v>1422</v>
      </c>
      <c r="I621" s="122" t="s">
        <v>1423</v>
      </c>
    </row>
    <row r="622" spans="1:9" x14ac:dyDescent="0.2">
      <c r="A622" s="6">
        <v>817</v>
      </c>
      <c r="B622" s="6" t="s">
        <v>1380</v>
      </c>
      <c r="C622" s="6">
        <v>28</v>
      </c>
      <c r="D622" s="6">
        <v>4</v>
      </c>
      <c r="E622" s="6">
        <v>45.8</v>
      </c>
      <c r="F622" s="6" t="s">
        <v>1381</v>
      </c>
      <c r="G622" s="6" t="s">
        <v>1386</v>
      </c>
      <c r="H622" s="47" t="s">
        <v>1424</v>
      </c>
      <c r="I622" s="122" t="s">
        <v>1425</v>
      </c>
    </row>
    <row r="623" spans="1:9" x14ac:dyDescent="0.2">
      <c r="A623" s="6">
        <v>818</v>
      </c>
      <c r="B623" s="6" t="s">
        <v>1380</v>
      </c>
      <c r="C623" s="6">
        <v>35</v>
      </c>
      <c r="D623" s="6">
        <v>1</v>
      </c>
      <c r="E623" s="6">
        <v>57.6</v>
      </c>
      <c r="F623" s="6" t="s">
        <v>1381</v>
      </c>
      <c r="G623" s="6" t="s">
        <v>1386</v>
      </c>
      <c r="H623" s="47" t="s">
        <v>1426</v>
      </c>
      <c r="I623" s="122" t="s">
        <v>1427</v>
      </c>
    </row>
    <row r="624" spans="1:9" x14ac:dyDescent="0.2">
      <c r="A624" s="6">
        <v>819</v>
      </c>
      <c r="B624" s="6" t="s">
        <v>1380</v>
      </c>
      <c r="C624" s="6">
        <v>35</v>
      </c>
      <c r="D624" s="6">
        <v>2</v>
      </c>
      <c r="E624" s="6">
        <v>57.6</v>
      </c>
      <c r="F624" s="6" t="s">
        <v>1381</v>
      </c>
      <c r="G624" s="6" t="s">
        <v>1386</v>
      </c>
      <c r="H624" s="47" t="s">
        <v>1428</v>
      </c>
      <c r="I624" s="122" t="s">
        <v>1429</v>
      </c>
    </row>
    <row r="625" spans="1:9" x14ac:dyDescent="0.2">
      <c r="A625" s="6">
        <v>820</v>
      </c>
      <c r="B625" s="6" t="s">
        <v>1380</v>
      </c>
      <c r="C625" s="6">
        <v>35</v>
      </c>
      <c r="D625" s="6">
        <v>3</v>
      </c>
      <c r="E625" s="6">
        <v>57.6</v>
      </c>
      <c r="F625" s="6" t="s">
        <v>1381</v>
      </c>
      <c r="G625" s="6" t="s">
        <v>1386</v>
      </c>
      <c r="H625" s="47" t="s">
        <v>1430</v>
      </c>
      <c r="I625" s="122" t="s">
        <v>1431</v>
      </c>
    </row>
    <row r="626" spans="1:9" x14ac:dyDescent="0.2">
      <c r="A626" s="6">
        <v>821</v>
      </c>
      <c r="B626" s="6" t="s">
        <v>1380</v>
      </c>
      <c r="C626" s="6">
        <v>35</v>
      </c>
      <c r="D626" s="6">
        <v>4</v>
      </c>
      <c r="E626" s="6">
        <v>57.6</v>
      </c>
      <c r="F626" s="6" t="s">
        <v>1381</v>
      </c>
      <c r="G626" s="6" t="s">
        <v>1386</v>
      </c>
      <c r="H626" s="47" t="s">
        <v>1432</v>
      </c>
      <c r="I626" s="122" t="s">
        <v>1433</v>
      </c>
    </row>
    <row r="627" spans="1:9" x14ac:dyDescent="0.2">
      <c r="A627" s="6">
        <v>822</v>
      </c>
      <c r="B627" s="6" t="s">
        <v>1380</v>
      </c>
      <c r="C627" s="6">
        <v>39</v>
      </c>
      <c r="D627" s="6">
        <v>1</v>
      </c>
      <c r="E627" s="6">
        <v>34</v>
      </c>
      <c r="F627" s="6" t="s">
        <v>1405</v>
      </c>
      <c r="G627" s="6" t="s">
        <v>1386</v>
      </c>
      <c r="H627" s="47" t="s">
        <v>1434</v>
      </c>
      <c r="I627" s="122" t="s">
        <v>1435</v>
      </c>
    </row>
    <row r="628" spans="1:9" x14ac:dyDescent="0.2">
      <c r="A628" s="6">
        <v>823</v>
      </c>
      <c r="B628" s="6" t="s">
        <v>1380</v>
      </c>
      <c r="C628" s="6">
        <v>39</v>
      </c>
      <c r="D628" s="6">
        <v>2</v>
      </c>
      <c r="E628" s="6">
        <v>34</v>
      </c>
      <c r="F628" s="6" t="s">
        <v>1405</v>
      </c>
      <c r="G628" s="6" t="s">
        <v>1386</v>
      </c>
      <c r="H628" s="47" t="s">
        <v>1436</v>
      </c>
      <c r="I628" s="122" t="s">
        <v>1437</v>
      </c>
    </row>
    <row r="629" spans="1:9" x14ac:dyDescent="0.2">
      <c r="A629" s="6">
        <v>824</v>
      </c>
      <c r="B629" s="6" t="s">
        <v>1380</v>
      </c>
      <c r="C629" s="6">
        <v>39</v>
      </c>
      <c r="D629" s="6">
        <v>3</v>
      </c>
      <c r="E629" s="6">
        <v>34</v>
      </c>
      <c r="F629" s="6" t="s">
        <v>1405</v>
      </c>
      <c r="G629" s="6" t="s">
        <v>1386</v>
      </c>
      <c r="H629" s="47" t="s">
        <v>1438</v>
      </c>
      <c r="I629" s="122" t="s">
        <v>1439</v>
      </c>
    </row>
    <row r="630" spans="1:9" x14ac:dyDescent="0.2">
      <c r="A630" s="6">
        <v>825</v>
      </c>
      <c r="B630" s="6" t="s">
        <v>1380</v>
      </c>
      <c r="C630" s="6">
        <v>39</v>
      </c>
      <c r="D630" s="6">
        <v>4</v>
      </c>
      <c r="E630" s="6">
        <v>34</v>
      </c>
      <c r="F630" s="6" t="s">
        <v>1405</v>
      </c>
      <c r="G630" s="6" t="s">
        <v>1386</v>
      </c>
      <c r="H630" s="47" t="s">
        <v>1440</v>
      </c>
      <c r="I630" s="122" t="s">
        <v>1441</v>
      </c>
    </row>
    <row r="631" spans="1:9" x14ac:dyDescent="0.2">
      <c r="A631" s="6">
        <v>826</v>
      </c>
      <c r="B631" s="6" t="s">
        <v>1380</v>
      </c>
      <c r="C631" s="6">
        <v>54</v>
      </c>
      <c r="D631" s="6">
        <v>6</v>
      </c>
      <c r="E631" s="6">
        <v>45.8</v>
      </c>
      <c r="F631" s="6" t="s">
        <v>1405</v>
      </c>
      <c r="G631" s="6" t="s">
        <v>1386</v>
      </c>
      <c r="H631" s="47" t="s">
        <v>1442</v>
      </c>
      <c r="I631" s="122" t="s">
        <v>1443</v>
      </c>
    </row>
    <row r="632" spans="1:9" x14ac:dyDescent="0.2">
      <c r="A632" s="6">
        <v>827</v>
      </c>
      <c r="B632" s="6" t="s">
        <v>1380</v>
      </c>
      <c r="C632" s="6">
        <v>54</v>
      </c>
      <c r="D632" s="6">
        <v>6</v>
      </c>
      <c r="E632" s="6">
        <v>45.8</v>
      </c>
      <c r="F632" s="6" t="s">
        <v>1405</v>
      </c>
      <c r="G632" s="6" t="s">
        <v>1386</v>
      </c>
      <c r="H632" s="47" t="s">
        <v>1444</v>
      </c>
      <c r="I632" s="122" t="s">
        <v>1445</v>
      </c>
    </row>
    <row r="633" spans="1:9" x14ac:dyDescent="0.2">
      <c r="A633" s="6">
        <v>828</v>
      </c>
      <c r="B633" s="6" t="s">
        <v>1380</v>
      </c>
      <c r="C633" s="6">
        <v>54</v>
      </c>
      <c r="D633" s="6">
        <v>1</v>
      </c>
      <c r="E633" s="6">
        <v>45.8</v>
      </c>
      <c r="F633" s="6" t="s">
        <v>1405</v>
      </c>
      <c r="G633" s="6" t="s">
        <v>1386</v>
      </c>
      <c r="H633" s="47" t="s">
        <v>1446</v>
      </c>
      <c r="I633" s="122" t="s">
        <v>1447</v>
      </c>
    </row>
    <row r="634" spans="1:9" x14ac:dyDescent="0.2">
      <c r="A634" s="6">
        <v>829</v>
      </c>
      <c r="B634" s="6" t="s">
        <v>1380</v>
      </c>
      <c r="C634" s="6">
        <v>54</v>
      </c>
      <c r="D634" s="6">
        <v>1</v>
      </c>
      <c r="E634" s="6">
        <v>45.8</v>
      </c>
      <c r="F634" s="6" t="s">
        <v>1405</v>
      </c>
      <c r="G634" s="6" t="s">
        <v>1386</v>
      </c>
      <c r="H634" s="47" t="s">
        <v>1448</v>
      </c>
      <c r="I634" s="122" t="s">
        <v>1449</v>
      </c>
    </row>
    <row r="635" spans="1:9" x14ac:dyDescent="0.2">
      <c r="A635" s="6">
        <v>830</v>
      </c>
      <c r="B635" s="6" t="s">
        <v>1380</v>
      </c>
      <c r="C635" s="6">
        <v>54</v>
      </c>
      <c r="D635" s="6">
        <v>2</v>
      </c>
      <c r="E635" s="6">
        <v>45.8</v>
      </c>
      <c r="F635" s="6" t="s">
        <v>1405</v>
      </c>
      <c r="G635" s="6" t="s">
        <v>1386</v>
      </c>
      <c r="H635" s="47" t="s">
        <v>1450</v>
      </c>
      <c r="I635" s="122" t="s">
        <v>1451</v>
      </c>
    </row>
    <row r="636" spans="1:9" x14ac:dyDescent="0.2">
      <c r="A636" s="6">
        <v>831</v>
      </c>
      <c r="B636" s="6" t="s">
        <v>1380</v>
      </c>
      <c r="C636" s="6">
        <v>54</v>
      </c>
      <c r="D636" s="6">
        <v>3</v>
      </c>
      <c r="E636" s="6">
        <v>45.8</v>
      </c>
      <c r="F636" s="6" t="s">
        <v>1405</v>
      </c>
      <c r="G636" s="6" t="s">
        <v>1386</v>
      </c>
      <c r="H636" s="47" t="s">
        <v>1452</v>
      </c>
      <c r="I636" s="122" t="s">
        <v>1453</v>
      </c>
    </row>
    <row r="637" spans="1:9" x14ac:dyDescent="0.2">
      <c r="A637" s="6">
        <v>832</v>
      </c>
      <c r="B637" s="6" t="s">
        <v>1380</v>
      </c>
      <c r="C637" s="6">
        <v>54</v>
      </c>
      <c r="D637" s="6">
        <v>3</v>
      </c>
      <c r="E637" s="6">
        <v>45.8</v>
      </c>
      <c r="F637" s="6" t="s">
        <v>1405</v>
      </c>
      <c r="G637" s="6" t="s">
        <v>1386</v>
      </c>
      <c r="H637" s="47" t="s">
        <v>1454</v>
      </c>
      <c r="I637" s="122" t="s">
        <v>1455</v>
      </c>
    </row>
    <row r="638" spans="1:9" x14ac:dyDescent="0.2">
      <c r="A638" s="6">
        <v>833</v>
      </c>
      <c r="B638" s="6" t="s">
        <v>1380</v>
      </c>
      <c r="C638" s="6">
        <v>54</v>
      </c>
      <c r="D638" s="6">
        <v>4</v>
      </c>
      <c r="E638" s="6">
        <v>45.8</v>
      </c>
      <c r="F638" s="6" t="s">
        <v>1405</v>
      </c>
      <c r="G638" s="6" t="s">
        <v>1386</v>
      </c>
      <c r="H638" s="47" t="s">
        <v>1456</v>
      </c>
      <c r="I638" s="122" t="s">
        <v>1457</v>
      </c>
    </row>
    <row r="639" spans="1:9" x14ac:dyDescent="0.2">
      <c r="A639" s="6">
        <v>834</v>
      </c>
      <c r="B639" s="6" t="s">
        <v>1380</v>
      </c>
      <c r="C639" s="6">
        <v>54</v>
      </c>
      <c r="D639" s="6">
        <v>4</v>
      </c>
      <c r="E639" s="6">
        <v>45.8</v>
      </c>
      <c r="F639" s="6" t="s">
        <v>1405</v>
      </c>
      <c r="G639" s="6" t="s">
        <v>1386</v>
      </c>
      <c r="H639" s="47" t="s">
        <v>1458</v>
      </c>
      <c r="I639" s="122" t="s">
        <v>1459</v>
      </c>
    </row>
    <row r="640" spans="1:9" x14ac:dyDescent="0.2">
      <c r="A640" s="6">
        <v>835</v>
      </c>
      <c r="B640" s="6" t="s">
        <v>1380</v>
      </c>
      <c r="C640" s="6">
        <v>54</v>
      </c>
      <c r="D640" s="6">
        <v>5</v>
      </c>
      <c r="E640" s="6">
        <v>45.8</v>
      </c>
      <c r="F640" s="6" t="s">
        <v>1405</v>
      </c>
      <c r="G640" s="6" t="s">
        <v>1386</v>
      </c>
      <c r="H640" s="47" t="s">
        <v>1460</v>
      </c>
      <c r="I640" s="122" t="s">
        <v>1461</v>
      </c>
    </row>
    <row r="641" spans="1:9" x14ac:dyDescent="0.2">
      <c r="A641" s="6">
        <v>836</v>
      </c>
      <c r="B641" s="6" t="s">
        <v>1380</v>
      </c>
      <c r="C641" s="6" t="s">
        <v>1462</v>
      </c>
      <c r="D641" s="6">
        <v>5</v>
      </c>
      <c r="E641" s="6">
        <v>45.2</v>
      </c>
      <c r="F641" s="6" t="s">
        <v>1405</v>
      </c>
      <c r="G641" s="6" t="s">
        <v>1386</v>
      </c>
      <c r="H641" s="47" t="s">
        <v>1463</v>
      </c>
      <c r="I641" s="122" t="s">
        <v>1464</v>
      </c>
    </row>
    <row r="642" spans="1:9" x14ac:dyDescent="0.2">
      <c r="A642" s="6">
        <v>837</v>
      </c>
      <c r="B642" s="6" t="s">
        <v>1380</v>
      </c>
      <c r="C642" s="6">
        <v>54</v>
      </c>
      <c r="D642" s="6">
        <v>6</v>
      </c>
      <c r="E642" s="6">
        <v>45.8</v>
      </c>
      <c r="F642" s="6" t="s">
        <v>1405</v>
      </c>
      <c r="G642" s="6" t="s">
        <v>1386</v>
      </c>
      <c r="H642" s="47" t="s">
        <v>1465</v>
      </c>
      <c r="I642" s="122" t="s">
        <v>1466</v>
      </c>
    </row>
    <row r="643" spans="1:9" x14ac:dyDescent="0.2">
      <c r="A643" s="6">
        <v>838</v>
      </c>
      <c r="B643" s="6" t="s">
        <v>1380</v>
      </c>
      <c r="C643" s="6">
        <v>54</v>
      </c>
      <c r="D643" s="6">
        <v>6</v>
      </c>
      <c r="E643" s="6">
        <v>45.8</v>
      </c>
      <c r="F643" s="6" t="s">
        <v>1405</v>
      </c>
      <c r="G643" s="6" t="s">
        <v>1386</v>
      </c>
      <c r="H643" s="47" t="s">
        <v>1467</v>
      </c>
      <c r="I643" s="122" t="s">
        <v>1468</v>
      </c>
    </row>
    <row r="644" spans="1:9" x14ac:dyDescent="0.2">
      <c r="A644" s="6">
        <v>839</v>
      </c>
      <c r="B644" s="6" t="s">
        <v>1380</v>
      </c>
      <c r="C644" s="6">
        <v>54</v>
      </c>
      <c r="D644" s="6">
        <v>8</v>
      </c>
      <c r="E644" s="6">
        <v>45.8</v>
      </c>
      <c r="F644" s="6" t="s">
        <v>1405</v>
      </c>
      <c r="G644" s="6" t="s">
        <v>1386</v>
      </c>
      <c r="H644" s="47" t="s">
        <v>1469</v>
      </c>
      <c r="I644" s="122" t="s">
        <v>1470</v>
      </c>
    </row>
    <row r="645" spans="1:9" x14ac:dyDescent="0.2">
      <c r="A645" s="6">
        <v>840</v>
      </c>
      <c r="B645" s="6" t="s">
        <v>1380</v>
      </c>
      <c r="C645" s="6">
        <v>54</v>
      </c>
      <c r="D645" s="6">
        <v>8</v>
      </c>
      <c r="E645" s="6">
        <v>45.8</v>
      </c>
      <c r="F645" s="6" t="s">
        <v>1405</v>
      </c>
      <c r="G645" s="6" t="s">
        <v>1386</v>
      </c>
      <c r="H645" s="47" t="s">
        <v>1471</v>
      </c>
      <c r="I645" s="122" t="s">
        <v>1472</v>
      </c>
    </row>
    <row r="646" spans="1:9" x14ac:dyDescent="0.2">
      <c r="A646" s="6">
        <v>841</v>
      </c>
      <c r="B646" s="6" t="s">
        <v>1380</v>
      </c>
      <c r="C646" s="6">
        <v>54</v>
      </c>
      <c r="D646" s="6">
        <v>10</v>
      </c>
      <c r="E646" s="6">
        <v>45.8</v>
      </c>
      <c r="F646" s="6" t="s">
        <v>1405</v>
      </c>
      <c r="G646" s="6" t="s">
        <v>1386</v>
      </c>
      <c r="H646" s="47" t="s">
        <v>1473</v>
      </c>
      <c r="I646" s="122" t="s">
        <v>1474</v>
      </c>
    </row>
    <row r="647" spans="1:9" x14ac:dyDescent="0.2">
      <c r="A647" s="6">
        <v>842</v>
      </c>
      <c r="B647" s="6" t="s">
        <v>1380</v>
      </c>
      <c r="C647" s="6">
        <v>54</v>
      </c>
      <c r="D647" s="6">
        <v>10</v>
      </c>
      <c r="E647" s="6">
        <v>45.8</v>
      </c>
      <c r="F647" s="6" t="s">
        <v>1405</v>
      </c>
      <c r="G647" s="6" t="s">
        <v>1386</v>
      </c>
      <c r="H647" s="47" t="s">
        <v>1475</v>
      </c>
      <c r="I647" s="122" t="s">
        <v>1476</v>
      </c>
    </row>
    <row r="648" spans="1:9" x14ac:dyDescent="0.2">
      <c r="A648" s="6">
        <v>843</v>
      </c>
      <c r="B648" s="6" t="s">
        <v>1380</v>
      </c>
      <c r="C648" s="6">
        <v>54</v>
      </c>
      <c r="D648" s="6">
        <v>12</v>
      </c>
      <c r="E648" s="6">
        <v>45.8</v>
      </c>
      <c r="F648" s="6" t="s">
        <v>1405</v>
      </c>
      <c r="G648" s="6" t="s">
        <v>1386</v>
      </c>
      <c r="H648" s="47" t="s">
        <v>1477</v>
      </c>
      <c r="I648" s="122" t="s">
        <v>1478</v>
      </c>
    </row>
    <row r="649" spans="1:9" x14ac:dyDescent="0.2">
      <c r="A649" s="6">
        <v>844</v>
      </c>
      <c r="B649" s="6" t="s">
        <v>1380</v>
      </c>
      <c r="C649" s="6">
        <v>54</v>
      </c>
      <c r="D649" s="6">
        <v>12</v>
      </c>
      <c r="E649" s="6">
        <v>45.8</v>
      </c>
      <c r="F649" s="6" t="s">
        <v>1405</v>
      </c>
      <c r="G649" s="6" t="s">
        <v>1386</v>
      </c>
      <c r="H649" s="47" t="s">
        <v>1479</v>
      </c>
      <c r="I649" s="122" t="s">
        <v>1480</v>
      </c>
    </row>
    <row r="650" spans="1:9" x14ac:dyDescent="0.2">
      <c r="A650" s="6">
        <v>845</v>
      </c>
      <c r="B650" s="6" t="s">
        <v>1380</v>
      </c>
      <c r="C650" s="6" t="s">
        <v>1462</v>
      </c>
      <c r="D650" s="6">
        <v>1</v>
      </c>
      <c r="E650" s="6">
        <v>45.2</v>
      </c>
      <c r="F650" s="6" t="s">
        <v>1405</v>
      </c>
      <c r="G650" s="6" t="s">
        <v>1386</v>
      </c>
      <c r="H650" s="47" t="s">
        <v>1481</v>
      </c>
      <c r="I650" s="122" t="s">
        <v>1482</v>
      </c>
    </row>
    <row r="651" spans="1:9" x14ac:dyDescent="0.2">
      <c r="A651" s="6">
        <v>846</v>
      </c>
      <c r="B651" s="6" t="s">
        <v>1380</v>
      </c>
      <c r="C651" s="6" t="s">
        <v>1462</v>
      </c>
      <c r="D651" s="6">
        <v>2</v>
      </c>
      <c r="E651" s="6">
        <v>45.2</v>
      </c>
      <c r="F651" s="6" t="s">
        <v>1405</v>
      </c>
      <c r="G651" s="6" t="s">
        <v>1386</v>
      </c>
      <c r="H651" s="47" t="s">
        <v>1483</v>
      </c>
      <c r="I651" s="122" t="s">
        <v>1484</v>
      </c>
    </row>
    <row r="652" spans="1:9" x14ac:dyDescent="0.2">
      <c r="A652" s="6">
        <v>847</v>
      </c>
      <c r="B652" s="6" t="s">
        <v>1380</v>
      </c>
      <c r="C652" s="6" t="s">
        <v>1462</v>
      </c>
      <c r="D652" s="6">
        <v>3</v>
      </c>
      <c r="E652" s="6">
        <v>45.2</v>
      </c>
      <c r="F652" s="6" t="s">
        <v>1405</v>
      </c>
      <c r="G652" s="6" t="s">
        <v>1386</v>
      </c>
      <c r="H652" s="47" t="s">
        <v>1485</v>
      </c>
      <c r="I652" s="122" t="s">
        <v>1486</v>
      </c>
    </row>
    <row r="653" spans="1:9" x14ac:dyDescent="0.2">
      <c r="A653" s="6">
        <v>848</v>
      </c>
      <c r="B653" s="6" t="s">
        <v>1380</v>
      </c>
      <c r="C653" s="6" t="s">
        <v>1462</v>
      </c>
      <c r="D653" s="6">
        <v>4</v>
      </c>
      <c r="E653" s="6">
        <v>45.2</v>
      </c>
      <c r="F653" s="6" t="s">
        <v>1405</v>
      </c>
      <c r="G653" s="6" t="s">
        <v>1386</v>
      </c>
      <c r="H653" s="47" t="s">
        <v>1487</v>
      </c>
      <c r="I653" s="122" t="s">
        <v>1488</v>
      </c>
    </row>
    <row r="654" spans="1:9" x14ac:dyDescent="0.2">
      <c r="A654" s="6">
        <v>849</v>
      </c>
      <c r="B654" s="6" t="s">
        <v>1380</v>
      </c>
      <c r="C654" s="6">
        <v>50</v>
      </c>
      <c r="D654" s="6">
        <v>8</v>
      </c>
      <c r="E654" s="6">
        <v>45.8</v>
      </c>
      <c r="F654" s="6" t="s">
        <v>1405</v>
      </c>
      <c r="G654" s="6" t="s">
        <v>1386</v>
      </c>
      <c r="H654" s="47" t="s">
        <v>1489</v>
      </c>
      <c r="I654" s="122" t="s">
        <v>1490</v>
      </c>
    </row>
    <row r="655" spans="1:9" x14ac:dyDescent="0.2">
      <c r="A655" s="6">
        <v>850</v>
      </c>
      <c r="B655" s="6" t="s">
        <v>1380</v>
      </c>
      <c r="C655" s="6">
        <v>50</v>
      </c>
      <c r="D655" s="6">
        <v>8</v>
      </c>
      <c r="E655" s="6">
        <v>45.8</v>
      </c>
      <c r="F655" s="6" t="s">
        <v>1405</v>
      </c>
      <c r="G655" s="6" t="s">
        <v>1386</v>
      </c>
      <c r="H655" s="47" t="s">
        <v>1491</v>
      </c>
      <c r="I655" s="122" t="s">
        <v>1492</v>
      </c>
    </row>
    <row r="656" spans="1:9" x14ac:dyDescent="0.2">
      <c r="A656" s="6">
        <v>851</v>
      </c>
      <c r="B656" s="6" t="s">
        <v>1380</v>
      </c>
      <c r="C656" s="6">
        <v>50</v>
      </c>
      <c r="D656" s="6">
        <v>10</v>
      </c>
      <c r="E656" s="6">
        <v>45.8</v>
      </c>
      <c r="F656" s="6" t="s">
        <v>1405</v>
      </c>
      <c r="G656" s="6" t="s">
        <v>1386</v>
      </c>
      <c r="H656" s="47" t="s">
        <v>1493</v>
      </c>
      <c r="I656" s="122" t="s">
        <v>1494</v>
      </c>
    </row>
    <row r="657" spans="1:9" x14ac:dyDescent="0.2">
      <c r="A657" s="6">
        <v>852</v>
      </c>
      <c r="B657" s="6" t="s">
        <v>1380</v>
      </c>
      <c r="C657" s="6">
        <v>50</v>
      </c>
      <c r="D657" s="6">
        <v>10</v>
      </c>
      <c r="E657" s="6">
        <v>45.8</v>
      </c>
      <c r="F657" s="6" t="s">
        <v>1405</v>
      </c>
      <c r="G657" s="6" t="s">
        <v>1386</v>
      </c>
      <c r="H657" s="47" t="s">
        <v>1495</v>
      </c>
      <c r="I657" s="122" t="s">
        <v>1496</v>
      </c>
    </row>
    <row r="658" spans="1:9" x14ac:dyDescent="0.2">
      <c r="A658" s="6">
        <v>853</v>
      </c>
      <c r="B658" s="6" t="s">
        <v>1380</v>
      </c>
      <c r="C658" s="6">
        <v>50</v>
      </c>
      <c r="D658" s="6">
        <v>12</v>
      </c>
      <c r="E658" s="6">
        <v>45.8</v>
      </c>
      <c r="F658" s="6" t="s">
        <v>1405</v>
      </c>
      <c r="G658" s="6" t="s">
        <v>1386</v>
      </c>
      <c r="H658" s="47" t="s">
        <v>1497</v>
      </c>
      <c r="I658" s="122" t="s">
        <v>1498</v>
      </c>
    </row>
    <row r="659" spans="1:9" x14ac:dyDescent="0.2">
      <c r="A659" s="6">
        <v>854</v>
      </c>
      <c r="B659" s="6" t="s">
        <v>1380</v>
      </c>
      <c r="C659" s="6">
        <v>50</v>
      </c>
      <c r="D659" s="6">
        <v>12</v>
      </c>
      <c r="E659" s="6">
        <v>45.8</v>
      </c>
      <c r="F659" s="6" t="s">
        <v>1405</v>
      </c>
      <c r="G659" s="6" t="s">
        <v>1386</v>
      </c>
      <c r="H659" s="47" t="s">
        <v>1499</v>
      </c>
      <c r="I659" s="122" t="s">
        <v>1500</v>
      </c>
    </row>
    <row r="660" spans="1:9" x14ac:dyDescent="0.2">
      <c r="A660" s="6">
        <v>855</v>
      </c>
      <c r="B660" s="6" t="s">
        <v>1380</v>
      </c>
      <c r="C660" s="6">
        <v>80</v>
      </c>
      <c r="D660" s="6">
        <v>1</v>
      </c>
      <c r="E660" s="6">
        <v>57.6</v>
      </c>
      <c r="F660" s="6" t="s">
        <v>1405</v>
      </c>
      <c r="G660" s="6" t="s">
        <v>1386</v>
      </c>
      <c r="H660" s="47" t="s">
        <v>1501</v>
      </c>
      <c r="I660" s="122" t="s">
        <v>1502</v>
      </c>
    </row>
    <row r="661" spans="1:9" x14ac:dyDescent="0.2">
      <c r="A661" s="6">
        <v>856</v>
      </c>
      <c r="B661" s="6" t="s">
        <v>1380</v>
      </c>
      <c r="C661" s="6">
        <v>80</v>
      </c>
      <c r="D661" s="6">
        <v>2</v>
      </c>
      <c r="E661" s="6">
        <v>57.6</v>
      </c>
      <c r="F661" s="6" t="s">
        <v>1405</v>
      </c>
      <c r="G661" s="6" t="s">
        <v>1386</v>
      </c>
      <c r="H661" s="47" t="s">
        <v>1503</v>
      </c>
      <c r="I661" s="122" t="s">
        <v>1504</v>
      </c>
    </row>
    <row r="662" spans="1:9" x14ac:dyDescent="0.2">
      <c r="A662" s="6">
        <v>857</v>
      </c>
      <c r="B662" s="6" t="s">
        <v>1505</v>
      </c>
      <c r="C662" s="6">
        <v>15</v>
      </c>
      <c r="D662" s="6">
        <v>1</v>
      </c>
      <c r="E662" s="6">
        <v>18</v>
      </c>
      <c r="F662" s="6" t="s">
        <v>1381</v>
      </c>
      <c r="G662" s="6" t="s">
        <v>1309</v>
      </c>
      <c r="H662" s="47" t="s">
        <v>1506</v>
      </c>
      <c r="I662" s="122" t="s">
        <v>1507</v>
      </c>
    </row>
    <row r="663" spans="1:9" x14ac:dyDescent="0.2">
      <c r="A663" s="6">
        <v>858</v>
      </c>
      <c r="B663" s="6" t="s">
        <v>1505</v>
      </c>
      <c r="C663" s="6">
        <v>15</v>
      </c>
      <c r="D663" s="6">
        <v>2</v>
      </c>
      <c r="E663" s="6">
        <v>18</v>
      </c>
      <c r="F663" s="6" t="s">
        <v>1381</v>
      </c>
      <c r="G663" s="6" t="s">
        <v>1309</v>
      </c>
      <c r="H663" s="47" t="s">
        <v>1508</v>
      </c>
      <c r="I663" s="122" t="s">
        <v>1509</v>
      </c>
    </row>
    <row r="664" spans="1:9" x14ac:dyDescent="0.2">
      <c r="A664" s="6">
        <v>859</v>
      </c>
      <c r="B664" s="6" t="s">
        <v>1505</v>
      </c>
      <c r="C664" s="6">
        <v>17</v>
      </c>
      <c r="D664" s="6">
        <v>1</v>
      </c>
      <c r="E664" s="6">
        <v>24</v>
      </c>
      <c r="F664" s="6" t="s">
        <v>1381</v>
      </c>
      <c r="G664" s="6" t="s">
        <v>1386</v>
      </c>
      <c r="H664" s="47" t="s">
        <v>1510</v>
      </c>
      <c r="I664" s="122" t="s">
        <v>1511</v>
      </c>
    </row>
    <row r="665" spans="1:9" x14ac:dyDescent="0.2">
      <c r="A665" s="6">
        <v>860</v>
      </c>
      <c r="B665" s="6" t="s">
        <v>1505</v>
      </c>
      <c r="C665" s="6">
        <v>17</v>
      </c>
      <c r="D665" s="6">
        <v>1</v>
      </c>
      <c r="E665" s="6">
        <v>24</v>
      </c>
      <c r="F665" s="6" t="s">
        <v>1381</v>
      </c>
      <c r="G665" s="6" t="s">
        <v>187</v>
      </c>
      <c r="H665" s="47" t="s">
        <v>1512</v>
      </c>
      <c r="I665" s="122" t="s">
        <v>1513</v>
      </c>
    </row>
    <row r="666" spans="1:9" x14ac:dyDescent="0.2">
      <c r="A666" s="6">
        <v>861</v>
      </c>
      <c r="B666" s="6" t="s">
        <v>1505</v>
      </c>
      <c r="C666" s="6">
        <v>17</v>
      </c>
      <c r="D666" s="6">
        <v>1</v>
      </c>
      <c r="E666" s="6">
        <v>24</v>
      </c>
      <c r="F666" s="6" t="s">
        <v>1381</v>
      </c>
      <c r="G666" s="6" t="s">
        <v>187</v>
      </c>
      <c r="H666" s="47" t="s">
        <v>1514</v>
      </c>
      <c r="I666" s="122" t="s">
        <v>1515</v>
      </c>
    </row>
    <row r="667" spans="1:9" x14ac:dyDescent="0.2">
      <c r="A667" s="6">
        <v>862</v>
      </c>
      <c r="B667" s="6" t="s">
        <v>1505</v>
      </c>
      <c r="C667" s="6">
        <v>17</v>
      </c>
      <c r="D667" s="6">
        <v>1</v>
      </c>
      <c r="E667" s="6">
        <v>24</v>
      </c>
      <c r="F667" s="6" t="s">
        <v>1381</v>
      </c>
      <c r="G667" s="6" t="s">
        <v>187</v>
      </c>
      <c r="H667" s="47" t="s">
        <v>1516</v>
      </c>
      <c r="I667" s="122" t="s">
        <v>1517</v>
      </c>
    </row>
    <row r="668" spans="1:9" x14ac:dyDescent="0.2">
      <c r="A668" s="6">
        <v>863</v>
      </c>
      <c r="B668" s="6" t="s">
        <v>1505</v>
      </c>
      <c r="C668" s="6">
        <v>17</v>
      </c>
      <c r="D668" s="6">
        <v>1</v>
      </c>
      <c r="E668" s="6">
        <v>24</v>
      </c>
      <c r="F668" s="6" t="s">
        <v>1381</v>
      </c>
      <c r="G668" s="6" t="s">
        <v>187</v>
      </c>
      <c r="H668" s="47" t="s">
        <v>1518</v>
      </c>
      <c r="I668" s="122" t="s">
        <v>1519</v>
      </c>
    </row>
    <row r="669" spans="1:9" x14ac:dyDescent="0.2">
      <c r="A669" s="6">
        <v>864</v>
      </c>
      <c r="B669" s="6" t="s">
        <v>1505</v>
      </c>
      <c r="C669" s="6">
        <v>17</v>
      </c>
      <c r="D669" s="6">
        <v>1</v>
      </c>
      <c r="E669" s="6">
        <v>24</v>
      </c>
      <c r="F669" s="6" t="s">
        <v>1381</v>
      </c>
      <c r="G669" s="6" t="s">
        <v>187</v>
      </c>
      <c r="H669" s="47" t="s">
        <v>1520</v>
      </c>
      <c r="I669" s="122" t="s">
        <v>1521</v>
      </c>
    </row>
    <row r="670" spans="1:9" x14ac:dyDescent="0.2">
      <c r="A670" s="6">
        <v>865</v>
      </c>
      <c r="B670" s="6" t="s">
        <v>1505</v>
      </c>
      <c r="C670" s="6">
        <v>17</v>
      </c>
      <c r="D670" s="6">
        <v>1</v>
      </c>
      <c r="E670" s="6">
        <v>24</v>
      </c>
      <c r="F670" s="6" t="s">
        <v>1381</v>
      </c>
      <c r="G670" s="6" t="s">
        <v>187</v>
      </c>
      <c r="H670" s="47" t="s">
        <v>1522</v>
      </c>
      <c r="I670" s="122" t="s">
        <v>1523</v>
      </c>
    </row>
    <row r="671" spans="1:9" x14ac:dyDescent="0.2">
      <c r="A671" s="6">
        <v>866</v>
      </c>
      <c r="B671" s="6" t="s">
        <v>1505</v>
      </c>
      <c r="C671" s="6">
        <v>17</v>
      </c>
      <c r="D671" s="6">
        <v>1</v>
      </c>
      <c r="E671" s="6">
        <v>24</v>
      </c>
      <c r="F671" s="6" t="s">
        <v>1381</v>
      </c>
      <c r="G671" s="6" t="s">
        <v>187</v>
      </c>
      <c r="H671" s="47" t="s">
        <v>1524</v>
      </c>
      <c r="I671" s="122" t="s">
        <v>1525</v>
      </c>
    </row>
    <row r="672" spans="1:9" x14ac:dyDescent="0.2">
      <c r="A672" s="6">
        <v>867</v>
      </c>
      <c r="B672" s="6" t="s">
        <v>1505</v>
      </c>
      <c r="C672" s="6">
        <v>17</v>
      </c>
      <c r="D672" s="6">
        <v>1</v>
      </c>
      <c r="E672" s="6">
        <v>24</v>
      </c>
      <c r="F672" s="6" t="s">
        <v>1381</v>
      </c>
      <c r="G672" s="6" t="s">
        <v>187</v>
      </c>
      <c r="H672" s="47" t="s">
        <v>1526</v>
      </c>
      <c r="I672" s="122" t="s">
        <v>1527</v>
      </c>
    </row>
    <row r="673" spans="1:9" x14ac:dyDescent="0.2">
      <c r="A673" s="6">
        <v>868</v>
      </c>
      <c r="B673" s="6" t="s">
        <v>1505</v>
      </c>
      <c r="C673" s="6">
        <v>17</v>
      </c>
      <c r="D673" s="6">
        <v>1</v>
      </c>
      <c r="E673" s="6">
        <v>24</v>
      </c>
      <c r="F673" s="6" t="s">
        <v>1381</v>
      </c>
      <c r="G673" s="6" t="s">
        <v>187</v>
      </c>
      <c r="H673" s="47" t="s">
        <v>1512</v>
      </c>
      <c r="I673" s="122" t="s">
        <v>1528</v>
      </c>
    </row>
    <row r="674" spans="1:9" x14ac:dyDescent="0.2">
      <c r="A674" s="6">
        <v>869</v>
      </c>
      <c r="B674" s="6" t="s">
        <v>1505</v>
      </c>
      <c r="C674" s="6">
        <v>17</v>
      </c>
      <c r="D674" s="6">
        <v>1</v>
      </c>
      <c r="E674" s="6">
        <v>24</v>
      </c>
      <c r="F674" s="6" t="s">
        <v>1381</v>
      </c>
      <c r="G674" s="6" t="s">
        <v>187</v>
      </c>
      <c r="H674" s="47" t="s">
        <v>1514</v>
      </c>
      <c r="I674" s="122" t="s">
        <v>1529</v>
      </c>
    </row>
    <row r="675" spans="1:9" x14ac:dyDescent="0.2">
      <c r="A675" s="6">
        <v>870</v>
      </c>
      <c r="B675" s="6" t="s">
        <v>1505</v>
      </c>
      <c r="C675" s="6">
        <v>17</v>
      </c>
      <c r="D675" s="6">
        <v>1</v>
      </c>
      <c r="E675" s="6">
        <v>24</v>
      </c>
      <c r="F675" s="6" t="s">
        <v>1381</v>
      </c>
      <c r="G675" s="6" t="s">
        <v>187</v>
      </c>
      <c r="H675" s="47" t="s">
        <v>1530</v>
      </c>
      <c r="I675" s="122" t="s">
        <v>1531</v>
      </c>
    </row>
    <row r="676" spans="1:9" x14ac:dyDescent="0.2">
      <c r="A676" s="6">
        <v>871</v>
      </c>
      <c r="B676" s="6" t="s">
        <v>1505</v>
      </c>
      <c r="C676" s="6">
        <v>17</v>
      </c>
      <c r="D676" s="6">
        <v>1</v>
      </c>
      <c r="E676" s="6">
        <v>24</v>
      </c>
      <c r="F676" s="6" t="s">
        <v>1381</v>
      </c>
      <c r="G676" s="6" t="s">
        <v>187</v>
      </c>
      <c r="H676" s="47" t="s">
        <v>1532</v>
      </c>
      <c r="I676" s="122" t="s">
        <v>1533</v>
      </c>
    </row>
    <row r="677" spans="1:9" x14ac:dyDescent="0.2">
      <c r="A677" s="6">
        <v>872</v>
      </c>
      <c r="B677" s="6" t="s">
        <v>1505</v>
      </c>
      <c r="C677" s="6">
        <v>17</v>
      </c>
      <c r="D677" s="6">
        <v>1</v>
      </c>
      <c r="E677" s="6">
        <v>24</v>
      </c>
      <c r="F677" s="6" t="s">
        <v>1381</v>
      </c>
      <c r="G677" s="6" t="s">
        <v>187</v>
      </c>
      <c r="H677" s="47" t="s">
        <v>1534</v>
      </c>
      <c r="I677" s="122" t="s">
        <v>1535</v>
      </c>
    </row>
    <row r="678" spans="1:9" x14ac:dyDescent="0.2">
      <c r="A678" s="6">
        <v>873</v>
      </c>
      <c r="B678" s="6" t="s">
        <v>1505</v>
      </c>
      <c r="C678" s="6">
        <v>17</v>
      </c>
      <c r="D678" s="6">
        <v>1</v>
      </c>
      <c r="E678" s="6">
        <v>24</v>
      </c>
      <c r="F678" s="6" t="s">
        <v>1381</v>
      </c>
      <c r="G678" s="6" t="s">
        <v>187</v>
      </c>
      <c r="H678" s="47" t="s">
        <v>1536</v>
      </c>
      <c r="I678" s="122" t="s">
        <v>1537</v>
      </c>
    </row>
    <row r="679" spans="1:9" x14ac:dyDescent="0.2">
      <c r="A679" s="6">
        <v>874</v>
      </c>
      <c r="B679" s="6" t="s">
        <v>1505</v>
      </c>
      <c r="C679" s="6">
        <v>17</v>
      </c>
      <c r="D679" s="6">
        <v>1</v>
      </c>
      <c r="E679" s="6">
        <v>24</v>
      </c>
      <c r="F679" s="6" t="s">
        <v>1381</v>
      </c>
      <c r="G679" s="6" t="s">
        <v>187</v>
      </c>
      <c r="H679" s="47" t="s">
        <v>1538</v>
      </c>
      <c r="I679" s="122" t="s">
        <v>1539</v>
      </c>
    </row>
    <row r="680" spans="1:9" x14ac:dyDescent="0.2">
      <c r="A680" s="6">
        <v>875</v>
      </c>
      <c r="B680" s="6" t="s">
        <v>1505</v>
      </c>
      <c r="C680" s="6">
        <v>17</v>
      </c>
      <c r="D680" s="6">
        <v>1</v>
      </c>
      <c r="E680" s="6">
        <v>24</v>
      </c>
      <c r="F680" s="6" t="s">
        <v>1381</v>
      </c>
      <c r="G680" s="6" t="s">
        <v>187</v>
      </c>
      <c r="H680" s="47" t="s">
        <v>1540</v>
      </c>
      <c r="I680" s="122" t="s">
        <v>1541</v>
      </c>
    </row>
    <row r="681" spans="1:9" x14ac:dyDescent="0.2">
      <c r="A681" s="6">
        <v>876</v>
      </c>
      <c r="B681" s="6" t="s">
        <v>1505</v>
      </c>
      <c r="C681" s="6">
        <v>17</v>
      </c>
      <c r="D681" s="6">
        <v>1</v>
      </c>
      <c r="E681" s="6">
        <v>24</v>
      </c>
      <c r="F681" s="6" t="s">
        <v>1381</v>
      </c>
      <c r="G681" s="6" t="s">
        <v>1309</v>
      </c>
      <c r="H681" s="47" t="s">
        <v>1542</v>
      </c>
      <c r="I681" s="122" t="s">
        <v>1543</v>
      </c>
    </row>
    <row r="682" spans="1:9" x14ac:dyDescent="0.2">
      <c r="A682" s="6">
        <v>877</v>
      </c>
      <c r="B682" s="6" t="s">
        <v>1505</v>
      </c>
      <c r="C682" s="6">
        <v>17</v>
      </c>
      <c r="D682" s="6">
        <v>2</v>
      </c>
      <c r="E682" s="6">
        <v>24</v>
      </c>
      <c r="F682" s="6" t="s">
        <v>1381</v>
      </c>
      <c r="G682" s="6" t="s">
        <v>1386</v>
      </c>
      <c r="H682" s="47" t="s">
        <v>1544</v>
      </c>
      <c r="I682" s="122" t="s">
        <v>1545</v>
      </c>
    </row>
    <row r="683" spans="1:9" x14ac:dyDescent="0.2">
      <c r="A683" s="6">
        <v>878</v>
      </c>
      <c r="B683" s="6" t="s">
        <v>1505</v>
      </c>
      <c r="C683" s="6">
        <v>17</v>
      </c>
      <c r="D683" s="6">
        <v>2</v>
      </c>
      <c r="E683" s="6">
        <v>24</v>
      </c>
      <c r="F683" s="6" t="s">
        <v>1381</v>
      </c>
      <c r="G683" s="6" t="s">
        <v>187</v>
      </c>
      <c r="H683" s="47" t="s">
        <v>1546</v>
      </c>
      <c r="I683" s="122" t="s">
        <v>1547</v>
      </c>
    </row>
    <row r="684" spans="1:9" x14ac:dyDescent="0.2">
      <c r="A684" s="6">
        <v>879</v>
      </c>
      <c r="B684" s="6" t="s">
        <v>1505</v>
      </c>
      <c r="C684" s="6">
        <v>17</v>
      </c>
      <c r="D684" s="6">
        <v>2</v>
      </c>
      <c r="E684" s="6">
        <v>24</v>
      </c>
      <c r="F684" s="6" t="s">
        <v>1381</v>
      </c>
      <c r="G684" s="6" t="s">
        <v>187</v>
      </c>
      <c r="H684" s="47" t="s">
        <v>1548</v>
      </c>
      <c r="I684" s="122" t="s">
        <v>1549</v>
      </c>
    </row>
    <row r="685" spans="1:9" x14ac:dyDescent="0.2">
      <c r="A685" s="6">
        <v>880</v>
      </c>
      <c r="B685" s="6" t="s">
        <v>1505</v>
      </c>
      <c r="C685" s="6">
        <v>17</v>
      </c>
      <c r="D685" s="6">
        <v>2</v>
      </c>
      <c r="E685" s="6">
        <v>24</v>
      </c>
      <c r="F685" s="6" t="s">
        <v>1381</v>
      </c>
      <c r="G685" s="6" t="s">
        <v>187</v>
      </c>
      <c r="H685" s="47" t="s">
        <v>1550</v>
      </c>
      <c r="I685" s="122" t="s">
        <v>1551</v>
      </c>
    </row>
    <row r="686" spans="1:9" x14ac:dyDescent="0.2">
      <c r="A686" s="6">
        <v>881</v>
      </c>
      <c r="B686" s="6" t="s">
        <v>1505</v>
      </c>
      <c r="C686" s="6">
        <v>17</v>
      </c>
      <c r="D686" s="6">
        <v>2</v>
      </c>
      <c r="E686" s="6">
        <v>24</v>
      </c>
      <c r="F686" s="6" t="s">
        <v>1381</v>
      </c>
      <c r="G686" s="6" t="s">
        <v>187</v>
      </c>
      <c r="H686" s="47" t="s">
        <v>1552</v>
      </c>
      <c r="I686" s="122" t="s">
        <v>1553</v>
      </c>
    </row>
    <row r="687" spans="1:9" x14ac:dyDescent="0.2">
      <c r="A687" s="6">
        <v>882</v>
      </c>
      <c r="B687" s="6" t="s">
        <v>1505</v>
      </c>
      <c r="C687" s="6">
        <v>17</v>
      </c>
      <c r="D687" s="6">
        <v>2</v>
      </c>
      <c r="E687" s="6">
        <v>24</v>
      </c>
      <c r="F687" s="6" t="s">
        <v>1381</v>
      </c>
      <c r="G687" s="6" t="s">
        <v>187</v>
      </c>
      <c r="H687" s="47" t="s">
        <v>1546</v>
      </c>
      <c r="I687" s="122" t="s">
        <v>1554</v>
      </c>
    </row>
    <row r="688" spans="1:9" x14ac:dyDescent="0.2">
      <c r="A688" s="6">
        <v>883</v>
      </c>
      <c r="B688" s="6" t="s">
        <v>1505</v>
      </c>
      <c r="C688" s="6">
        <v>17</v>
      </c>
      <c r="D688" s="6">
        <v>2</v>
      </c>
      <c r="E688" s="6">
        <v>24</v>
      </c>
      <c r="F688" s="6" t="s">
        <v>1381</v>
      </c>
      <c r="G688" s="6" t="s">
        <v>187</v>
      </c>
      <c r="H688" s="47" t="s">
        <v>1548</v>
      </c>
      <c r="I688" s="122" t="s">
        <v>1555</v>
      </c>
    </row>
    <row r="689" spans="1:9" x14ac:dyDescent="0.2">
      <c r="A689" s="6">
        <v>884</v>
      </c>
      <c r="B689" s="6" t="s">
        <v>1505</v>
      </c>
      <c r="C689" s="6">
        <v>17</v>
      </c>
      <c r="D689" s="6">
        <v>2</v>
      </c>
      <c r="E689" s="6">
        <v>24</v>
      </c>
      <c r="F689" s="6" t="s">
        <v>1381</v>
      </c>
      <c r="G689" s="6" t="s">
        <v>187</v>
      </c>
      <c r="H689" s="47" t="s">
        <v>1556</v>
      </c>
      <c r="I689" s="122" t="s">
        <v>1557</v>
      </c>
    </row>
    <row r="690" spans="1:9" x14ac:dyDescent="0.2">
      <c r="A690" s="6">
        <v>885</v>
      </c>
      <c r="B690" s="6" t="s">
        <v>1505</v>
      </c>
      <c r="C690" s="6">
        <v>17</v>
      </c>
      <c r="D690" s="6">
        <v>2</v>
      </c>
      <c r="E690" s="6">
        <v>24</v>
      </c>
      <c r="F690" s="6" t="s">
        <v>1381</v>
      </c>
      <c r="G690" s="6" t="s">
        <v>187</v>
      </c>
      <c r="H690" s="47" t="s">
        <v>1558</v>
      </c>
      <c r="I690" s="122" t="s">
        <v>1559</v>
      </c>
    </row>
    <row r="691" spans="1:9" x14ac:dyDescent="0.2">
      <c r="A691" s="6">
        <v>886</v>
      </c>
      <c r="B691" s="6" t="s">
        <v>1505</v>
      </c>
      <c r="C691" s="6">
        <v>17</v>
      </c>
      <c r="D691" s="6">
        <v>2</v>
      </c>
      <c r="E691" s="6">
        <v>24</v>
      </c>
      <c r="F691" s="6" t="s">
        <v>1381</v>
      </c>
      <c r="G691" s="6" t="s">
        <v>187</v>
      </c>
      <c r="H691" s="47" t="s">
        <v>1560</v>
      </c>
      <c r="I691" s="122" t="s">
        <v>1561</v>
      </c>
    </row>
    <row r="692" spans="1:9" x14ac:dyDescent="0.2">
      <c r="A692" s="6">
        <v>887</v>
      </c>
      <c r="B692" s="6" t="s">
        <v>1505</v>
      </c>
      <c r="C692" s="6">
        <v>17</v>
      </c>
      <c r="D692" s="6">
        <v>2</v>
      </c>
      <c r="E692" s="6">
        <v>24</v>
      </c>
      <c r="F692" s="6" t="s">
        <v>1381</v>
      </c>
      <c r="G692" s="6" t="s">
        <v>187</v>
      </c>
      <c r="H692" s="47" t="s">
        <v>1562</v>
      </c>
      <c r="I692" s="122" t="s">
        <v>1563</v>
      </c>
    </row>
    <row r="693" spans="1:9" x14ac:dyDescent="0.2">
      <c r="A693" s="6">
        <v>888</v>
      </c>
      <c r="B693" s="6" t="s">
        <v>1505</v>
      </c>
      <c r="C693" s="6">
        <v>17</v>
      </c>
      <c r="D693" s="6">
        <v>2</v>
      </c>
      <c r="E693" s="6">
        <v>24</v>
      </c>
      <c r="F693" s="6" t="s">
        <v>1381</v>
      </c>
      <c r="G693" s="6" t="s">
        <v>187</v>
      </c>
      <c r="H693" s="47" t="s">
        <v>1564</v>
      </c>
      <c r="I693" s="122" t="s">
        <v>1565</v>
      </c>
    </row>
    <row r="694" spans="1:9" x14ac:dyDescent="0.2">
      <c r="A694" s="6">
        <v>889</v>
      </c>
      <c r="B694" s="6" t="s">
        <v>1505</v>
      </c>
      <c r="C694" s="6">
        <v>17</v>
      </c>
      <c r="D694" s="6">
        <v>3</v>
      </c>
      <c r="E694" s="6">
        <v>24</v>
      </c>
      <c r="F694" s="6" t="s">
        <v>1381</v>
      </c>
      <c r="G694" s="6" t="s">
        <v>1386</v>
      </c>
      <c r="H694" s="47" t="s">
        <v>1566</v>
      </c>
      <c r="I694" s="122" t="s">
        <v>1567</v>
      </c>
    </row>
    <row r="695" spans="1:9" x14ac:dyDescent="0.2">
      <c r="A695" s="6">
        <v>890</v>
      </c>
      <c r="B695" s="6" t="s">
        <v>1505</v>
      </c>
      <c r="C695" s="6">
        <v>17</v>
      </c>
      <c r="D695" s="6">
        <v>3</v>
      </c>
      <c r="E695" s="6">
        <v>24</v>
      </c>
      <c r="F695" s="6" t="s">
        <v>1381</v>
      </c>
      <c r="G695" s="6" t="s">
        <v>187</v>
      </c>
      <c r="H695" s="47" t="s">
        <v>1568</v>
      </c>
      <c r="I695" s="122" t="s">
        <v>1569</v>
      </c>
    </row>
    <row r="696" spans="1:9" x14ac:dyDescent="0.2">
      <c r="A696" s="6">
        <v>891</v>
      </c>
      <c r="B696" s="6" t="s">
        <v>1505</v>
      </c>
      <c r="C696" s="6">
        <v>17</v>
      </c>
      <c r="D696" s="6">
        <v>3</v>
      </c>
      <c r="E696" s="6">
        <v>24</v>
      </c>
      <c r="F696" s="6" t="s">
        <v>1381</v>
      </c>
      <c r="G696" s="6" t="s">
        <v>187</v>
      </c>
      <c r="H696" s="47" t="s">
        <v>1570</v>
      </c>
      <c r="I696" s="122" t="s">
        <v>1571</v>
      </c>
    </row>
    <row r="697" spans="1:9" x14ac:dyDescent="0.2">
      <c r="A697" s="6">
        <v>892</v>
      </c>
      <c r="B697" s="6" t="s">
        <v>1505</v>
      </c>
      <c r="C697" s="6">
        <v>17</v>
      </c>
      <c r="D697" s="6">
        <v>3</v>
      </c>
      <c r="E697" s="6">
        <v>24</v>
      </c>
      <c r="F697" s="6" t="s">
        <v>1381</v>
      </c>
      <c r="G697" s="6" t="s">
        <v>187</v>
      </c>
      <c r="H697" s="47" t="s">
        <v>1572</v>
      </c>
      <c r="I697" s="122" t="s">
        <v>1573</v>
      </c>
    </row>
    <row r="698" spans="1:9" x14ac:dyDescent="0.2">
      <c r="A698" s="6">
        <v>893</v>
      </c>
      <c r="B698" s="6" t="s">
        <v>1505</v>
      </c>
      <c r="C698" s="6">
        <v>17</v>
      </c>
      <c r="D698" s="6">
        <v>3</v>
      </c>
      <c r="E698" s="6">
        <v>24</v>
      </c>
      <c r="F698" s="6" t="s">
        <v>1381</v>
      </c>
      <c r="G698" s="6" t="s">
        <v>187</v>
      </c>
      <c r="H698" s="47" t="s">
        <v>1568</v>
      </c>
      <c r="I698" s="122" t="s">
        <v>1574</v>
      </c>
    </row>
    <row r="699" spans="1:9" x14ac:dyDescent="0.2">
      <c r="A699" s="6">
        <v>894</v>
      </c>
      <c r="B699" s="6" t="s">
        <v>1505</v>
      </c>
      <c r="C699" s="6">
        <v>17</v>
      </c>
      <c r="D699" s="6">
        <v>3</v>
      </c>
      <c r="E699" s="6">
        <v>24</v>
      </c>
      <c r="F699" s="6" t="s">
        <v>1381</v>
      </c>
      <c r="G699" s="6" t="s">
        <v>187</v>
      </c>
      <c r="H699" s="47" t="s">
        <v>1572</v>
      </c>
      <c r="I699" s="122" t="s">
        <v>1575</v>
      </c>
    </row>
    <row r="700" spans="1:9" x14ac:dyDescent="0.2">
      <c r="A700" s="6">
        <v>895</v>
      </c>
      <c r="B700" s="6" t="s">
        <v>1505</v>
      </c>
      <c r="C700" s="6">
        <v>17</v>
      </c>
      <c r="D700" s="6">
        <v>3</v>
      </c>
      <c r="E700" s="6">
        <v>24</v>
      </c>
      <c r="F700" s="6" t="s">
        <v>1381</v>
      </c>
      <c r="G700" s="6" t="s">
        <v>187</v>
      </c>
      <c r="H700" s="47" t="s">
        <v>1576</v>
      </c>
      <c r="I700" s="122" t="s">
        <v>1577</v>
      </c>
    </row>
    <row r="701" spans="1:9" x14ac:dyDescent="0.2">
      <c r="A701" s="6">
        <v>896</v>
      </c>
      <c r="B701" s="6" t="s">
        <v>1505</v>
      </c>
      <c r="C701" s="6">
        <v>17</v>
      </c>
      <c r="D701" s="6">
        <v>3</v>
      </c>
      <c r="E701" s="6">
        <v>24</v>
      </c>
      <c r="F701" s="6" t="s">
        <v>1381</v>
      </c>
      <c r="G701" s="6" t="s">
        <v>187</v>
      </c>
      <c r="H701" s="47" t="s">
        <v>1578</v>
      </c>
      <c r="I701" s="122" t="s">
        <v>1579</v>
      </c>
    </row>
    <row r="702" spans="1:9" x14ac:dyDescent="0.2">
      <c r="A702" s="6">
        <v>897</v>
      </c>
      <c r="B702" s="6" t="s">
        <v>1505</v>
      </c>
      <c r="C702" s="6">
        <v>17</v>
      </c>
      <c r="D702" s="6">
        <v>3</v>
      </c>
      <c r="E702" s="6">
        <v>24</v>
      </c>
      <c r="F702" s="6" t="s">
        <v>1381</v>
      </c>
      <c r="G702" s="6" t="s">
        <v>187</v>
      </c>
      <c r="H702" s="47" t="s">
        <v>1580</v>
      </c>
      <c r="I702" s="122" t="s">
        <v>1581</v>
      </c>
    </row>
    <row r="703" spans="1:9" x14ac:dyDescent="0.2">
      <c r="A703" s="6">
        <v>898</v>
      </c>
      <c r="B703" s="6" t="s">
        <v>1505</v>
      </c>
      <c r="C703" s="6">
        <v>17</v>
      </c>
      <c r="D703" s="6">
        <v>4</v>
      </c>
      <c r="E703" s="6">
        <v>24</v>
      </c>
      <c r="F703" s="6" t="s">
        <v>1381</v>
      </c>
      <c r="G703" s="6" t="s">
        <v>1386</v>
      </c>
      <c r="H703" s="47" t="s">
        <v>1582</v>
      </c>
      <c r="I703" s="122" t="s">
        <v>1583</v>
      </c>
    </row>
    <row r="704" spans="1:9" x14ac:dyDescent="0.2">
      <c r="A704" s="6">
        <v>899</v>
      </c>
      <c r="B704" s="6" t="s">
        <v>1505</v>
      </c>
      <c r="C704" s="6">
        <v>17</v>
      </c>
      <c r="D704" s="6">
        <v>4</v>
      </c>
      <c r="E704" s="6">
        <v>24</v>
      </c>
      <c r="F704" s="6" t="s">
        <v>1381</v>
      </c>
      <c r="G704" s="6" t="s">
        <v>187</v>
      </c>
      <c r="H704" s="47" t="s">
        <v>1584</v>
      </c>
      <c r="I704" s="122" t="s">
        <v>1585</v>
      </c>
    </row>
    <row r="705" spans="1:9" x14ac:dyDescent="0.2">
      <c r="A705" s="6">
        <v>900</v>
      </c>
      <c r="B705" s="6" t="s">
        <v>1505</v>
      </c>
      <c r="C705" s="6">
        <v>17</v>
      </c>
      <c r="D705" s="6">
        <v>4</v>
      </c>
      <c r="E705" s="6">
        <v>24</v>
      </c>
      <c r="F705" s="6" t="s">
        <v>1381</v>
      </c>
      <c r="G705" s="6" t="s">
        <v>187</v>
      </c>
      <c r="H705" s="47" t="s">
        <v>1586</v>
      </c>
      <c r="I705" s="122" t="s">
        <v>1587</v>
      </c>
    </row>
    <row r="706" spans="1:9" x14ac:dyDescent="0.2">
      <c r="A706" s="6">
        <v>901</v>
      </c>
      <c r="B706" s="6" t="s">
        <v>1505</v>
      </c>
      <c r="C706" s="6">
        <v>17</v>
      </c>
      <c r="D706" s="6">
        <v>4</v>
      </c>
      <c r="E706" s="6">
        <v>24</v>
      </c>
      <c r="F706" s="6" t="s">
        <v>1381</v>
      </c>
      <c r="G706" s="6" t="s">
        <v>187</v>
      </c>
      <c r="H706" s="47" t="s">
        <v>1584</v>
      </c>
      <c r="I706" s="122" t="s">
        <v>1588</v>
      </c>
    </row>
    <row r="707" spans="1:9" x14ac:dyDescent="0.2">
      <c r="A707" s="6">
        <v>902</v>
      </c>
      <c r="B707" s="6" t="s">
        <v>1505</v>
      </c>
      <c r="C707" s="6">
        <v>17</v>
      </c>
      <c r="D707" s="6">
        <v>4</v>
      </c>
      <c r="E707" s="6">
        <v>24</v>
      </c>
      <c r="F707" s="6" t="s">
        <v>1381</v>
      </c>
      <c r="G707" s="6" t="s">
        <v>187</v>
      </c>
      <c r="H707" s="47" t="s">
        <v>1586</v>
      </c>
      <c r="I707" s="122" t="s">
        <v>1589</v>
      </c>
    </row>
    <row r="708" spans="1:9" x14ac:dyDescent="0.2">
      <c r="A708" s="6">
        <v>903</v>
      </c>
      <c r="B708" s="6" t="s">
        <v>1505</v>
      </c>
      <c r="C708" s="6">
        <v>17</v>
      </c>
      <c r="D708" s="6">
        <v>4</v>
      </c>
      <c r="E708" s="6">
        <v>24</v>
      </c>
      <c r="F708" s="6" t="s">
        <v>1381</v>
      </c>
      <c r="G708" s="6" t="s">
        <v>187</v>
      </c>
      <c r="H708" s="47" t="s">
        <v>1590</v>
      </c>
      <c r="I708" s="122" t="s">
        <v>1591</v>
      </c>
    </row>
    <row r="709" spans="1:9" x14ac:dyDescent="0.2">
      <c r="A709" s="6">
        <v>904</v>
      </c>
      <c r="B709" s="6" t="s">
        <v>1505</v>
      </c>
      <c r="C709" s="6">
        <v>17</v>
      </c>
      <c r="D709" s="6">
        <v>4</v>
      </c>
      <c r="E709" s="6">
        <v>24</v>
      </c>
      <c r="F709" s="6" t="s">
        <v>1381</v>
      </c>
      <c r="G709" s="6" t="s">
        <v>187</v>
      </c>
      <c r="H709" s="47" t="s">
        <v>1592</v>
      </c>
      <c r="I709" s="122" t="s">
        <v>1593</v>
      </c>
    </row>
    <row r="710" spans="1:9" x14ac:dyDescent="0.2">
      <c r="A710" s="6">
        <v>905</v>
      </c>
      <c r="B710" s="6" t="s">
        <v>1505</v>
      </c>
      <c r="C710" s="6">
        <v>25</v>
      </c>
      <c r="D710" s="6">
        <v>1</v>
      </c>
      <c r="E710" s="6">
        <v>36</v>
      </c>
      <c r="F710" s="6" t="s">
        <v>1381</v>
      </c>
      <c r="G710" s="6" t="s">
        <v>187</v>
      </c>
      <c r="H710" s="47" t="s">
        <v>1594</v>
      </c>
      <c r="I710" s="122" t="s">
        <v>1595</v>
      </c>
    </row>
    <row r="711" spans="1:9" x14ac:dyDescent="0.2">
      <c r="A711" s="6">
        <v>906</v>
      </c>
      <c r="B711" s="6" t="s">
        <v>1505</v>
      </c>
      <c r="C711" s="6">
        <v>25</v>
      </c>
      <c r="D711" s="6">
        <v>1</v>
      </c>
      <c r="E711" s="6">
        <v>36</v>
      </c>
      <c r="F711" s="6" t="s">
        <v>1381</v>
      </c>
      <c r="G711" s="6" t="s">
        <v>187</v>
      </c>
      <c r="H711" s="47" t="s">
        <v>1596</v>
      </c>
      <c r="I711" s="122" t="s">
        <v>1597</v>
      </c>
    </row>
    <row r="712" spans="1:9" x14ac:dyDescent="0.2">
      <c r="A712" s="6">
        <v>907</v>
      </c>
      <c r="B712" s="6" t="s">
        <v>1505</v>
      </c>
      <c r="C712" s="6">
        <v>25</v>
      </c>
      <c r="D712" s="6">
        <v>1</v>
      </c>
      <c r="E712" s="6">
        <v>36</v>
      </c>
      <c r="F712" s="6" t="s">
        <v>1381</v>
      </c>
      <c r="G712" s="6" t="s">
        <v>187</v>
      </c>
      <c r="H712" s="47" t="s">
        <v>1598</v>
      </c>
      <c r="I712" s="122" t="s">
        <v>1599</v>
      </c>
    </row>
    <row r="713" spans="1:9" x14ac:dyDescent="0.2">
      <c r="A713" s="6">
        <v>908</v>
      </c>
      <c r="B713" s="6" t="s">
        <v>1505</v>
      </c>
      <c r="C713" s="6">
        <v>25</v>
      </c>
      <c r="D713" s="6">
        <v>1</v>
      </c>
      <c r="E713" s="6">
        <v>36</v>
      </c>
      <c r="F713" s="6" t="s">
        <v>1381</v>
      </c>
      <c r="G713" s="6" t="s">
        <v>187</v>
      </c>
      <c r="H713" s="47" t="s">
        <v>1600</v>
      </c>
      <c r="I713" s="122" t="s">
        <v>1601</v>
      </c>
    </row>
    <row r="714" spans="1:9" x14ac:dyDescent="0.2">
      <c r="A714" s="6">
        <v>909</v>
      </c>
      <c r="B714" s="6" t="s">
        <v>1505</v>
      </c>
      <c r="C714" s="6">
        <v>25</v>
      </c>
      <c r="D714" s="6">
        <v>1</v>
      </c>
      <c r="E714" s="6">
        <v>36</v>
      </c>
      <c r="F714" s="6" t="s">
        <v>1381</v>
      </c>
      <c r="G714" s="6" t="s">
        <v>187</v>
      </c>
      <c r="H714" s="47" t="s">
        <v>1602</v>
      </c>
      <c r="I714" s="122" t="s">
        <v>1603</v>
      </c>
    </row>
    <row r="715" spans="1:9" x14ac:dyDescent="0.2">
      <c r="A715" s="6">
        <v>910</v>
      </c>
      <c r="B715" s="6" t="s">
        <v>1505</v>
      </c>
      <c r="C715" s="6">
        <v>25</v>
      </c>
      <c r="D715" s="6">
        <v>1</v>
      </c>
      <c r="E715" s="6">
        <v>36</v>
      </c>
      <c r="F715" s="6" t="s">
        <v>1381</v>
      </c>
      <c r="G715" s="6" t="s">
        <v>187</v>
      </c>
      <c r="H715" s="47" t="s">
        <v>1604</v>
      </c>
      <c r="I715" s="122" t="s">
        <v>1605</v>
      </c>
    </row>
    <row r="716" spans="1:9" x14ac:dyDescent="0.2">
      <c r="A716" s="6">
        <v>911</v>
      </c>
      <c r="B716" s="6" t="s">
        <v>1505</v>
      </c>
      <c r="C716" s="6">
        <v>25</v>
      </c>
      <c r="D716" s="6">
        <v>1</v>
      </c>
      <c r="E716" s="6">
        <v>36</v>
      </c>
      <c r="F716" s="6" t="s">
        <v>1381</v>
      </c>
      <c r="G716" s="6" t="s">
        <v>187</v>
      </c>
      <c r="H716" s="47" t="s">
        <v>1606</v>
      </c>
      <c r="I716" s="122" t="s">
        <v>1607</v>
      </c>
    </row>
    <row r="717" spans="1:9" x14ac:dyDescent="0.2">
      <c r="A717" s="6">
        <v>912</v>
      </c>
      <c r="B717" s="6" t="s">
        <v>1505</v>
      </c>
      <c r="C717" s="6">
        <v>25</v>
      </c>
      <c r="D717" s="6">
        <v>1</v>
      </c>
      <c r="E717" s="6">
        <v>36</v>
      </c>
      <c r="F717" s="6" t="s">
        <v>1381</v>
      </c>
      <c r="G717" s="6" t="s">
        <v>187</v>
      </c>
      <c r="H717" s="47" t="s">
        <v>1608</v>
      </c>
      <c r="I717" s="122" t="s">
        <v>1609</v>
      </c>
    </row>
    <row r="718" spans="1:9" x14ac:dyDescent="0.2">
      <c r="A718" s="6">
        <v>913</v>
      </c>
      <c r="B718" s="6" t="s">
        <v>1505</v>
      </c>
      <c r="C718" s="6">
        <v>25</v>
      </c>
      <c r="D718" s="6">
        <v>1</v>
      </c>
      <c r="E718" s="6">
        <v>36</v>
      </c>
      <c r="F718" s="6" t="s">
        <v>1381</v>
      </c>
      <c r="G718" s="6" t="s">
        <v>187</v>
      </c>
      <c r="H718" s="47" t="s">
        <v>1610</v>
      </c>
      <c r="I718" s="122" t="s">
        <v>1611</v>
      </c>
    </row>
    <row r="719" spans="1:9" x14ac:dyDescent="0.2">
      <c r="A719" s="6">
        <v>914</v>
      </c>
      <c r="B719" s="6" t="s">
        <v>1505</v>
      </c>
      <c r="C719" s="6">
        <v>25</v>
      </c>
      <c r="D719" s="6">
        <v>1</v>
      </c>
      <c r="E719" s="6">
        <v>36</v>
      </c>
      <c r="F719" s="6" t="s">
        <v>1381</v>
      </c>
      <c r="G719" s="6" t="s">
        <v>187</v>
      </c>
      <c r="H719" s="47" t="s">
        <v>1612</v>
      </c>
      <c r="I719" s="122" t="s">
        <v>1613</v>
      </c>
    </row>
    <row r="720" spans="1:9" x14ac:dyDescent="0.2">
      <c r="A720" s="6">
        <v>915</v>
      </c>
      <c r="B720" s="6" t="s">
        <v>1505</v>
      </c>
      <c r="C720" s="6">
        <v>25</v>
      </c>
      <c r="D720" s="6">
        <v>1</v>
      </c>
      <c r="E720" s="6">
        <v>36</v>
      </c>
      <c r="F720" s="6" t="s">
        <v>1381</v>
      </c>
      <c r="G720" s="6" t="s">
        <v>187</v>
      </c>
      <c r="H720" s="47" t="s">
        <v>1594</v>
      </c>
      <c r="I720" s="122" t="s">
        <v>1614</v>
      </c>
    </row>
    <row r="721" spans="1:9" x14ac:dyDescent="0.2">
      <c r="A721" s="6">
        <v>916</v>
      </c>
      <c r="B721" s="6" t="s">
        <v>1505</v>
      </c>
      <c r="C721" s="6">
        <v>25</v>
      </c>
      <c r="D721" s="6">
        <v>1</v>
      </c>
      <c r="E721" s="6">
        <v>36</v>
      </c>
      <c r="F721" s="6" t="s">
        <v>1381</v>
      </c>
      <c r="G721" s="6" t="s">
        <v>187</v>
      </c>
      <c r="H721" s="47" t="s">
        <v>1598</v>
      </c>
      <c r="I721" s="122" t="s">
        <v>1615</v>
      </c>
    </row>
    <row r="722" spans="1:9" x14ac:dyDescent="0.2">
      <c r="A722" s="6">
        <v>917</v>
      </c>
      <c r="B722" s="6" t="s">
        <v>1505</v>
      </c>
      <c r="C722" s="6">
        <v>25</v>
      </c>
      <c r="D722" s="6">
        <v>1</v>
      </c>
      <c r="E722" s="6">
        <v>36</v>
      </c>
      <c r="F722" s="6" t="s">
        <v>1381</v>
      </c>
      <c r="G722" s="6" t="s">
        <v>187</v>
      </c>
      <c r="H722" s="47" t="s">
        <v>1600</v>
      </c>
      <c r="I722" s="122" t="s">
        <v>1616</v>
      </c>
    </row>
    <row r="723" spans="1:9" x14ac:dyDescent="0.2">
      <c r="A723" s="6">
        <v>918</v>
      </c>
      <c r="B723" s="6" t="s">
        <v>1505</v>
      </c>
      <c r="C723" s="6">
        <v>25</v>
      </c>
      <c r="D723" s="6">
        <v>1</v>
      </c>
      <c r="E723" s="6">
        <v>36</v>
      </c>
      <c r="F723" s="6" t="s">
        <v>1381</v>
      </c>
      <c r="G723" s="6" t="s">
        <v>187</v>
      </c>
      <c r="H723" s="47" t="s">
        <v>1604</v>
      </c>
      <c r="I723" s="122" t="s">
        <v>1617</v>
      </c>
    </row>
    <row r="724" spans="1:9" x14ac:dyDescent="0.2">
      <c r="A724" s="6">
        <v>919</v>
      </c>
      <c r="B724" s="6" t="s">
        <v>1505</v>
      </c>
      <c r="C724" s="6">
        <v>25</v>
      </c>
      <c r="D724" s="6">
        <v>1</v>
      </c>
      <c r="E724" s="6">
        <v>36</v>
      </c>
      <c r="F724" s="6" t="s">
        <v>1381</v>
      </c>
      <c r="G724" s="6" t="s">
        <v>187</v>
      </c>
      <c r="H724" s="47" t="s">
        <v>1608</v>
      </c>
      <c r="I724" s="122" t="s">
        <v>1618</v>
      </c>
    </row>
    <row r="725" spans="1:9" x14ac:dyDescent="0.2">
      <c r="A725" s="6">
        <v>920</v>
      </c>
      <c r="B725" s="6" t="s">
        <v>1505</v>
      </c>
      <c r="C725" s="6">
        <v>25</v>
      </c>
      <c r="D725" s="6">
        <v>1</v>
      </c>
      <c r="E725" s="6">
        <v>36</v>
      </c>
      <c r="F725" s="6" t="s">
        <v>1381</v>
      </c>
      <c r="G725" s="6" t="s">
        <v>187</v>
      </c>
      <c r="H725" s="47" t="s">
        <v>1612</v>
      </c>
      <c r="I725" s="122" t="s">
        <v>1619</v>
      </c>
    </row>
    <row r="726" spans="1:9" x14ac:dyDescent="0.2">
      <c r="A726" s="6">
        <v>921</v>
      </c>
      <c r="B726" s="6" t="s">
        <v>1505</v>
      </c>
      <c r="C726" s="6">
        <v>25</v>
      </c>
      <c r="D726" s="6">
        <v>1</v>
      </c>
      <c r="E726" s="6">
        <v>36</v>
      </c>
      <c r="F726" s="6" t="s">
        <v>1381</v>
      </c>
      <c r="G726" s="6" t="s">
        <v>187</v>
      </c>
      <c r="H726" s="47" t="s">
        <v>1620</v>
      </c>
      <c r="I726" s="122" t="s">
        <v>1621</v>
      </c>
    </row>
    <row r="727" spans="1:9" x14ac:dyDescent="0.2">
      <c r="A727" s="6">
        <v>922</v>
      </c>
      <c r="B727" s="6" t="s">
        <v>1505</v>
      </c>
      <c r="C727" s="6">
        <v>25</v>
      </c>
      <c r="D727" s="6">
        <v>1</v>
      </c>
      <c r="E727" s="6">
        <v>36</v>
      </c>
      <c r="F727" s="6" t="s">
        <v>1381</v>
      </c>
      <c r="G727" s="6" t="s">
        <v>187</v>
      </c>
      <c r="H727" s="47" t="s">
        <v>1622</v>
      </c>
      <c r="I727" s="122" t="s">
        <v>1623</v>
      </c>
    </row>
    <row r="728" spans="1:9" x14ac:dyDescent="0.2">
      <c r="A728" s="6">
        <v>923</v>
      </c>
      <c r="B728" s="6" t="s">
        <v>1505</v>
      </c>
      <c r="C728" s="6">
        <v>25</v>
      </c>
      <c r="D728" s="6">
        <v>1</v>
      </c>
      <c r="E728" s="6">
        <v>36</v>
      </c>
      <c r="F728" s="6" t="s">
        <v>1381</v>
      </c>
      <c r="G728" s="6" t="s">
        <v>187</v>
      </c>
      <c r="H728" s="47" t="s">
        <v>1624</v>
      </c>
      <c r="I728" s="122" t="s">
        <v>1625</v>
      </c>
    </row>
    <row r="729" spans="1:9" x14ac:dyDescent="0.2">
      <c r="A729" s="6">
        <v>924</v>
      </c>
      <c r="B729" s="6" t="s">
        <v>1505</v>
      </c>
      <c r="C729" s="6">
        <v>25</v>
      </c>
      <c r="D729" s="6">
        <v>1</v>
      </c>
      <c r="E729" s="6">
        <v>36</v>
      </c>
      <c r="F729" s="6" t="s">
        <v>1381</v>
      </c>
      <c r="G729" s="6" t="s">
        <v>187</v>
      </c>
      <c r="H729" s="47" t="s">
        <v>1626</v>
      </c>
      <c r="I729" s="122" t="s">
        <v>1627</v>
      </c>
    </row>
    <row r="730" spans="1:9" x14ac:dyDescent="0.2">
      <c r="A730" s="6">
        <v>925</v>
      </c>
      <c r="B730" s="6" t="s">
        <v>1505</v>
      </c>
      <c r="C730" s="6">
        <v>25</v>
      </c>
      <c r="D730" s="6">
        <v>1</v>
      </c>
      <c r="E730" s="6">
        <v>36</v>
      </c>
      <c r="F730" s="6" t="s">
        <v>1381</v>
      </c>
      <c r="G730" s="6" t="s">
        <v>187</v>
      </c>
      <c r="H730" s="47" t="s">
        <v>1628</v>
      </c>
      <c r="I730" s="122" t="s">
        <v>1629</v>
      </c>
    </row>
    <row r="731" spans="1:9" x14ac:dyDescent="0.2">
      <c r="A731" s="6">
        <v>926</v>
      </c>
      <c r="B731" s="6" t="s">
        <v>1505</v>
      </c>
      <c r="C731" s="6">
        <v>25</v>
      </c>
      <c r="D731" s="6">
        <v>1</v>
      </c>
      <c r="E731" s="6">
        <v>36</v>
      </c>
      <c r="F731" s="6" t="s">
        <v>1381</v>
      </c>
      <c r="G731" s="6" t="s">
        <v>187</v>
      </c>
      <c r="H731" s="47" t="s">
        <v>1630</v>
      </c>
      <c r="I731" s="122" t="s">
        <v>1631</v>
      </c>
    </row>
    <row r="732" spans="1:9" x14ac:dyDescent="0.2">
      <c r="A732" s="6">
        <v>927</v>
      </c>
      <c r="B732" s="6" t="s">
        <v>1505</v>
      </c>
      <c r="C732" s="6">
        <v>25</v>
      </c>
      <c r="D732" s="6">
        <v>2</v>
      </c>
      <c r="E732" s="6">
        <v>36</v>
      </c>
      <c r="F732" s="6" t="s">
        <v>1381</v>
      </c>
      <c r="G732" s="6" t="s">
        <v>187</v>
      </c>
      <c r="H732" s="47" t="s">
        <v>1632</v>
      </c>
      <c r="I732" s="122" t="s">
        <v>1633</v>
      </c>
    </row>
    <row r="733" spans="1:9" x14ac:dyDescent="0.2">
      <c r="A733" s="6">
        <v>928</v>
      </c>
      <c r="B733" s="6" t="s">
        <v>1505</v>
      </c>
      <c r="C733" s="6">
        <v>25</v>
      </c>
      <c r="D733" s="6">
        <v>2</v>
      </c>
      <c r="E733" s="6">
        <v>36</v>
      </c>
      <c r="F733" s="6" t="s">
        <v>1381</v>
      </c>
      <c r="G733" s="6" t="s">
        <v>187</v>
      </c>
      <c r="H733" s="47" t="s">
        <v>1634</v>
      </c>
      <c r="I733" s="122" t="s">
        <v>1635</v>
      </c>
    </row>
    <row r="734" spans="1:9" x14ac:dyDescent="0.2">
      <c r="A734" s="6">
        <v>929</v>
      </c>
      <c r="B734" s="6" t="s">
        <v>1505</v>
      </c>
      <c r="C734" s="6">
        <v>25</v>
      </c>
      <c r="D734" s="6">
        <v>2</v>
      </c>
      <c r="E734" s="6">
        <v>36</v>
      </c>
      <c r="F734" s="6" t="s">
        <v>1381</v>
      </c>
      <c r="G734" s="6" t="s">
        <v>187</v>
      </c>
      <c r="H734" s="47" t="s">
        <v>1636</v>
      </c>
      <c r="I734" s="122" t="s">
        <v>1637</v>
      </c>
    </row>
    <row r="735" spans="1:9" x14ac:dyDescent="0.2">
      <c r="A735" s="6">
        <v>930</v>
      </c>
      <c r="B735" s="6" t="s">
        <v>1505</v>
      </c>
      <c r="C735" s="6">
        <v>25</v>
      </c>
      <c r="D735" s="6">
        <v>2</v>
      </c>
      <c r="E735" s="6">
        <v>36</v>
      </c>
      <c r="F735" s="6" t="s">
        <v>1381</v>
      </c>
      <c r="G735" s="6" t="s">
        <v>187</v>
      </c>
      <c r="H735" s="47" t="s">
        <v>1638</v>
      </c>
      <c r="I735" s="122" t="s">
        <v>1639</v>
      </c>
    </row>
    <row r="736" spans="1:9" x14ac:dyDescent="0.2">
      <c r="A736" s="6">
        <v>931</v>
      </c>
      <c r="B736" s="6" t="s">
        <v>1505</v>
      </c>
      <c r="C736" s="6">
        <v>25</v>
      </c>
      <c r="D736" s="6">
        <v>2</v>
      </c>
      <c r="E736" s="6">
        <v>36</v>
      </c>
      <c r="F736" s="6" t="s">
        <v>1381</v>
      </c>
      <c r="G736" s="6" t="s">
        <v>187</v>
      </c>
      <c r="H736" s="47" t="s">
        <v>1640</v>
      </c>
      <c r="I736" s="122" t="s">
        <v>1641</v>
      </c>
    </row>
    <row r="737" spans="1:9" x14ac:dyDescent="0.2">
      <c r="A737" s="6">
        <v>932</v>
      </c>
      <c r="B737" s="6" t="s">
        <v>1505</v>
      </c>
      <c r="C737" s="6">
        <v>25</v>
      </c>
      <c r="D737" s="6">
        <v>2</v>
      </c>
      <c r="E737" s="6">
        <v>36</v>
      </c>
      <c r="F737" s="6" t="s">
        <v>1381</v>
      </c>
      <c r="G737" s="6" t="s">
        <v>187</v>
      </c>
      <c r="H737" s="47" t="s">
        <v>1642</v>
      </c>
      <c r="I737" s="122" t="s">
        <v>1643</v>
      </c>
    </row>
    <row r="738" spans="1:9" x14ac:dyDescent="0.2">
      <c r="A738" s="6">
        <v>933</v>
      </c>
      <c r="B738" s="6" t="s">
        <v>1505</v>
      </c>
      <c r="C738" s="6">
        <v>25</v>
      </c>
      <c r="D738" s="6">
        <v>2</v>
      </c>
      <c r="E738" s="6">
        <v>36</v>
      </c>
      <c r="F738" s="6" t="s">
        <v>1381</v>
      </c>
      <c r="G738" s="6" t="s">
        <v>187</v>
      </c>
      <c r="H738" s="47" t="s">
        <v>1632</v>
      </c>
      <c r="I738" s="122" t="s">
        <v>1644</v>
      </c>
    </row>
    <row r="739" spans="1:9" x14ac:dyDescent="0.2">
      <c r="A739" s="6">
        <v>934</v>
      </c>
      <c r="B739" s="6" t="s">
        <v>1505</v>
      </c>
      <c r="C739" s="6">
        <v>25</v>
      </c>
      <c r="D739" s="6">
        <v>2</v>
      </c>
      <c r="E739" s="6">
        <v>36</v>
      </c>
      <c r="F739" s="6" t="s">
        <v>1381</v>
      </c>
      <c r="G739" s="6" t="s">
        <v>187</v>
      </c>
      <c r="H739" s="47" t="s">
        <v>1636</v>
      </c>
      <c r="I739" s="122" t="s">
        <v>1645</v>
      </c>
    </row>
    <row r="740" spans="1:9" x14ac:dyDescent="0.2">
      <c r="A740" s="6">
        <v>935</v>
      </c>
      <c r="B740" s="6" t="s">
        <v>1505</v>
      </c>
      <c r="C740" s="6">
        <v>25</v>
      </c>
      <c r="D740" s="6">
        <v>2</v>
      </c>
      <c r="E740" s="6">
        <v>36</v>
      </c>
      <c r="F740" s="6" t="s">
        <v>1381</v>
      </c>
      <c r="G740" s="6" t="s">
        <v>187</v>
      </c>
      <c r="H740" s="47" t="s">
        <v>1642</v>
      </c>
      <c r="I740" s="122" t="s">
        <v>1646</v>
      </c>
    </row>
    <row r="741" spans="1:9" x14ac:dyDescent="0.2">
      <c r="A741" s="6">
        <v>936</v>
      </c>
      <c r="B741" s="6" t="s">
        <v>1505</v>
      </c>
      <c r="C741" s="6">
        <v>25</v>
      </c>
      <c r="D741" s="6">
        <v>2</v>
      </c>
      <c r="E741" s="6">
        <v>36</v>
      </c>
      <c r="F741" s="6" t="s">
        <v>1381</v>
      </c>
      <c r="G741" s="6" t="s">
        <v>187</v>
      </c>
      <c r="H741" s="47" t="s">
        <v>1647</v>
      </c>
      <c r="I741" s="122" t="s">
        <v>1648</v>
      </c>
    </row>
    <row r="742" spans="1:9" x14ac:dyDescent="0.2">
      <c r="A742" s="6">
        <v>937</v>
      </c>
      <c r="B742" s="6" t="s">
        <v>1505</v>
      </c>
      <c r="C742" s="6">
        <v>25</v>
      </c>
      <c r="D742" s="6">
        <v>2</v>
      </c>
      <c r="E742" s="6">
        <v>36</v>
      </c>
      <c r="F742" s="6" t="s">
        <v>1381</v>
      </c>
      <c r="G742" s="6" t="s">
        <v>187</v>
      </c>
      <c r="H742" s="47" t="s">
        <v>1649</v>
      </c>
      <c r="I742" s="122" t="s">
        <v>1650</v>
      </c>
    </row>
    <row r="743" spans="1:9" x14ac:dyDescent="0.2">
      <c r="A743" s="6">
        <v>938</v>
      </c>
      <c r="B743" s="6" t="s">
        <v>1505</v>
      </c>
      <c r="C743" s="6">
        <v>25</v>
      </c>
      <c r="D743" s="6">
        <v>2</v>
      </c>
      <c r="E743" s="6">
        <v>36</v>
      </c>
      <c r="F743" s="6" t="s">
        <v>1381</v>
      </c>
      <c r="G743" s="6" t="s">
        <v>187</v>
      </c>
      <c r="H743" s="47" t="s">
        <v>1651</v>
      </c>
      <c r="I743" s="122" t="s">
        <v>1652</v>
      </c>
    </row>
    <row r="744" spans="1:9" x14ac:dyDescent="0.2">
      <c r="A744" s="6">
        <v>939</v>
      </c>
      <c r="B744" s="6" t="s">
        <v>1505</v>
      </c>
      <c r="C744" s="6">
        <v>25</v>
      </c>
      <c r="D744" s="6">
        <v>2</v>
      </c>
      <c r="E744" s="6">
        <v>36</v>
      </c>
      <c r="F744" s="6" t="s">
        <v>1381</v>
      </c>
      <c r="G744" s="6" t="s">
        <v>187</v>
      </c>
      <c r="H744" s="47" t="s">
        <v>1653</v>
      </c>
      <c r="I744" s="122" t="s">
        <v>1654</v>
      </c>
    </row>
    <row r="745" spans="1:9" x14ac:dyDescent="0.2">
      <c r="A745" s="6">
        <v>940</v>
      </c>
      <c r="B745" s="6" t="s">
        <v>1505</v>
      </c>
      <c r="C745" s="6">
        <v>25</v>
      </c>
      <c r="D745" s="6">
        <v>2</v>
      </c>
      <c r="E745" s="6">
        <v>36</v>
      </c>
      <c r="F745" s="6" t="s">
        <v>1381</v>
      </c>
      <c r="G745" s="6" t="s">
        <v>187</v>
      </c>
      <c r="H745" s="47" t="s">
        <v>1655</v>
      </c>
      <c r="I745" s="122" t="s">
        <v>1656</v>
      </c>
    </row>
    <row r="746" spans="1:9" x14ac:dyDescent="0.2">
      <c r="A746" s="6">
        <v>941</v>
      </c>
      <c r="B746" s="6" t="s">
        <v>1505</v>
      </c>
      <c r="C746" s="6">
        <v>25</v>
      </c>
      <c r="D746" s="6">
        <v>3</v>
      </c>
      <c r="E746" s="6">
        <v>36</v>
      </c>
      <c r="F746" s="6" t="s">
        <v>1381</v>
      </c>
      <c r="G746" s="6" t="s">
        <v>187</v>
      </c>
      <c r="H746" s="47" t="s">
        <v>1657</v>
      </c>
      <c r="I746" s="122" t="s">
        <v>1658</v>
      </c>
    </row>
    <row r="747" spans="1:9" x14ac:dyDescent="0.2">
      <c r="A747" s="6">
        <v>942</v>
      </c>
      <c r="B747" s="6" t="s">
        <v>1505</v>
      </c>
      <c r="C747" s="6">
        <v>25</v>
      </c>
      <c r="D747" s="6">
        <v>3</v>
      </c>
      <c r="E747" s="6">
        <v>36</v>
      </c>
      <c r="F747" s="6" t="s">
        <v>1381</v>
      </c>
      <c r="G747" s="6" t="s">
        <v>187</v>
      </c>
      <c r="H747" s="47" t="s">
        <v>1659</v>
      </c>
      <c r="I747" s="122" t="s">
        <v>1660</v>
      </c>
    </row>
    <row r="748" spans="1:9" x14ac:dyDescent="0.2">
      <c r="A748" s="6">
        <v>943</v>
      </c>
      <c r="B748" s="6" t="s">
        <v>1505</v>
      </c>
      <c r="C748" s="6">
        <v>25</v>
      </c>
      <c r="D748" s="6">
        <v>3</v>
      </c>
      <c r="E748" s="6">
        <v>36</v>
      </c>
      <c r="F748" s="6" t="s">
        <v>1381</v>
      </c>
      <c r="G748" s="6" t="s">
        <v>187</v>
      </c>
      <c r="H748" s="47" t="s">
        <v>1657</v>
      </c>
      <c r="I748" s="122" t="s">
        <v>1661</v>
      </c>
    </row>
    <row r="749" spans="1:9" x14ac:dyDescent="0.2">
      <c r="A749" s="6">
        <v>944</v>
      </c>
      <c r="B749" s="6" t="s">
        <v>1505</v>
      </c>
      <c r="C749" s="6">
        <v>25</v>
      </c>
      <c r="D749" s="6">
        <v>3</v>
      </c>
      <c r="E749" s="6">
        <v>36</v>
      </c>
      <c r="F749" s="6" t="s">
        <v>1381</v>
      </c>
      <c r="G749" s="6" t="s">
        <v>187</v>
      </c>
      <c r="H749" s="47" t="s">
        <v>1659</v>
      </c>
      <c r="I749" s="122" t="s">
        <v>1662</v>
      </c>
    </row>
    <row r="750" spans="1:9" x14ac:dyDescent="0.2">
      <c r="A750" s="6">
        <v>945</v>
      </c>
      <c r="B750" s="6" t="s">
        <v>1505</v>
      </c>
      <c r="C750" s="6">
        <v>25</v>
      </c>
      <c r="D750" s="6">
        <v>3</v>
      </c>
      <c r="E750" s="6">
        <v>36</v>
      </c>
      <c r="F750" s="6" t="s">
        <v>1381</v>
      </c>
      <c r="G750" s="6" t="s">
        <v>187</v>
      </c>
      <c r="H750" s="47" t="s">
        <v>1663</v>
      </c>
      <c r="I750" s="122" t="s">
        <v>1664</v>
      </c>
    </row>
    <row r="751" spans="1:9" x14ac:dyDescent="0.2">
      <c r="A751" s="6">
        <v>946</v>
      </c>
      <c r="B751" s="6" t="s">
        <v>1505</v>
      </c>
      <c r="C751" s="6">
        <v>25</v>
      </c>
      <c r="D751" s="6">
        <v>3</v>
      </c>
      <c r="E751" s="6">
        <v>36</v>
      </c>
      <c r="F751" s="6" t="s">
        <v>1381</v>
      </c>
      <c r="G751" s="6" t="s">
        <v>187</v>
      </c>
      <c r="H751" s="47" t="s">
        <v>1665</v>
      </c>
      <c r="I751" s="122" t="s">
        <v>1666</v>
      </c>
    </row>
    <row r="752" spans="1:9" x14ac:dyDescent="0.2">
      <c r="A752" s="6">
        <v>947</v>
      </c>
      <c r="B752" s="6" t="s">
        <v>1505</v>
      </c>
      <c r="C752" s="6">
        <v>25</v>
      </c>
      <c r="D752" s="6">
        <v>4</v>
      </c>
      <c r="E752" s="6">
        <v>36</v>
      </c>
      <c r="F752" s="6" t="s">
        <v>1381</v>
      </c>
      <c r="G752" s="6" t="s">
        <v>187</v>
      </c>
      <c r="H752" s="47" t="s">
        <v>1667</v>
      </c>
      <c r="I752" s="122" t="s">
        <v>1668</v>
      </c>
    </row>
    <row r="753" spans="1:9" x14ac:dyDescent="0.2">
      <c r="A753" s="6">
        <v>948</v>
      </c>
      <c r="B753" s="6" t="s">
        <v>1505</v>
      </c>
      <c r="C753" s="6">
        <v>25</v>
      </c>
      <c r="D753" s="6">
        <v>4</v>
      </c>
      <c r="E753" s="6">
        <v>36</v>
      </c>
      <c r="F753" s="6" t="s">
        <v>1381</v>
      </c>
      <c r="G753" s="6" t="s">
        <v>187</v>
      </c>
      <c r="H753" s="47" t="s">
        <v>1669</v>
      </c>
      <c r="I753" s="122" t="s">
        <v>1670</v>
      </c>
    </row>
    <row r="754" spans="1:9" x14ac:dyDescent="0.2">
      <c r="A754" s="6">
        <v>949</v>
      </c>
      <c r="B754" s="6" t="s">
        <v>1505</v>
      </c>
      <c r="C754" s="6">
        <v>25</v>
      </c>
      <c r="D754" s="6">
        <v>4</v>
      </c>
      <c r="E754" s="6">
        <v>36</v>
      </c>
      <c r="F754" s="6" t="s">
        <v>1381</v>
      </c>
      <c r="G754" s="6" t="s">
        <v>187</v>
      </c>
      <c r="H754" s="47" t="s">
        <v>1671</v>
      </c>
      <c r="I754" s="122" t="s">
        <v>1672</v>
      </c>
    </row>
    <row r="755" spans="1:9" x14ac:dyDescent="0.2">
      <c r="A755" s="6">
        <v>950</v>
      </c>
      <c r="B755" s="6" t="s">
        <v>1505</v>
      </c>
      <c r="C755" s="6">
        <v>25</v>
      </c>
      <c r="D755" s="6">
        <v>4</v>
      </c>
      <c r="E755" s="6">
        <v>36</v>
      </c>
      <c r="F755" s="6" t="s">
        <v>1381</v>
      </c>
      <c r="G755" s="6" t="s">
        <v>187</v>
      </c>
      <c r="H755" s="47" t="s">
        <v>1667</v>
      </c>
      <c r="I755" s="122" t="s">
        <v>1673</v>
      </c>
    </row>
    <row r="756" spans="1:9" x14ac:dyDescent="0.2">
      <c r="A756" s="6">
        <v>951</v>
      </c>
      <c r="B756" s="6" t="s">
        <v>1505</v>
      </c>
      <c r="C756" s="6">
        <v>25</v>
      </c>
      <c r="D756" s="6">
        <v>4</v>
      </c>
      <c r="E756" s="6">
        <v>36</v>
      </c>
      <c r="F756" s="6" t="s">
        <v>1381</v>
      </c>
      <c r="G756" s="6" t="s">
        <v>187</v>
      </c>
      <c r="H756" s="47" t="s">
        <v>1669</v>
      </c>
      <c r="I756" s="122" t="s">
        <v>1674</v>
      </c>
    </row>
    <row r="757" spans="1:9" x14ac:dyDescent="0.2">
      <c r="A757" s="6">
        <v>952</v>
      </c>
      <c r="B757" s="6" t="s">
        <v>1505</v>
      </c>
      <c r="C757" s="6">
        <v>25</v>
      </c>
      <c r="D757" s="6">
        <v>4</v>
      </c>
      <c r="E757" s="6">
        <v>36</v>
      </c>
      <c r="F757" s="6" t="s">
        <v>1381</v>
      </c>
      <c r="G757" s="6" t="s">
        <v>187</v>
      </c>
      <c r="H757" s="47" t="s">
        <v>1675</v>
      </c>
      <c r="I757" s="122" t="s">
        <v>1676</v>
      </c>
    </row>
    <row r="758" spans="1:9" x14ac:dyDescent="0.2">
      <c r="A758" s="6">
        <v>953</v>
      </c>
      <c r="B758" s="6" t="s">
        <v>1505</v>
      </c>
      <c r="C758" s="6">
        <v>25</v>
      </c>
      <c r="D758" s="6">
        <v>4</v>
      </c>
      <c r="E758" s="6">
        <v>36</v>
      </c>
      <c r="F758" s="6" t="s">
        <v>1381</v>
      </c>
      <c r="G758" s="6" t="s">
        <v>187</v>
      </c>
      <c r="H758" s="47" t="s">
        <v>1677</v>
      </c>
      <c r="I758" s="122" t="s">
        <v>1678</v>
      </c>
    </row>
    <row r="759" spans="1:9" x14ac:dyDescent="0.2">
      <c r="A759" s="6">
        <v>954</v>
      </c>
      <c r="B759" s="6" t="s">
        <v>1505</v>
      </c>
      <c r="C759" s="6">
        <v>25</v>
      </c>
      <c r="D759" s="6">
        <v>6</v>
      </c>
      <c r="E759" s="6">
        <v>36</v>
      </c>
      <c r="F759" s="6" t="s">
        <v>1381</v>
      </c>
      <c r="G759" s="6" t="s">
        <v>187</v>
      </c>
      <c r="H759" s="47" t="s">
        <v>1679</v>
      </c>
      <c r="I759" s="122" t="s">
        <v>1680</v>
      </c>
    </row>
    <row r="760" spans="1:9" x14ac:dyDescent="0.2">
      <c r="A760" s="6">
        <v>955</v>
      </c>
      <c r="B760" s="6" t="s">
        <v>1505</v>
      </c>
      <c r="C760" s="6">
        <v>25</v>
      </c>
      <c r="D760" s="6">
        <v>6</v>
      </c>
      <c r="E760" s="6">
        <v>36</v>
      </c>
      <c r="F760" s="6" t="s">
        <v>1381</v>
      </c>
      <c r="G760" s="6" t="s">
        <v>187</v>
      </c>
      <c r="H760" s="47" t="s">
        <v>1681</v>
      </c>
      <c r="I760" s="122" t="s">
        <v>1682</v>
      </c>
    </row>
    <row r="761" spans="1:9" x14ac:dyDescent="0.2">
      <c r="A761" s="6">
        <v>956</v>
      </c>
      <c r="B761" s="6" t="s">
        <v>1505</v>
      </c>
      <c r="C761" s="6">
        <v>28</v>
      </c>
      <c r="D761" s="6">
        <v>2</v>
      </c>
      <c r="E761" s="6">
        <v>48</v>
      </c>
      <c r="F761" s="6" t="s">
        <v>1381</v>
      </c>
      <c r="G761" s="6" t="s">
        <v>1386</v>
      </c>
      <c r="H761" s="47" t="s">
        <v>1683</v>
      </c>
      <c r="I761" s="122" t="s">
        <v>1684</v>
      </c>
    </row>
    <row r="762" spans="1:9" x14ac:dyDescent="0.2">
      <c r="A762" s="6">
        <v>957</v>
      </c>
      <c r="B762" s="6" t="s">
        <v>1505</v>
      </c>
      <c r="C762" s="6">
        <v>28</v>
      </c>
      <c r="D762" s="6">
        <v>3</v>
      </c>
      <c r="E762" s="6">
        <v>48</v>
      </c>
      <c r="F762" s="6" t="s">
        <v>1381</v>
      </c>
      <c r="G762" s="6" t="s">
        <v>1386</v>
      </c>
      <c r="H762" s="47" t="s">
        <v>1685</v>
      </c>
      <c r="I762" s="122" t="s">
        <v>1686</v>
      </c>
    </row>
    <row r="763" spans="1:9" x14ac:dyDescent="0.2">
      <c r="A763" s="6">
        <v>958</v>
      </c>
      <c r="B763" s="6" t="s">
        <v>1505</v>
      </c>
      <c r="C763" s="6">
        <v>32</v>
      </c>
      <c r="D763" s="6">
        <v>1</v>
      </c>
      <c r="E763" s="6">
        <v>48</v>
      </c>
      <c r="F763" s="6" t="s">
        <v>1381</v>
      </c>
      <c r="G763" s="6" t="s">
        <v>1386</v>
      </c>
      <c r="H763" s="47" t="s">
        <v>1687</v>
      </c>
      <c r="I763" s="122" t="s">
        <v>1688</v>
      </c>
    </row>
    <row r="764" spans="1:9" x14ac:dyDescent="0.2">
      <c r="A764" s="6">
        <v>959</v>
      </c>
      <c r="B764" s="6" t="s">
        <v>1505</v>
      </c>
      <c r="C764" s="6">
        <v>32</v>
      </c>
      <c r="D764" s="6">
        <v>1</v>
      </c>
      <c r="E764" s="6">
        <v>48</v>
      </c>
      <c r="F764" s="6" t="s">
        <v>1381</v>
      </c>
      <c r="G764" s="6" t="s">
        <v>1386</v>
      </c>
      <c r="H764" s="47" t="s">
        <v>1689</v>
      </c>
      <c r="I764" s="122" t="s">
        <v>1690</v>
      </c>
    </row>
    <row r="765" spans="1:9" x14ac:dyDescent="0.2">
      <c r="A765" s="6">
        <v>960</v>
      </c>
      <c r="B765" s="6" t="s">
        <v>1505</v>
      </c>
      <c r="C765" s="6">
        <v>32</v>
      </c>
      <c r="D765" s="6">
        <v>1</v>
      </c>
      <c r="E765" s="6">
        <v>48</v>
      </c>
      <c r="F765" s="6" t="s">
        <v>1381</v>
      </c>
      <c r="G765" s="6" t="s">
        <v>187</v>
      </c>
      <c r="H765" s="47" t="s">
        <v>1691</v>
      </c>
      <c r="I765" s="122" t="s">
        <v>1692</v>
      </c>
    </row>
    <row r="766" spans="1:9" x14ac:dyDescent="0.2">
      <c r="A766" s="6">
        <v>961</v>
      </c>
      <c r="B766" s="6" t="s">
        <v>1505</v>
      </c>
      <c r="C766" s="6">
        <v>32</v>
      </c>
      <c r="D766" s="6">
        <v>1</v>
      </c>
      <c r="E766" s="6">
        <v>48</v>
      </c>
      <c r="F766" s="6" t="s">
        <v>1381</v>
      </c>
      <c r="G766" s="6" t="s">
        <v>187</v>
      </c>
      <c r="H766" s="47" t="s">
        <v>1693</v>
      </c>
      <c r="I766" s="122" t="s">
        <v>1694</v>
      </c>
    </row>
    <row r="767" spans="1:9" x14ac:dyDescent="0.2">
      <c r="A767" s="6">
        <v>962</v>
      </c>
      <c r="B767" s="6" t="s">
        <v>1505</v>
      </c>
      <c r="C767" s="6">
        <v>32</v>
      </c>
      <c r="D767" s="6">
        <v>1</v>
      </c>
      <c r="E767" s="6">
        <v>48</v>
      </c>
      <c r="F767" s="6" t="s">
        <v>1381</v>
      </c>
      <c r="G767" s="6" t="s">
        <v>187</v>
      </c>
      <c r="H767" s="47" t="s">
        <v>1695</v>
      </c>
      <c r="I767" s="122" t="s">
        <v>1696</v>
      </c>
    </row>
    <row r="768" spans="1:9" x14ac:dyDescent="0.2">
      <c r="A768" s="6">
        <v>963</v>
      </c>
      <c r="B768" s="6" t="s">
        <v>1505</v>
      </c>
      <c r="C768" s="6">
        <v>32</v>
      </c>
      <c r="D768" s="6">
        <v>1</v>
      </c>
      <c r="E768" s="6">
        <v>48</v>
      </c>
      <c r="F768" s="6" t="s">
        <v>1381</v>
      </c>
      <c r="G768" s="6" t="s">
        <v>187</v>
      </c>
      <c r="H768" s="47" t="s">
        <v>1697</v>
      </c>
      <c r="I768" s="122" t="s">
        <v>1698</v>
      </c>
    </row>
    <row r="769" spans="1:9" x14ac:dyDescent="0.2">
      <c r="A769" s="6">
        <v>964</v>
      </c>
      <c r="B769" s="6" t="s">
        <v>1505</v>
      </c>
      <c r="C769" s="6">
        <v>32</v>
      </c>
      <c r="D769" s="6">
        <v>1</v>
      </c>
      <c r="E769" s="6">
        <v>48</v>
      </c>
      <c r="F769" s="6" t="s">
        <v>1381</v>
      </c>
      <c r="G769" s="6" t="s">
        <v>187</v>
      </c>
      <c r="H769" s="47" t="s">
        <v>1699</v>
      </c>
      <c r="I769" s="122" t="s">
        <v>1700</v>
      </c>
    </row>
    <row r="770" spans="1:9" x14ac:dyDescent="0.2">
      <c r="A770" s="6">
        <v>965</v>
      </c>
      <c r="B770" s="6" t="s">
        <v>1505</v>
      </c>
      <c r="C770" s="6">
        <v>32</v>
      </c>
      <c r="D770" s="6">
        <v>1</v>
      </c>
      <c r="E770" s="6">
        <v>48</v>
      </c>
      <c r="F770" s="6" t="s">
        <v>1381</v>
      </c>
      <c r="G770" s="6" t="s">
        <v>187</v>
      </c>
      <c r="H770" s="47" t="s">
        <v>1701</v>
      </c>
      <c r="I770" s="122" t="s">
        <v>1702</v>
      </c>
    </row>
    <row r="771" spans="1:9" x14ac:dyDescent="0.2">
      <c r="A771" s="6">
        <v>966</v>
      </c>
      <c r="B771" s="6" t="s">
        <v>1505</v>
      </c>
      <c r="C771" s="6">
        <v>32</v>
      </c>
      <c r="D771" s="6">
        <v>1</v>
      </c>
      <c r="E771" s="6">
        <v>48</v>
      </c>
      <c r="F771" s="6" t="s">
        <v>1381</v>
      </c>
      <c r="G771" s="6" t="s">
        <v>187</v>
      </c>
      <c r="H771" s="47" t="s">
        <v>1703</v>
      </c>
      <c r="I771" s="122" t="s">
        <v>1704</v>
      </c>
    </row>
    <row r="772" spans="1:9" x14ac:dyDescent="0.2">
      <c r="A772" s="6">
        <v>967</v>
      </c>
      <c r="B772" s="6" t="s">
        <v>1505</v>
      </c>
      <c r="C772" s="6">
        <v>32</v>
      </c>
      <c r="D772" s="6">
        <v>1</v>
      </c>
      <c r="E772" s="6">
        <v>48</v>
      </c>
      <c r="F772" s="6" t="s">
        <v>1381</v>
      </c>
      <c r="G772" s="6" t="s">
        <v>187</v>
      </c>
      <c r="H772" s="47" t="s">
        <v>1705</v>
      </c>
      <c r="I772" s="122" t="s">
        <v>1706</v>
      </c>
    </row>
    <row r="773" spans="1:9" x14ac:dyDescent="0.2">
      <c r="A773" s="6">
        <v>968</v>
      </c>
      <c r="B773" s="6" t="s">
        <v>1505</v>
      </c>
      <c r="C773" s="6">
        <v>32</v>
      </c>
      <c r="D773" s="6">
        <v>1</v>
      </c>
      <c r="E773" s="6">
        <v>48</v>
      </c>
      <c r="F773" s="6" t="s">
        <v>1381</v>
      </c>
      <c r="G773" s="6" t="s">
        <v>187</v>
      </c>
      <c r="H773" s="47" t="s">
        <v>1707</v>
      </c>
      <c r="I773" s="122" t="s">
        <v>1708</v>
      </c>
    </row>
    <row r="774" spans="1:9" x14ac:dyDescent="0.2">
      <c r="A774" s="6">
        <v>969</v>
      </c>
      <c r="B774" s="6" t="s">
        <v>1505</v>
      </c>
      <c r="C774" s="6">
        <v>32</v>
      </c>
      <c r="D774" s="6">
        <v>1</v>
      </c>
      <c r="E774" s="6">
        <v>48</v>
      </c>
      <c r="F774" s="6" t="s">
        <v>1381</v>
      </c>
      <c r="G774" s="6" t="s">
        <v>187</v>
      </c>
      <c r="H774" s="47" t="s">
        <v>1709</v>
      </c>
      <c r="I774" s="122" t="s">
        <v>1710</v>
      </c>
    </row>
    <row r="775" spans="1:9" x14ac:dyDescent="0.2">
      <c r="A775" s="6">
        <v>970</v>
      </c>
      <c r="B775" s="6" t="s">
        <v>1505</v>
      </c>
      <c r="C775" s="6">
        <v>32</v>
      </c>
      <c r="D775" s="6">
        <v>1</v>
      </c>
      <c r="E775" s="6">
        <v>48</v>
      </c>
      <c r="F775" s="6" t="s">
        <v>1381</v>
      </c>
      <c r="G775" s="6" t="s">
        <v>187</v>
      </c>
      <c r="H775" s="47" t="s">
        <v>1711</v>
      </c>
      <c r="I775" s="122" t="s">
        <v>1712</v>
      </c>
    </row>
    <row r="776" spans="1:9" x14ac:dyDescent="0.2">
      <c r="A776" s="6">
        <v>971</v>
      </c>
      <c r="B776" s="6" t="s">
        <v>1505</v>
      </c>
      <c r="C776" s="6">
        <v>32</v>
      </c>
      <c r="D776" s="6">
        <v>1</v>
      </c>
      <c r="E776" s="6">
        <v>48</v>
      </c>
      <c r="F776" s="6" t="s">
        <v>1381</v>
      </c>
      <c r="G776" s="6" t="s">
        <v>187</v>
      </c>
      <c r="H776" s="47" t="s">
        <v>1691</v>
      </c>
      <c r="I776" s="122" t="s">
        <v>1713</v>
      </c>
    </row>
    <row r="777" spans="1:9" x14ac:dyDescent="0.2">
      <c r="A777" s="6">
        <v>972</v>
      </c>
      <c r="B777" s="6" t="s">
        <v>1505</v>
      </c>
      <c r="C777" s="6">
        <v>32</v>
      </c>
      <c r="D777" s="6">
        <v>1</v>
      </c>
      <c r="E777" s="6">
        <v>48</v>
      </c>
      <c r="F777" s="6" t="s">
        <v>1381</v>
      </c>
      <c r="G777" s="6" t="s">
        <v>187</v>
      </c>
      <c r="H777" s="47" t="s">
        <v>1693</v>
      </c>
      <c r="I777" s="122" t="s">
        <v>1714</v>
      </c>
    </row>
    <row r="778" spans="1:9" x14ac:dyDescent="0.2">
      <c r="A778" s="6">
        <v>973</v>
      </c>
      <c r="B778" s="6" t="s">
        <v>1505</v>
      </c>
      <c r="C778" s="6">
        <v>32</v>
      </c>
      <c r="D778" s="6">
        <v>1</v>
      </c>
      <c r="E778" s="6">
        <v>48</v>
      </c>
      <c r="F778" s="6" t="s">
        <v>1381</v>
      </c>
      <c r="G778" s="6" t="s">
        <v>187</v>
      </c>
      <c r="H778" s="47" t="s">
        <v>1695</v>
      </c>
      <c r="I778" s="122" t="s">
        <v>1715</v>
      </c>
    </row>
    <row r="779" spans="1:9" x14ac:dyDescent="0.2">
      <c r="A779" s="6">
        <v>974</v>
      </c>
      <c r="B779" s="6" t="s">
        <v>1505</v>
      </c>
      <c r="C779" s="6">
        <v>32</v>
      </c>
      <c r="D779" s="6">
        <v>1</v>
      </c>
      <c r="E779" s="6">
        <v>48</v>
      </c>
      <c r="F779" s="6" t="s">
        <v>1381</v>
      </c>
      <c r="G779" s="6" t="s">
        <v>187</v>
      </c>
      <c r="H779" s="47" t="s">
        <v>1697</v>
      </c>
      <c r="I779" s="122" t="s">
        <v>1716</v>
      </c>
    </row>
    <row r="780" spans="1:9" x14ac:dyDescent="0.2">
      <c r="A780" s="6">
        <v>975</v>
      </c>
      <c r="B780" s="6" t="s">
        <v>1505</v>
      </c>
      <c r="C780" s="6">
        <v>32</v>
      </c>
      <c r="D780" s="6">
        <v>1</v>
      </c>
      <c r="E780" s="6">
        <v>48</v>
      </c>
      <c r="F780" s="6" t="s">
        <v>1381</v>
      </c>
      <c r="G780" s="6" t="s">
        <v>187</v>
      </c>
      <c r="H780" s="47" t="s">
        <v>1701</v>
      </c>
      <c r="I780" s="122" t="s">
        <v>1717</v>
      </c>
    </row>
    <row r="781" spans="1:9" x14ac:dyDescent="0.2">
      <c r="A781" s="6">
        <v>976</v>
      </c>
      <c r="B781" s="6" t="s">
        <v>1505</v>
      </c>
      <c r="C781" s="6">
        <v>32</v>
      </c>
      <c r="D781" s="6">
        <v>1</v>
      </c>
      <c r="E781" s="6">
        <v>48</v>
      </c>
      <c r="F781" s="6" t="s">
        <v>1381</v>
      </c>
      <c r="G781" s="6" t="s">
        <v>187</v>
      </c>
      <c r="H781" s="47" t="s">
        <v>1703</v>
      </c>
      <c r="I781" s="122" t="s">
        <v>1718</v>
      </c>
    </row>
    <row r="782" spans="1:9" x14ac:dyDescent="0.2">
      <c r="A782" s="6">
        <v>977</v>
      </c>
      <c r="B782" s="6" t="s">
        <v>1505</v>
      </c>
      <c r="C782" s="6">
        <v>32</v>
      </c>
      <c r="D782" s="6">
        <v>1</v>
      </c>
      <c r="E782" s="6">
        <v>48</v>
      </c>
      <c r="F782" s="6" t="s">
        <v>1381</v>
      </c>
      <c r="G782" s="6" t="s">
        <v>187</v>
      </c>
      <c r="H782" s="47" t="s">
        <v>1707</v>
      </c>
      <c r="I782" s="122" t="s">
        <v>1719</v>
      </c>
    </row>
    <row r="783" spans="1:9" x14ac:dyDescent="0.2">
      <c r="A783" s="6">
        <v>978</v>
      </c>
      <c r="B783" s="6" t="s">
        <v>1505</v>
      </c>
      <c r="C783" s="6">
        <v>32</v>
      </c>
      <c r="D783" s="6">
        <v>1</v>
      </c>
      <c r="E783" s="6">
        <v>48</v>
      </c>
      <c r="F783" s="6" t="s">
        <v>1381</v>
      </c>
      <c r="G783" s="6" t="s">
        <v>187</v>
      </c>
      <c r="H783" s="47" t="s">
        <v>1709</v>
      </c>
      <c r="I783" s="122" t="s">
        <v>1720</v>
      </c>
    </row>
    <row r="784" spans="1:9" x14ac:dyDescent="0.2">
      <c r="A784" s="6">
        <v>979</v>
      </c>
      <c r="B784" s="6" t="s">
        <v>1505</v>
      </c>
      <c r="C784" s="6">
        <v>32</v>
      </c>
      <c r="D784" s="6">
        <v>1</v>
      </c>
      <c r="E784" s="6">
        <v>48</v>
      </c>
      <c r="F784" s="6" t="s">
        <v>1381</v>
      </c>
      <c r="G784" s="6" t="s">
        <v>187</v>
      </c>
      <c r="H784" s="47" t="s">
        <v>1711</v>
      </c>
      <c r="I784" s="122" t="s">
        <v>1721</v>
      </c>
    </row>
    <row r="785" spans="1:9" x14ac:dyDescent="0.2">
      <c r="A785" s="6">
        <v>980</v>
      </c>
      <c r="B785" s="6" t="s">
        <v>1505</v>
      </c>
      <c r="C785" s="6">
        <v>32</v>
      </c>
      <c r="D785" s="6">
        <v>1</v>
      </c>
      <c r="E785" s="6">
        <v>48</v>
      </c>
      <c r="F785" s="6" t="s">
        <v>1381</v>
      </c>
      <c r="G785" s="6" t="s">
        <v>1722</v>
      </c>
      <c r="H785" s="47" t="s">
        <v>1723</v>
      </c>
      <c r="I785" s="122" t="s">
        <v>1724</v>
      </c>
    </row>
    <row r="786" spans="1:9" x14ac:dyDescent="0.2">
      <c r="A786" s="6">
        <v>981</v>
      </c>
      <c r="B786" s="6" t="s">
        <v>1505</v>
      </c>
      <c r="C786" s="6">
        <v>32</v>
      </c>
      <c r="D786" s="6">
        <v>1</v>
      </c>
      <c r="E786" s="6">
        <v>48</v>
      </c>
      <c r="F786" s="6" t="s">
        <v>1381</v>
      </c>
      <c r="G786" s="6" t="s">
        <v>187</v>
      </c>
      <c r="H786" s="47" t="s">
        <v>1725</v>
      </c>
      <c r="I786" s="122" t="s">
        <v>1726</v>
      </c>
    </row>
    <row r="787" spans="1:9" x14ac:dyDescent="0.2">
      <c r="A787" s="6">
        <v>982</v>
      </c>
      <c r="B787" s="6" t="s">
        <v>1505</v>
      </c>
      <c r="C787" s="6">
        <v>32</v>
      </c>
      <c r="D787" s="6">
        <v>1</v>
      </c>
      <c r="E787" s="6">
        <v>48</v>
      </c>
      <c r="F787" s="6" t="s">
        <v>1381</v>
      </c>
      <c r="G787" s="6" t="s">
        <v>187</v>
      </c>
      <c r="H787" s="47" t="s">
        <v>1727</v>
      </c>
      <c r="I787" s="122" t="s">
        <v>1728</v>
      </c>
    </row>
    <row r="788" spans="1:9" x14ac:dyDescent="0.2">
      <c r="A788" s="6">
        <v>983</v>
      </c>
      <c r="B788" s="6" t="s">
        <v>1505</v>
      </c>
      <c r="C788" s="6">
        <v>32</v>
      </c>
      <c r="D788" s="6">
        <v>1</v>
      </c>
      <c r="E788" s="6">
        <v>48</v>
      </c>
      <c r="F788" s="6" t="s">
        <v>1381</v>
      </c>
      <c r="G788" s="6" t="s">
        <v>187</v>
      </c>
      <c r="H788" s="47" t="s">
        <v>1729</v>
      </c>
      <c r="I788" s="122" t="s">
        <v>1730</v>
      </c>
    </row>
    <row r="789" spans="1:9" x14ac:dyDescent="0.2">
      <c r="A789" s="6">
        <v>984</v>
      </c>
      <c r="B789" s="6" t="s">
        <v>1505</v>
      </c>
      <c r="C789" s="6">
        <v>32</v>
      </c>
      <c r="D789" s="6">
        <v>1</v>
      </c>
      <c r="E789" s="6">
        <v>48</v>
      </c>
      <c r="F789" s="6" t="s">
        <v>1381</v>
      </c>
      <c r="G789" s="6" t="s">
        <v>187</v>
      </c>
      <c r="H789" s="47" t="s">
        <v>1731</v>
      </c>
      <c r="I789" s="122" t="s">
        <v>1732</v>
      </c>
    </row>
    <row r="790" spans="1:9" x14ac:dyDescent="0.2">
      <c r="A790" s="6">
        <v>985</v>
      </c>
      <c r="B790" s="6" t="s">
        <v>1505</v>
      </c>
      <c r="C790" s="6">
        <v>32</v>
      </c>
      <c r="D790" s="6">
        <v>1</v>
      </c>
      <c r="E790" s="6">
        <v>48</v>
      </c>
      <c r="F790" s="6" t="s">
        <v>1381</v>
      </c>
      <c r="G790" s="6" t="s">
        <v>187</v>
      </c>
      <c r="H790" s="47" t="s">
        <v>1733</v>
      </c>
      <c r="I790" s="122" t="s">
        <v>1734</v>
      </c>
    </row>
    <row r="791" spans="1:9" x14ac:dyDescent="0.2">
      <c r="A791" s="6">
        <v>986</v>
      </c>
      <c r="B791" s="6" t="s">
        <v>1505</v>
      </c>
      <c r="C791" s="6">
        <v>32</v>
      </c>
      <c r="D791" s="6">
        <v>1</v>
      </c>
      <c r="E791" s="6">
        <v>48</v>
      </c>
      <c r="F791" s="6" t="s">
        <v>1381</v>
      </c>
      <c r="G791" s="6" t="s">
        <v>187</v>
      </c>
      <c r="H791" s="47" t="s">
        <v>1735</v>
      </c>
      <c r="I791" s="122" t="s">
        <v>1736</v>
      </c>
    </row>
    <row r="792" spans="1:9" x14ac:dyDescent="0.2">
      <c r="A792" s="6">
        <v>987</v>
      </c>
      <c r="B792" s="6" t="s">
        <v>1505</v>
      </c>
      <c r="C792" s="6">
        <v>32</v>
      </c>
      <c r="D792" s="6">
        <v>1</v>
      </c>
      <c r="E792" s="6">
        <v>48</v>
      </c>
      <c r="F792" s="6" t="s">
        <v>1381</v>
      </c>
      <c r="G792" s="6" t="s">
        <v>187</v>
      </c>
      <c r="H792" s="47" t="s">
        <v>1737</v>
      </c>
      <c r="I792" s="122" t="s">
        <v>1738</v>
      </c>
    </row>
    <row r="793" spans="1:9" x14ac:dyDescent="0.2">
      <c r="A793" s="6">
        <v>988</v>
      </c>
      <c r="B793" s="6" t="s">
        <v>1505</v>
      </c>
      <c r="C793" s="6">
        <v>32</v>
      </c>
      <c r="D793" s="6">
        <v>1</v>
      </c>
      <c r="E793" s="6">
        <v>48</v>
      </c>
      <c r="F793" s="6" t="s">
        <v>1381</v>
      </c>
      <c r="G793" s="6" t="s">
        <v>187</v>
      </c>
      <c r="H793" s="47" t="s">
        <v>1739</v>
      </c>
      <c r="I793" s="122" t="s">
        <v>1740</v>
      </c>
    </row>
    <row r="794" spans="1:9" x14ac:dyDescent="0.2">
      <c r="A794" s="6">
        <v>989</v>
      </c>
      <c r="B794" s="6" t="s">
        <v>1505</v>
      </c>
      <c r="C794" s="6">
        <v>32</v>
      </c>
      <c r="D794" s="6">
        <v>1</v>
      </c>
      <c r="E794" s="6">
        <v>48</v>
      </c>
      <c r="F794" s="6" t="s">
        <v>1381</v>
      </c>
      <c r="G794" s="6" t="s">
        <v>187</v>
      </c>
      <c r="H794" s="47" t="s">
        <v>1741</v>
      </c>
      <c r="I794" s="122" t="s">
        <v>1742</v>
      </c>
    </row>
    <row r="795" spans="1:9" x14ac:dyDescent="0.2">
      <c r="A795" s="6">
        <v>990</v>
      </c>
      <c r="B795" s="6" t="s">
        <v>1505</v>
      </c>
      <c r="C795" s="6">
        <v>32</v>
      </c>
      <c r="D795" s="6">
        <v>1</v>
      </c>
      <c r="E795" s="6">
        <v>48</v>
      </c>
      <c r="F795" s="6" t="s">
        <v>1381</v>
      </c>
      <c r="G795" s="6" t="s">
        <v>187</v>
      </c>
      <c r="H795" s="47" t="s">
        <v>1743</v>
      </c>
      <c r="I795" s="122" t="s">
        <v>1744</v>
      </c>
    </row>
    <row r="796" spans="1:9" x14ac:dyDescent="0.2">
      <c r="A796" s="6">
        <v>991</v>
      </c>
      <c r="B796" s="6" t="s">
        <v>1505</v>
      </c>
      <c r="C796" s="6">
        <v>32</v>
      </c>
      <c r="D796" s="6">
        <v>1</v>
      </c>
      <c r="E796" s="6">
        <v>48</v>
      </c>
      <c r="F796" s="6" t="s">
        <v>1381</v>
      </c>
      <c r="G796" s="6" t="s">
        <v>187</v>
      </c>
      <c r="H796" s="47" t="s">
        <v>1745</v>
      </c>
      <c r="I796" s="122" t="s">
        <v>1746</v>
      </c>
    </row>
    <row r="797" spans="1:9" x14ac:dyDescent="0.2">
      <c r="A797" s="6">
        <v>992</v>
      </c>
      <c r="B797" s="6" t="s">
        <v>1505</v>
      </c>
      <c r="C797" s="6">
        <v>32</v>
      </c>
      <c r="D797" s="6">
        <v>2</v>
      </c>
      <c r="E797" s="6">
        <v>48</v>
      </c>
      <c r="F797" s="6" t="s">
        <v>1381</v>
      </c>
      <c r="G797" s="6" t="s">
        <v>1386</v>
      </c>
      <c r="H797" s="47" t="s">
        <v>1747</v>
      </c>
      <c r="I797" s="122" t="s">
        <v>1748</v>
      </c>
    </row>
    <row r="798" spans="1:9" x14ac:dyDescent="0.2">
      <c r="A798" s="6">
        <v>993</v>
      </c>
      <c r="B798" s="6" t="s">
        <v>1505</v>
      </c>
      <c r="C798" s="6">
        <v>32</v>
      </c>
      <c r="D798" s="6">
        <v>2</v>
      </c>
      <c r="E798" s="6">
        <v>48</v>
      </c>
      <c r="F798" s="6" t="s">
        <v>1381</v>
      </c>
      <c r="G798" s="6" t="s">
        <v>1386</v>
      </c>
      <c r="H798" s="47" t="s">
        <v>1749</v>
      </c>
      <c r="I798" s="122" t="s">
        <v>1750</v>
      </c>
    </row>
    <row r="799" spans="1:9" x14ac:dyDescent="0.2">
      <c r="A799" s="6">
        <v>994</v>
      </c>
      <c r="B799" s="6" t="s">
        <v>1505</v>
      </c>
      <c r="C799" s="6">
        <v>32</v>
      </c>
      <c r="D799" s="6">
        <v>2</v>
      </c>
      <c r="E799" s="6">
        <v>48</v>
      </c>
      <c r="F799" s="6" t="s">
        <v>1381</v>
      </c>
      <c r="G799" s="6" t="s">
        <v>1386</v>
      </c>
      <c r="H799" s="47" t="s">
        <v>1751</v>
      </c>
      <c r="I799" s="122" t="s">
        <v>1752</v>
      </c>
    </row>
    <row r="800" spans="1:9" x14ac:dyDescent="0.2">
      <c r="A800" s="6">
        <v>995</v>
      </c>
      <c r="B800" s="6" t="s">
        <v>1505</v>
      </c>
      <c r="C800" s="6">
        <v>32</v>
      </c>
      <c r="D800" s="6">
        <v>2</v>
      </c>
      <c r="E800" s="6">
        <v>48</v>
      </c>
      <c r="F800" s="6" t="s">
        <v>1381</v>
      </c>
      <c r="G800" s="6" t="s">
        <v>187</v>
      </c>
      <c r="H800" s="47" t="s">
        <v>1753</v>
      </c>
      <c r="I800" s="122" t="s">
        <v>1754</v>
      </c>
    </row>
    <row r="801" spans="1:9" x14ac:dyDescent="0.2">
      <c r="A801" s="6">
        <v>996</v>
      </c>
      <c r="B801" s="6" t="s">
        <v>1505</v>
      </c>
      <c r="C801" s="6">
        <v>32</v>
      </c>
      <c r="D801" s="6">
        <v>2</v>
      </c>
      <c r="E801" s="6">
        <v>48</v>
      </c>
      <c r="F801" s="6" t="s">
        <v>1381</v>
      </c>
      <c r="G801" s="6" t="s">
        <v>187</v>
      </c>
      <c r="H801" s="47" t="s">
        <v>1755</v>
      </c>
      <c r="I801" s="122" t="s">
        <v>1756</v>
      </c>
    </row>
    <row r="802" spans="1:9" x14ac:dyDescent="0.2">
      <c r="A802" s="6">
        <v>997</v>
      </c>
      <c r="B802" s="6" t="s">
        <v>1505</v>
      </c>
      <c r="C802" s="6">
        <v>32</v>
      </c>
      <c r="D802" s="6">
        <v>2</v>
      </c>
      <c r="E802" s="6">
        <v>48</v>
      </c>
      <c r="F802" s="6" t="s">
        <v>1381</v>
      </c>
      <c r="G802" s="6" t="s">
        <v>187</v>
      </c>
      <c r="H802" s="47" t="s">
        <v>1757</v>
      </c>
      <c r="I802" s="122" t="s">
        <v>1758</v>
      </c>
    </row>
    <row r="803" spans="1:9" x14ac:dyDescent="0.2">
      <c r="A803" s="6">
        <v>998</v>
      </c>
      <c r="B803" s="6" t="s">
        <v>1505</v>
      </c>
      <c r="C803" s="6">
        <v>32</v>
      </c>
      <c r="D803" s="6">
        <v>2</v>
      </c>
      <c r="E803" s="6">
        <v>48</v>
      </c>
      <c r="F803" s="6" t="s">
        <v>1381</v>
      </c>
      <c r="G803" s="6" t="s">
        <v>187</v>
      </c>
      <c r="H803" s="47" t="s">
        <v>1759</v>
      </c>
      <c r="I803" s="122" t="s">
        <v>1760</v>
      </c>
    </row>
    <row r="804" spans="1:9" x14ac:dyDescent="0.2">
      <c r="A804" s="6">
        <v>999</v>
      </c>
      <c r="B804" s="6" t="s">
        <v>1505</v>
      </c>
      <c r="C804" s="6">
        <v>32</v>
      </c>
      <c r="D804" s="6">
        <v>2</v>
      </c>
      <c r="E804" s="6">
        <v>48</v>
      </c>
      <c r="F804" s="6" t="s">
        <v>1381</v>
      </c>
      <c r="G804" s="6" t="s">
        <v>187</v>
      </c>
      <c r="H804" s="47" t="s">
        <v>1761</v>
      </c>
      <c r="I804" s="122" t="s">
        <v>1762</v>
      </c>
    </row>
    <row r="805" spans="1:9" x14ac:dyDescent="0.2">
      <c r="A805" s="6">
        <v>1000</v>
      </c>
      <c r="B805" s="6" t="s">
        <v>1505</v>
      </c>
      <c r="C805" s="6">
        <v>32</v>
      </c>
      <c r="D805" s="6">
        <v>2</v>
      </c>
      <c r="E805" s="6">
        <v>48</v>
      </c>
      <c r="F805" s="6" t="s">
        <v>1381</v>
      </c>
      <c r="G805" s="6" t="s">
        <v>187</v>
      </c>
      <c r="H805" s="47" t="s">
        <v>1763</v>
      </c>
      <c r="I805" s="122" t="s">
        <v>1764</v>
      </c>
    </row>
    <row r="806" spans="1:9" x14ac:dyDescent="0.2">
      <c r="A806" s="6">
        <v>1001</v>
      </c>
      <c r="B806" s="6" t="s">
        <v>1505</v>
      </c>
      <c r="C806" s="6">
        <v>32</v>
      </c>
      <c r="D806" s="6">
        <v>2</v>
      </c>
      <c r="E806" s="6">
        <v>48</v>
      </c>
      <c r="F806" s="6" t="s">
        <v>1381</v>
      </c>
      <c r="G806" s="6" t="s">
        <v>187</v>
      </c>
      <c r="H806" s="47" t="s">
        <v>1765</v>
      </c>
      <c r="I806" s="122" t="s">
        <v>1766</v>
      </c>
    </row>
    <row r="807" spans="1:9" x14ac:dyDescent="0.2">
      <c r="A807" s="6">
        <v>1002</v>
      </c>
      <c r="B807" s="6" t="s">
        <v>1505</v>
      </c>
      <c r="C807" s="6">
        <v>32</v>
      </c>
      <c r="D807" s="6">
        <v>2</v>
      </c>
      <c r="E807" s="6">
        <v>48</v>
      </c>
      <c r="F807" s="6" t="s">
        <v>1381</v>
      </c>
      <c r="G807" s="6" t="s">
        <v>187</v>
      </c>
      <c r="H807" s="47" t="s">
        <v>1767</v>
      </c>
      <c r="I807" s="122" t="s">
        <v>1768</v>
      </c>
    </row>
    <row r="808" spans="1:9" x14ac:dyDescent="0.2">
      <c r="A808" s="6">
        <v>1003</v>
      </c>
      <c r="B808" s="6" t="s">
        <v>1505</v>
      </c>
      <c r="C808" s="6">
        <v>32</v>
      </c>
      <c r="D808" s="6">
        <v>2</v>
      </c>
      <c r="E808" s="6">
        <v>48</v>
      </c>
      <c r="F808" s="6" t="s">
        <v>1381</v>
      </c>
      <c r="G808" s="6" t="s">
        <v>187</v>
      </c>
      <c r="H808" s="47" t="s">
        <v>1753</v>
      </c>
      <c r="I808" s="122" t="s">
        <v>1769</v>
      </c>
    </row>
    <row r="809" spans="1:9" x14ac:dyDescent="0.2">
      <c r="A809" s="6">
        <v>1004</v>
      </c>
      <c r="B809" s="6" t="s">
        <v>1505</v>
      </c>
      <c r="C809" s="6">
        <v>32</v>
      </c>
      <c r="D809" s="6">
        <v>2</v>
      </c>
      <c r="E809" s="6">
        <v>48</v>
      </c>
      <c r="F809" s="6" t="s">
        <v>1381</v>
      </c>
      <c r="G809" s="6" t="s">
        <v>187</v>
      </c>
      <c r="H809" s="47" t="s">
        <v>1755</v>
      </c>
      <c r="I809" s="122" t="s">
        <v>1770</v>
      </c>
    </row>
    <row r="810" spans="1:9" x14ac:dyDescent="0.2">
      <c r="A810" s="6">
        <v>1005</v>
      </c>
      <c r="B810" s="6" t="s">
        <v>1505</v>
      </c>
      <c r="C810" s="6">
        <v>32</v>
      </c>
      <c r="D810" s="6">
        <v>2</v>
      </c>
      <c r="E810" s="6">
        <v>48</v>
      </c>
      <c r="F810" s="6" t="s">
        <v>1381</v>
      </c>
      <c r="G810" s="6" t="s">
        <v>187</v>
      </c>
      <c r="H810" s="47" t="s">
        <v>1771</v>
      </c>
      <c r="I810" s="122" t="s">
        <v>1772</v>
      </c>
    </row>
    <row r="811" spans="1:9" x14ac:dyDescent="0.2">
      <c r="A811" s="6">
        <v>1006</v>
      </c>
      <c r="B811" s="6" t="s">
        <v>1505</v>
      </c>
      <c r="C811" s="6">
        <v>32</v>
      </c>
      <c r="D811" s="6">
        <v>2</v>
      </c>
      <c r="E811" s="6">
        <v>48</v>
      </c>
      <c r="F811" s="6" t="s">
        <v>1381</v>
      </c>
      <c r="G811" s="6" t="s">
        <v>187</v>
      </c>
      <c r="H811" s="47" t="s">
        <v>1773</v>
      </c>
      <c r="I811" s="122" t="s">
        <v>1774</v>
      </c>
    </row>
    <row r="812" spans="1:9" x14ac:dyDescent="0.2">
      <c r="A812" s="6">
        <v>1007</v>
      </c>
      <c r="B812" s="6" t="s">
        <v>1505</v>
      </c>
      <c r="C812" s="6">
        <v>32</v>
      </c>
      <c r="D812" s="6">
        <v>2</v>
      </c>
      <c r="E812" s="6">
        <v>48</v>
      </c>
      <c r="F812" s="6" t="s">
        <v>1381</v>
      </c>
      <c r="G812" s="6" t="s">
        <v>187</v>
      </c>
      <c r="H812" s="47" t="s">
        <v>1765</v>
      </c>
      <c r="I812" s="122" t="s">
        <v>1775</v>
      </c>
    </row>
    <row r="813" spans="1:9" x14ac:dyDescent="0.2">
      <c r="A813" s="6">
        <v>1008</v>
      </c>
      <c r="B813" s="6" t="s">
        <v>1505</v>
      </c>
      <c r="C813" s="6">
        <v>32</v>
      </c>
      <c r="D813" s="6">
        <v>2</v>
      </c>
      <c r="E813" s="6">
        <v>48</v>
      </c>
      <c r="F813" s="6" t="s">
        <v>1381</v>
      </c>
      <c r="G813" s="6" t="s">
        <v>187</v>
      </c>
      <c r="H813" s="47" t="s">
        <v>1767</v>
      </c>
      <c r="I813" s="122" t="s">
        <v>1776</v>
      </c>
    </row>
    <row r="814" spans="1:9" x14ac:dyDescent="0.2">
      <c r="A814" s="6">
        <v>1009</v>
      </c>
      <c r="B814" s="6" t="s">
        <v>1505</v>
      </c>
      <c r="C814" s="6">
        <v>32</v>
      </c>
      <c r="D814" s="6">
        <v>2</v>
      </c>
      <c r="E814" s="6">
        <v>48</v>
      </c>
      <c r="F814" s="6" t="s">
        <v>1381</v>
      </c>
      <c r="G814" s="6" t="s">
        <v>1722</v>
      </c>
      <c r="H814" s="47" t="s">
        <v>1777</v>
      </c>
      <c r="I814" s="122" t="s">
        <v>1778</v>
      </c>
    </row>
    <row r="815" spans="1:9" x14ac:dyDescent="0.2">
      <c r="A815" s="6">
        <v>1010</v>
      </c>
      <c r="B815" s="6" t="s">
        <v>1505</v>
      </c>
      <c r="C815" s="6">
        <v>32</v>
      </c>
      <c r="D815" s="6">
        <v>2</v>
      </c>
      <c r="E815" s="6">
        <v>48</v>
      </c>
      <c r="F815" s="6" t="s">
        <v>1381</v>
      </c>
      <c r="G815" s="6" t="s">
        <v>187</v>
      </c>
      <c r="H815" s="47" t="s">
        <v>1779</v>
      </c>
      <c r="I815" s="122" t="s">
        <v>1780</v>
      </c>
    </row>
    <row r="816" spans="1:9" x14ac:dyDescent="0.2">
      <c r="A816" s="6">
        <v>1011</v>
      </c>
      <c r="B816" s="6" t="s">
        <v>1505</v>
      </c>
      <c r="C816" s="6">
        <v>32</v>
      </c>
      <c r="D816" s="6">
        <v>2</v>
      </c>
      <c r="E816" s="6">
        <v>48</v>
      </c>
      <c r="F816" s="6" t="s">
        <v>1381</v>
      </c>
      <c r="G816" s="6" t="s">
        <v>187</v>
      </c>
      <c r="H816" s="47" t="s">
        <v>1781</v>
      </c>
      <c r="I816" s="122" t="s">
        <v>1782</v>
      </c>
    </row>
    <row r="817" spans="1:9" x14ac:dyDescent="0.2">
      <c r="A817" s="6">
        <v>1012</v>
      </c>
      <c r="B817" s="6" t="s">
        <v>1505</v>
      </c>
      <c r="C817" s="6">
        <v>32</v>
      </c>
      <c r="D817" s="6">
        <v>2</v>
      </c>
      <c r="E817" s="6">
        <v>48</v>
      </c>
      <c r="F817" s="6" t="s">
        <v>1381</v>
      </c>
      <c r="G817" s="6" t="s">
        <v>187</v>
      </c>
      <c r="H817" s="47" t="s">
        <v>1783</v>
      </c>
      <c r="I817" s="122" t="s">
        <v>1784</v>
      </c>
    </row>
    <row r="818" spans="1:9" x14ac:dyDescent="0.2">
      <c r="A818" s="6">
        <v>1013</v>
      </c>
      <c r="B818" s="6" t="s">
        <v>1505</v>
      </c>
      <c r="C818" s="6">
        <v>32</v>
      </c>
      <c r="D818" s="6">
        <v>2</v>
      </c>
      <c r="E818" s="6">
        <v>48</v>
      </c>
      <c r="F818" s="6" t="s">
        <v>1381</v>
      </c>
      <c r="G818" s="6" t="s">
        <v>187</v>
      </c>
      <c r="H818" s="47" t="s">
        <v>1785</v>
      </c>
      <c r="I818" s="122" t="s">
        <v>1786</v>
      </c>
    </row>
    <row r="819" spans="1:9" x14ac:dyDescent="0.2">
      <c r="A819" s="6">
        <v>1014</v>
      </c>
      <c r="B819" s="6" t="s">
        <v>1505</v>
      </c>
      <c r="C819" s="6">
        <v>32</v>
      </c>
      <c r="D819" s="6">
        <v>2</v>
      </c>
      <c r="E819" s="6">
        <v>48</v>
      </c>
      <c r="F819" s="6" t="s">
        <v>1381</v>
      </c>
      <c r="G819" s="6" t="s">
        <v>187</v>
      </c>
      <c r="H819" s="47" t="s">
        <v>1787</v>
      </c>
      <c r="I819" s="122" t="s">
        <v>1788</v>
      </c>
    </row>
    <row r="820" spans="1:9" x14ac:dyDescent="0.2">
      <c r="A820" s="6">
        <v>1015</v>
      </c>
      <c r="B820" s="6" t="s">
        <v>1505</v>
      </c>
      <c r="C820" s="6">
        <v>32</v>
      </c>
      <c r="D820" s="6">
        <v>2</v>
      </c>
      <c r="E820" s="6">
        <v>48</v>
      </c>
      <c r="F820" s="6" t="s">
        <v>1381</v>
      </c>
      <c r="G820" s="6" t="s">
        <v>187</v>
      </c>
      <c r="H820" s="47" t="s">
        <v>1789</v>
      </c>
      <c r="I820" s="122" t="s">
        <v>1790</v>
      </c>
    </row>
    <row r="821" spans="1:9" x14ac:dyDescent="0.2">
      <c r="A821" s="6">
        <v>1016</v>
      </c>
      <c r="B821" s="6" t="s">
        <v>1505</v>
      </c>
      <c r="C821" s="6">
        <v>32</v>
      </c>
      <c r="D821" s="6">
        <v>2</v>
      </c>
      <c r="E821" s="6">
        <v>48</v>
      </c>
      <c r="F821" s="6" t="s">
        <v>1381</v>
      </c>
      <c r="G821" s="6" t="s">
        <v>187</v>
      </c>
      <c r="H821" s="47" t="s">
        <v>1791</v>
      </c>
      <c r="I821" s="122" t="s">
        <v>1792</v>
      </c>
    </row>
    <row r="822" spans="1:9" x14ac:dyDescent="0.2">
      <c r="A822" s="6">
        <v>1017</v>
      </c>
      <c r="B822" s="6" t="s">
        <v>1505</v>
      </c>
      <c r="C822" s="6">
        <v>32</v>
      </c>
      <c r="D822" s="6">
        <v>3</v>
      </c>
      <c r="E822" s="6">
        <v>48</v>
      </c>
      <c r="F822" s="6" t="s">
        <v>1381</v>
      </c>
      <c r="G822" s="6" t="s">
        <v>1386</v>
      </c>
      <c r="H822" s="47" t="s">
        <v>1793</v>
      </c>
      <c r="I822" s="122" t="s">
        <v>1794</v>
      </c>
    </row>
    <row r="823" spans="1:9" x14ac:dyDescent="0.2">
      <c r="A823" s="6">
        <v>1018</v>
      </c>
      <c r="B823" s="6" t="s">
        <v>1505</v>
      </c>
      <c r="C823" s="6">
        <v>32</v>
      </c>
      <c r="D823" s="6">
        <v>3</v>
      </c>
      <c r="E823" s="6">
        <v>48</v>
      </c>
      <c r="F823" s="6" t="s">
        <v>1381</v>
      </c>
      <c r="G823" s="6" t="s">
        <v>1386</v>
      </c>
      <c r="H823" s="47" t="s">
        <v>1795</v>
      </c>
      <c r="I823" s="122" t="s">
        <v>1796</v>
      </c>
    </row>
    <row r="824" spans="1:9" x14ac:dyDescent="0.2">
      <c r="A824" s="6">
        <v>1019</v>
      </c>
      <c r="B824" s="6" t="s">
        <v>1505</v>
      </c>
      <c r="C824" s="6">
        <v>32</v>
      </c>
      <c r="D824" s="6">
        <v>3</v>
      </c>
      <c r="E824" s="6">
        <v>48</v>
      </c>
      <c r="F824" s="6" t="s">
        <v>1381</v>
      </c>
      <c r="G824" s="6" t="s">
        <v>187</v>
      </c>
      <c r="H824" s="47" t="s">
        <v>1797</v>
      </c>
      <c r="I824" s="122" t="s">
        <v>1798</v>
      </c>
    </row>
    <row r="825" spans="1:9" x14ac:dyDescent="0.2">
      <c r="A825" s="6">
        <v>1020</v>
      </c>
      <c r="B825" s="6" t="s">
        <v>1505</v>
      </c>
      <c r="C825" s="6">
        <v>32</v>
      </c>
      <c r="D825" s="6">
        <v>3</v>
      </c>
      <c r="E825" s="6">
        <v>48</v>
      </c>
      <c r="F825" s="6" t="s">
        <v>1381</v>
      </c>
      <c r="G825" s="6" t="s">
        <v>187</v>
      </c>
      <c r="H825" s="47" t="s">
        <v>1799</v>
      </c>
      <c r="I825" s="122" t="s">
        <v>1800</v>
      </c>
    </row>
    <row r="826" spans="1:9" x14ac:dyDescent="0.2">
      <c r="A826" s="6">
        <v>1021</v>
      </c>
      <c r="B826" s="6" t="s">
        <v>1505</v>
      </c>
      <c r="C826" s="6">
        <v>32</v>
      </c>
      <c r="D826" s="6">
        <v>3</v>
      </c>
      <c r="E826" s="6">
        <v>48</v>
      </c>
      <c r="F826" s="6" t="s">
        <v>1381</v>
      </c>
      <c r="G826" s="6" t="s">
        <v>187</v>
      </c>
      <c r="H826" s="47" t="s">
        <v>1801</v>
      </c>
      <c r="I826" s="122" t="s">
        <v>1802</v>
      </c>
    </row>
    <row r="827" spans="1:9" x14ac:dyDescent="0.2">
      <c r="A827" s="6">
        <v>1022</v>
      </c>
      <c r="B827" s="6" t="s">
        <v>1505</v>
      </c>
      <c r="C827" s="6">
        <v>32</v>
      </c>
      <c r="D827" s="6">
        <v>3</v>
      </c>
      <c r="E827" s="6">
        <v>48</v>
      </c>
      <c r="F827" s="6" t="s">
        <v>1381</v>
      </c>
      <c r="G827" s="6" t="s">
        <v>187</v>
      </c>
      <c r="H827" s="47" t="s">
        <v>1803</v>
      </c>
      <c r="I827" s="122" t="s">
        <v>1804</v>
      </c>
    </row>
    <row r="828" spans="1:9" x14ac:dyDescent="0.2">
      <c r="A828" s="6">
        <v>1023</v>
      </c>
      <c r="B828" s="6" t="s">
        <v>1505</v>
      </c>
      <c r="C828" s="6">
        <v>32</v>
      </c>
      <c r="D828" s="6">
        <v>3</v>
      </c>
      <c r="E828" s="6">
        <v>48</v>
      </c>
      <c r="F828" s="6" t="s">
        <v>1381</v>
      </c>
      <c r="G828" s="6" t="s">
        <v>187</v>
      </c>
      <c r="H828" s="47" t="s">
        <v>1805</v>
      </c>
      <c r="I828" s="122" t="s">
        <v>1806</v>
      </c>
    </row>
    <row r="829" spans="1:9" x14ac:dyDescent="0.2">
      <c r="A829" s="6">
        <v>1024</v>
      </c>
      <c r="B829" s="6" t="s">
        <v>1505</v>
      </c>
      <c r="C829" s="6">
        <v>32</v>
      </c>
      <c r="D829" s="6">
        <v>3</v>
      </c>
      <c r="E829" s="6">
        <v>48</v>
      </c>
      <c r="F829" s="6" t="s">
        <v>1381</v>
      </c>
      <c r="G829" s="6" t="s">
        <v>187</v>
      </c>
      <c r="H829" s="47" t="s">
        <v>1807</v>
      </c>
      <c r="I829" s="122" t="s">
        <v>1808</v>
      </c>
    </row>
    <row r="830" spans="1:9" x14ac:dyDescent="0.2">
      <c r="A830" s="6">
        <v>1025</v>
      </c>
      <c r="B830" s="6" t="s">
        <v>1505</v>
      </c>
      <c r="C830" s="6">
        <v>32</v>
      </c>
      <c r="D830" s="6">
        <v>3</v>
      </c>
      <c r="E830" s="6">
        <v>48</v>
      </c>
      <c r="F830" s="6" t="s">
        <v>1381</v>
      </c>
      <c r="G830" s="6" t="s">
        <v>187</v>
      </c>
      <c r="H830" s="47" t="s">
        <v>1809</v>
      </c>
      <c r="I830" s="122" t="s">
        <v>1810</v>
      </c>
    </row>
    <row r="831" spans="1:9" x14ac:dyDescent="0.2">
      <c r="A831" s="6">
        <v>1026</v>
      </c>
      <c r="B831" s="6" t="s">
        <v>1505</v>
      </c>
      <c r="C831" s="6">
        <v>32</v>
      </c>
      <c r="D831" s="6">
        <v>3</v>
      </c>
      <c r="E831" s="6">
        <v>48</v>
      </c>
      <c r="F831" s="6" t="s">
        <v>1381</v>
      </c>
      <c r="G831" s="6" t="s">
        <v>187</v>
      </c>
      <c r="H831" s="47" t="s">
        <v>1811</v>
      </c>
      <c r="I831" s="122" t="s">
        <v>1812</v>
      </c>
    </row>
    <row r="832" spans="1:9" x14ac:dyDescent="0.2">
      <c r="A832" s="6">
        <v>1027</v>
      </c>
      <c r="B832" s="6" t="s">
        <v>1505</v>
      </c>
      <c r="C832" s="6">
        <v>32</v>
      </c>
      <c r="D832" s="6">
        <v>3</v>
      </c>
      <c r="E832" s="6">
        <v>48</v>
      </c>
      <c r="F832" s="6" t="s">
        <v>1381</v>
      </c>
      <c r="G832" s="6" t="s">
        <v>187</v>
      </c>
      <c r="H832" s="47" t="s">
        <v>1799</v>
      </c>
      <c r="I832" s="122" t="s">
        <v>1813</v>
      </c>
    </row>
    <row r="833" spans="1:9" x14ac:dyDescent="0.2">
      <c r="A833" s="6">
        <v>1028</v>
      </c>
      <c r="B833" s="6" t="s">
        <v>1505</v>
      </c>
      <c r="C833" s="6">
        <v>32</v>
      </c>
      <c r="D833" s="6">
        <v>3</v>
      </c>
      <c r="E833" s="6">
        <v>48</v>
      </c>
      <c r="F833" s="6" t="s">
        <v>1381</v>
      </c>
      <c r="G833" s="6" t="s">
        <v>187</v>
      </c>
      <c r="H833" s="47" t="s">
        <v>1814</v>
      </c>
      <c r="I833" s="122" t="s">
        <v>1815</v>
      </c>
    </row>
    <row r="834" spans="1:9" x14ac:dyDescent="0.2">
      <c r="A834" s="6">
        <v>1029</v>
      </c>
      <c r="B834" s="6" t="s">
        <v>1505</v>
      </c>
      <c r="C834" s="6">
        <v>32</v>
      </c>
      <c r="D834" s="6">
        <v>3</v>
      </c>
      <c r="E834" s="6">
        <v>48</v>
      </c>
      <c r="F834" s="6" t="s">
        <v>1381</v>
      </c>
      <c r="G834" s="6" t="s">
        <v>187</v>
      </c>
      <c r="H834" s="47" t="s">
        <v>1803</v>
      </c>
      <c r="I834" s="122" t="s">
        <v>1816</v>
      </c>
    </row>
    <row r="835" spans="1:9" x14ac:dyDescent="0.2">
      <c r="A835" s="6">
        <v>1030</v>
      </c>
      <c r="B835" s="6" t="s">
        <v>1505</v>
      </c>
      <c r="C835" s="6">
        <v>32</v>
      </c>
      <c r="D835" s="6">
        <v>3</v>
      </c>
      <c r="E835" s="6">
        <v>48</v>
      </c>
      <c r="F835" s="6" t="s">
        <v>1381</v>
      </c>
      <c r="G835" s="6" t="s">
        <v>187</v>
      </c>
      <c r="H835" s="47" t="s">
        <v>1805</v>
      </c>
      <c r="I835" s="122" t="s">
        <v>1817</v>
      </c>
    </row>
    <row r="836" spans="1:9" x14ac:dyDescent="0.2">
      <c r="A836" s="6">
        <v>1031</v>
      </c>
      <c r="B836" s="6" t="s">
        <v>1505</v>
      </c>
      <c r="C836" s="6">
        <v>32</v>
      </c>
      <c r="D836" s="6">
        <v>3</v>
      </c>
      <c r="E836" s="6">
        <v>48</v>
      </c>
      <c r="F836" s="6" t="s">
        <v>1381</v>
      </c>
      <c r="G836" s="6" t="s">
        <v>1722</v>
      </c>
      <c r="H836" s="47" t="s">
        <v>1818</v>
      </c>
      <c r="I836" s="122" t="s">
        <v>1819</v>
      </c>
    </row>
    <row r="837" spans="1:9" x14ac:dyDescent="0.2">
      <c r="A837" s="6">
        <v>1032</v>
      </c>
      <c r="B837" s="6" t="s">
        <v>1505</v>
      </c>
      <c r="C837" s="6">
        <v>32</v>
      </c>
      <c r="D837" s="6">
        <v>3</v>
      </c>
      <c r="E837" s="6">
        <v>48</v>
      </c>
      <c r="F837" s="6" t="s">
        <v>1381</v>
      </c>
      <c r="G837" s="6" t="s">
        <v>187</v>
      </c>
      <c r="H837" s="47" t="s">
        <v>1820</v>
      </c>
      <c r="I837" s="122" t="s">
        <v>1821</v>
      </c>
    </row>
    <row r="838" spans="1:9" x14ac:dyDescent="0.2">
      <c r="A838" s="6">
        <v>1033</v>
      </c>
      <c r="B838" s="6" t="s">
        <v>1505</v>
      </c>
      <c r="C838" s="6">
        <v>32</v>
      </c>
      <c r="D838" s="6">
        <v>3</v>
      </c>
      <c r="E838" s="6">
        <v>48</v>
      </c>
      <c r="F838" s="6" t="s">
        <v>1381</v>
      </c>
      <c r="G838" s="6" t="s">
        <v>187</v>
      </c>
      <c r="H838" s="47" t="s">
        <v>1822</v>
      </c>
      <c r="I838" s="122" t="s">
        <v>1823</v>
      </c>
    </row>
    <row r="839" spans="1:9" x14ac:dyDescent="0.2">
      <c r="A839" s="6">
        <v>1034</v>
      </c>
      <c r="B839" s="6" t="s">
        <v>1505</v>
      </c>
      <c r="C839" s="6">
        <v>32</v>
      </c>
      <c r="D839" s="6">
        <v>3</v>
      </c>
      <c r="E839" s="6">
        <v>48</v>
      </c>
      <c r="F839" s="6" t="s">
        <v>1381</v>
      </c>
      <c r="G839" s="6" t="s">
        <v>187</v>
      </c>
      <c r="H839" s="47" t="s">
        <v>1824</v>
      </c>
      <c r="I839" s="122" t="s">
        <v>1825</v>
      </c>
    </row>
    <row r="840" spans="1:9" x14ac:dyDescent="0.2">
      <c r="A840" s="6">
        <v>1035</v>
      </c>
      <c r="B840" s="6" t="s">
        <v>1505</v>
      </c>
      <c r="C840" s="6">
        <v>32</v>
      </c>
      <c r="D840" s="6">
        <v>3</v>
      </c>
      <c r="E840" s="6">
        <v>48</v>
      </c>
      <c r="F840" s="6" t="s">
        <v>1381</v>
      </c>
      <c r="G840" s="6" t="s">
        <v>187</v>
      </c>
      <c r="H840" s="47" t="s">
        <v>1826</v>
      </c>
      <c r="I840" s="122" t="s">
        <v>1827</v>
      </c>
    </row>
    <row r="841" spans="1:9" x14ac:dyDescent="0.2">
      <c r="A841" s="6">
        <v>1036</v>
      </c>
      <c r="B841" s="6" t="s">
        <v>1505</v>
      </c>
      <c r="C841" s="6">
        <v>32</v>
      </c>
      <c r="D841" s="6">
        <v>4</v>
      </c>
      <c r="E841" s="6">
        <v>48</v>
      </c>
      <c r="F841" s="6" t="s">
        <v>1381</v>
      </c>
      <c r="G841" s="6" t="s">
        <v>1386</v>
      </c>
      <c r="H841" s="47" t="s">
        <v>1828</v>
      </c>
      <c r="I841" s="122" t="s">
        <v>1829</v>
      </c>
    </row>
    <row r="842" spans="1:9" x14ac:dyDescent="0.2">
      <c r="A842" s="6">
        <v>1037</v>
      </c>
      <c r="B842" s="6" t="s">
        <v>1505</v>
      </c>
      <c r="C842" s="6">
        <v>32</v>
      </c>
      <c r="D842" s="6">
        <v>4</v>
      </c>
      <c r="E842" s="6">
        <v>48</v>
      </c>
      <c r="F842" s="6" t="s">
        <v>1381</v>
      </c>
      <c r="G842" s="6" t="s">
        <v>1386</v>
      </c>
      <c r="H842" s="47" t="s">
        <v>1830</v>
      </c>
      <c r="I842" s="122" t="s">
        <v>1831</v>
      </c>
    </row>
    <row r="843" spans="1:9" x14ac:dyDescent="0.2">
      <c r="A843" s="6">
        <v>1038</v>
      </c>
      <c r="B843" s="6" t="s">
        <v>1505</v>
      </c>
      <c r="C843" s="6">
        <v>32</v>
      </c>
      <c r="D843" s="6">
        <v>4</v>
      </c>
      <c r="E843" s="6">
        <v>48</v>
      </c>
      <c r="F843" s="6" t="s">
        <v>1381</v>
      </c>
      <c r="G843" s="6" t="s">
        <v>1386</v>
      </c>
      <c r="H843" s="47" t="s">
        <v>1832</v>
      </c>
      <c r="I843" s="122" t="s">
        <v>1833</v>
      </c>
    </row>
    <row r="844" spans="1:9" x14ac:dyDescent="0.2">
      <c r="A844" s="6">
        <v>1039</v>
      </c>
      <c r="B844" s="6" t="s">
        <v>1505</v>
      </c>
      <c r="C844" s="6">
        <v>32</v>
      </c>
      <c r="D844" s="6">
        <v>4</v>
      </c>
      <c r="E844" s="6">
        <v>48</v>
      </c>
      <c r="F844" s="6" t="s">
        <v>1381</v>
      </c>
      <c r="G844" s="6" t="s">
        <v>187</v>
      </c>
      <c r="H844" s="47" t="s">
        <v>1834</v>
      </c>
      <c r="I844" s="122" t="s">
        <v>1835</v>
      </c>
    </row>
    <row r="845" spans="1:9" x14ac:dyDescent="0.2">
      <c r="A845" s="6">
        <v>1040</v>
      </c>
      <c r="B845" s="6" t="s">
        <v>1505</v>
      </c>
      <c r="C845" s="6">
        <v>32</v>
      </c>
      <c r="D845" s="6">
        <v>4</v>
      </c>
      <c r="E845" s="6">
        <v>48</v>
      </c>
      <c r="F845" s="6" t="s">
        <v>1381</v>
      </c>
      <c r="G845" s="6" t="s">
        <v>187</v>
      </c>
      <c r="H845" s="47" t="s">
        <v>1836</v>
      </c>
      <c r="I845" s="122" t="s">
        <v>1837</v>
      </c>
    </row>
    <row r="846" spans="1:9" x14ac:dyDescent="0.2">
      <c r="A846" s="6">
        <v>1041</v>
      </c>
      <c r="B846" s="6" t="s">
        <v>1505</v>
      </c>
      <c r="C846" s="6">
        <v>32</v>
      </c>
      <c r="D846" s="6">
        <v>4</v>
      </c>
      <c r="E846" s="6">
        <v>48</v>
      </c>
      <c r="F846" s="6" t="s">
        <v>1381</v>
      </c>
      <c r="G846" s="6" t="s">
        <v>187</v>
      </c>
      <c r="H846" s="47" t="s">
        <v>1838</v>
      </c>
      <c r="I846" s="122" t="s">
        <v>1839</v>
      </c>
    </row>
    <row r="847" spans="1:9" x14ac:dyDescent="0.2">
      <c r="A847" s="6">
        <v>1042</v>
      </c>
      <c r="B847" s="6" t="s">
        <v>1505</v>
      </c>
      <c r="C847" s="6">
        <v>32</v>
      </c>
      <c r="D847" s="6">
        <v>4</v>
      </c>
      <c r="E847" s="6">
        <v>48</v>
      </c>
      <c r="F847" s="6" t="s">
        <v>1381</v>
      </c>
      <c r="G847" s="6" t="s">
        <v>187</v>
      </c>
      <c r="H847" s="47" t="s">
        <v>1840</v>
      </c>
      <c r="I847" s="122" t="s">
        <v>1841</v>
      </c>
    </row>
    <row r="848" spans="1:9" x14ac:dyDescent="0.2">
      <c r="A848" s="6">
        <v>1043</v>
      </c>
      <c r="B848" s="6" t="s">
        <v>1505</v>
      </c>
      <c r="C848" s="6">
        <v>32</v>
      </c>
      <c r="D848" s="6">
        <v>4</v>
      </c>
      <c r="E848" s="6">
        <v>48</v>
      </c>
      <c r="F848" s="6" t="s">
        <v>1381</v>
      </c>
      <c r="G848" s="6" t="s">
        <v>187</v>
      </c>
      <c r="H848" s="47" t="s">
        <v>1842</v>
      </c>
      <c r="I848" s="122" t="s">
        <v>1843</v>
      </c>
    </row>
    <row r="849" spans="1:9" x14ac:dyDescent="0.2">
      <c r="A849" s="6">
        <v>1044</v>
      </c>
      <c r="B849" s="6" t="s">
        <v>1505</v>
      </c>
      <c r="C849" s="6">
        <v>32</v>
      </c>
      <c r="D849" s="6">
        <v>4</v>
      </c>
      <c r="E849" s="6">
        <v>48</v>
      </c>
      <c r="F849" s="6" t="s">
        <v>1381</v>
      </c>
      <c r="G849" s="6" t="s">
        <v>187</v>
      </c>
      <c r="H849" s="47" t="s">
        <v>1844</v>
      </c>
      <c r="I849" s="122" t="s">
        <v>1845</v>
      </c>
    </row>
    <row r="850" spans="1:9" x14ac:dyDescent="0.2">
      <c r="A850" s="6">
        <v>1045</v>
      </c>
      <c r="B850" s="6" t="s">
        <v>1505</v>
      </c>
      <c r="C850" s="6">
        <v>32</v>
      </c>
      <c r="D850" s="6">
        <v>4</v>
      </c>
      <c r="E850" s="6">
        <v>48</v>
      </c>
      <c r="F850" s="6" t="s">
        <v>1381</v>
      </c>
      <c r="G850" s="6" t="s">
        <v>187</v>
      </c>
      <c r="H850" s="47" t="s">
        <v>1846</v>
      </c>
      <c r="I850" s="122" t="s">
        <v>1847</v>
      </c>
    </row>
    <row r="851" spans="1:9" x14ac:dyDescent="0.2">
      <c r="A851" s="6">
        <v>1046</v>
      </c>
      <c r="B851" s="6" t="s">
        <v>1505</v>
      </c>
      <c r="C851" s="6">
        <v>32</v>
      </c>
      <c r="D851" s="6">
        <v>4</v>
      </c>
      <c r="E851" s="6">
        <v>48</v>
      </c>
      <c r="F851" s="6" t="s">
        <v>1381</v>
      </c>
      <c r="G851" s="6" t="s">
        <v>187</v>
      </c>
      <c r="H851" s="47" t="s">
        <v>1834</v>
      </c>
      <c r="I851" s="122" t="s">
        <v>1848</v>
      </c>
    </row>
    <row r="852" spans="1:9" x14ac:dyDescent="0.2">
      <c r="A852" s="6">
        <v>1047</v>
      </c>
      <c r="B852" s="6" t="s">
        <v>1505</v>
      </c>
      <c r="C852" s="6">
        <v>32</v>
      </c>
      <c r="D852" s="6">
        <v>4</v>
      </c>
      <c r="E852" s="6">
        <v>48</v>
      </c>
      <c r="F852" s="6" t="s">
        <v>1381</v>
      </c>
      <c r="G852" s="6" t="s">
        <v>187</v>
      </c>
      <c r="H852" s="47" t="s">
        <v>1849</v>
      </c>
      <c r="I852" s="122" t="s">
        <v>1850</v>
      </c>
    </row>
    <row r="853" spans="1:9" x14ac:dyDescent="0.2">
      <c r="A853" s="6">
        <v>1048</v>
      </c>
      <c r="B853" s="6" t="s">
        <v>1505</v>
      </c>
      <c r="C853" s="6">
        <v>32</v>
      </c>
      <c r="D853" s="6">
        <v>4</v>
      </c>
      <c r="E853" s="6">
        <v>48</v>
      </c>
      <c r="F853" s="6" t="s">
        <v>1381</v>
      </c>
      <c r="G853" s="6" t="s">
        <v>187</v>
      </c>
      <c r="H853" s="47" t="s">
        <v>1836</v>
      </c>
      <c r="I853" s="122" t="s">
        <v>1851</v>
      </c>
    </row>
    <row r="854" spans="1:9" x14ac:dyDescent="0.2">
      <c r="A854" s="6">
        <v>1049</v>
      </c>
      <c r="B854" s="6" t="s">
        <v>1505</v>
      </c>
      <c r="C854" s="6">
        <v>32</v>
      </c>
      <c r="D854" s="6">
        <v>4</v>
      </c>
      <c r="E854" s="6">
        <v>48</v>
      </c>
      <c r="F854" s="6" t="s">
        <v>1381</v>
      </c>
      <c r="G854" s="6" t="s">
        <v>187</v>
      </c>
      <c r="H854" s="47" t="s">
        <v>1838</v>
      </c>
      <c r="I854" s="122" t="s">
        <v>1852</v>
      </c>
    </row>
    <row r="855" spans="1:9" x14ac:dyDescent="0.2">
      <c r="A855" s="6">
        <v>1050</v>
      </c>
      <c r="B855" s="6" t="s">
        <v>1505</v>
      </c>
      <c r="C855" s="6">
        <v>32</v>
      </c>
      <c r="D855" s="6">
        <v>4</v>
      </c>
      <c r="E855" s="6">
        <v>48</v>
      </c>
      <c r="F855" s="6" t="s">
        <v>1381</v>
      </c>
      <c r="G855" s="6" t="s">
        <v>1722</v>
      </c>
      <c r="H855" s="47" t="s">
        <v>1853</v>
      </c>
      <c r="I855" s="122" t="s">
        <v>1854</v>
      </c>
    </row>
    <row r="856" spans="1:9" x14ac:dyDescent="0.2">
      <c r="A856" s="6">
        <v>1051</v>
      </c>
      <c r="B856" s="6" t="s">
        <v>1505</v>
      </c>
      <c r="C856" s="6">
        <v>32</v>
      </c>
      <c r="D856" s="6">
        <v>4</v>
      </c>
      <c r="E856" s="6">
        <v>48</v>
      </c>
      <c r="F856" s="6" t="s">
        <v>1381</v>
      </c>
      <c r="G856" s="6" t="s">
        <v>187</v>
      </c>
      <c r="H856" s="47" t="s">
        <v>1855</v>
      </c>
      <c r="I856" s="122" t="s">
        <v>1856</v>
      </c>
    </row>
    <row r="857" spans="1:9" x14ac:dyDescent="0.2">
      <c r="A857" s="6">
        <v>1052</v>
      </c>
      <c r="B857" s="6" t="s">
        <v>1505</v>
      </c>
      <c r="C857" s="6">
        <v>32</v>
      </c>
      <c r="D857" s="6">
        <v>4</v>
      </c>
      <c r="E857" s="6">
        <v>48</v>
      </c>
      <c r="F857" s="6" t="s">
        <v>1381</v>
      </c>
      <c r="G857" s="6" t="s">
        <v>187</v>
      </c>
      <c r="H857" s="47" t="s">
        <v>1857</v>
      </c>
      <c r="I857" s="122" t="s">
        <v>1858</v>
      </c>
    </row>
    <row r="858" spans="1:9" x14ac:dyDescent="0.2">
      <c r="A858" s="6">
        <v>1053</v>
      </c>
      <c r="B858" s="6" t="s">
        <v>1505</v>
      </c>
      <c r="C858" s="6">
        <v>32</v>
      </c>
      <c r="D858" s="6">
        <v>4</v>
      </c>
      <c r="E858" s="6">
        <v>48</v>
      </c>
      <c r="F858" s="6" t="s">
        <v>1381</v>
      </c>
      <c r="G858" s="6" t="s">
        <v>187</v>
      </c>
      <c r="H858" s="47" t="s">
        <v>1859</v>
      </c>
      <c r="I858" s="122" t="s">
        <v>1860</v>
      </c>
    </row>
    <row r="859" spans="1:9" x14ac:dyDescent="0.2">
      <c r="A859" s="6">
        <v>1054</v>
      </c>
      <c r="B859" s="6" t="s">
        <v>1505</v>
      </c>
      <c r="C859" s="6">
        <v>32</v>
      </c>
      <c r="D859" s="6">
        <v>5</v>
      </c>
      <c r="E859" s="6">
        <v>48</v>
      </c>
      <c r="F859" s="6" t="s">
        <v>1381</v>
      </c>
      <c r="G859" s="6" t="s">
        <v>187</v>
      </c>
      <c r="H859" s="47" t="s">
        <v>1861</v>
      </c>
      <c r="I859" s="122" t="s">
        <v>1862</v>
      </c>
    </row>
    <row r="860" spans="1:9" x14ac:dyDescent="0.2">
      <c r="A860" s="6">
        <v>1055</v>
      </c>
      <c r="B860" s="6" t="s">
        <v>1505</v>
      </c>
      <c r="C860" s="6">
        <v>32</v>
      </c>
      <c r="D860" s="6">
        <v>5</v>
      </c>
      <c r="E860" s="6">
        <v>48</v>
      </c>
      <c r="F860" s="6" t="s">
        <v>1381</v>
      </c>
      <c r="G860" s="6" t="s">
        <v>187</v>
      </c>
      <c r="H860" s="47" t="s">
        <v>1863</v>
      </c>
      <c r="I860" s="122" t="s">
        <v>1864</v>
      </c>
    </row>
    <row r="861" spans="1:9" x14ac:dyDescent="0.2">
      <c r="A861" s="6">
        <v>1056</v>
      </c>
      <c r="B861" s="6" t="s">
        <v>1505</v>
      </c>
      <c r="C861" s="6">
        <v>32</v>
      </c>
      <c r="D861" s="6">
        <v>6</v>
      </c>
      <c r="E861" s="6">
        <v>48</v>
      </c>
      <c r="F861" s="6" t="s">
        <v>1381</v>
      </c>
      <c r="G861" s="6" t="s">
        <v>1386</v>
      </c>
      <c r="H861" s="47" t="s">
        <v>1865</v>
      </c>
      <c r="I861" s="122" t="s">
        <v>1866</v>
      </c>
    </row>
    <row r="862" spans="1:9" x14ac:dyDescent="0.2">
      <c r="A862" s="6">
        <v>1057</v>
      </c>
      <c r="B862" s="6" t="s">
        <v>1505</v>
      </c>
      <c r="C862" s="6">
        <v>32</v>
      </c>
      <c r="D862" s="6">
        <v>6</v>
      </c>
      <c r="E862" s="6">
        <v>48</v>
      </c>
      <c r="F862" s="6" t="s">
        <v>1381</v>
      </c>
      <c r="G862" s="6" t="s">
        <v>1386</v>
      </c>
      <c r="H862" s="47" t="s">
        <v>1867</v>
      </c>
      <c r="I862" s="122" t="s">
        <v>1868</v>
      </c>
    </row>
    <row r="863" spans="1:9" x14ac:dyDescent="0.2">
      <c r="A863" s="6">
        <v>1058</v>
      </c>
      <c r="B863" s="6" t="s">
        <v>1505</v>
      </c>
      <c r="C863" s="6">
        <v>32</v>
      </c>
      <c r="D863" s="6">
        <v>6</v>
      </c>
      <c r="E863" s="6">
        <v>48</v>
      </c>
      <c r="F863" s="6" t="s">
        <v>1381</v>
      </c>
      <c r="G863" s="6" t="s">
        <v>1386</v>
      </c>
      <c r="H863" s="47" t="s">
        <v>1869</v>
      </c>
      <c r="I863" s="122" t="s">
        <v>1870</v>
      </c>
    </row>
    <row r="864" spans="1:9" x14ac:dyDescent="0.2">
      <c r="A864" s="6">
        <v>1059</v>
      </c>
      <c r="B864" s="6" t="s">
        <v>1505</v>
      </c>
      <c r="C864" s="6">
        <v>32</v>
      </c>
      <c r="D864" s="6">
        <v>6</v>
      </c>
      <c r="E864" s="6">
        <v>48</v>
      </c>
      <c r="F864" s="6" t="s">
        <v>1381</v>
      </c>
      <c r="G864" s="6" t="s">
        <v>187</v>
      </c>
      <c r="H864" s="47" t="s">
        <v>1871</v>
      </c>
      <c r="I864" s="122" t="s">
        <v>1872</v>
      </c>
    </row>
    <row r="865" spans="1:9" x14ac:dyDescent="0.2">
      <c r="A865" s="6">
        <v>1060</v>
      </c>
      <c r="B865" s="6" t="s">
        <v>1505</v>
      </c>
      <c r="C865" s="6">
        <v>32</v>
      </c>
      <c r="D865" s="6">
        <v>6</v>
      </c>
      <c r="E865" s="6">
        <v>48</v>
      </c>
      <c r="F865" s="6" t="s">
        <v>1381</v>
      </c>
      <c r="G865" s="6" t="s">
        <v>187</v>
      </c>
      <c r="H865" s="47" t="s">
        <v>1873</v>
      </c>
      <c r="I865" s="122" t="s">
        <v>1874</v>
      </c>
    </row>
    <row r="866" spans="1:9" x14ac:dyDescent="0.2">
      <c r="A866" s="6">
        <v>1061</v>
      </c>
      <c r="B866" s="6" t="s">
        <v>1505</v>
      </c>
      <c r="C866" s="6">
        <v>32</v>
      </c>
      <c r="D866" s="6">
        <v>6</v>
      </c>
      <c r="E866" s="6">
        <v>48</v>
      </c>
      <c r="F866" s="6" t="s">
        <v>1381</v>
      </c>
      <c r="G866" s="6" t="s">
        <v>187</v>
      </c>
      <c r="H866" s="47" t="s">
        <v>1875</v>
      </c>
      <c r="I866" s="122" t="s">
        <v>1876</v>
      </c>
    </row>
    <row r="867" spans="1:9" x14ac:dyDescent="0.2">
      <c r="A867" s="6">
        <v>1062</v>
      </c>
      <c r="B867" s="6" t="s">
        <v>1505</v>
      </c>
      <c r="C867" s="6">
        <v>32</v>
      </c>
      <c r="D867" s="6">
        <v>6</v>
      </c>
      <c r="E867" s="6">
        <v>48</v>
      </c>
      <c r="F867" s="6" t="s">
        <v>1381</v>
      </c>
      <c r="G867" s="6" t="s">
        <v>187</v>
      </c>
      <c r="H867" s="47" t="s">
        <v>1877</v>
      </c>
      <c r="I867" s="122" t="s">
        <v>1878</v>
      </c>
    </row>
    <row r="868" spans="1:9" x14ac:dyDescent="0.2">
      <c r="A868" s="6">
        <v>1063</v>
      </c>
      <c r="B868" s="6" t="s">
        <v>1505</v>
      </c>
      <c r="C868" s="6">
        <v>32</v>
      </c>
      <c r="D868" s="6">
        <v>6</v>
      </c>
      <c r="E868" s="6">
        <v>48</v>
      </c>
      <c r="F868" s="6" t="s">
        <v>1381</v>
      </c>
      <c r="G868" s="6" t="s">
        <v>187</v>
      </c>
      <c r="H868" s="47" t="s">
        <v>1879</v>
      </c>
      <c r="I868" s="122" t="s">
        <v>1880</v>
      </c>
    </row>
    <row r="869" spans="1:9" x14ac:dyDescent="0.2">
      <c r="A869" s="6">
        <v>1064</v>
      </c>
      <c r="B869" s="6" t="s">
        <v>1505</v>
      </c>
      <c r="C869" s="6">
        <v>32</v>
      </c>
      <c r="D869" s="6">
        <v>6</v>
      </c>
      <c r="E869" s="6">
        <v>48</v>
      </c>
      <c r="F869" s="6" t="s">
        <v>1381</v>
      </c>
      <c r="G869" s="6" t="s">
        <v>187</v>
      </c>
      <c r="H869" s="47" t="s">
        <v>1875</v>
      </c>
      <c r="I869" s="122" t="s">
        <v>1881</v>
      </c>
    </row>
    <row r="870" spans="1:9" x14ac:dyDescent="0.2">
      <c r="A870" s="6">
        <v>1065</v>
      </c>
      <c r="B870" s="6" t="s">
        <v>1505</v>
      </c>
      <c r="C870" s="6">
        <v>32</v>
      </c>
      <c r="D870" s="6">
        <v>6</v>
      </c>
      <c r="E870" s="6">
        <v>48</v>
      </c>
      <c r="F870" s="6" t="s">
        <v>1381</v>
      </c>
      <c r="G870" s="6" t="s">
        <v>187</v>
      </c>
      <c r="H870" s="47" t="s">
        <v>1882</v>
      </c>
      <c r="I870" s="122" t="s">
        <v>1883</v>
      </c>
    </row>
    <row r="871" spans="1:9" x14ac:dyDescent="0.2">
      <c r="A871" s="6">
        <v>1066</v>
      </c>
      <c r="B871" s="6" t="s">
        <v>1505</v>
      </c>
      <c r="C871" s="6">
        <v>32</v>
      </c>
      <c r="D871" s="6">
        <v>8</v>
      </c>
      <c r="E871" s="6">
        <v>48</v>
      </c>
      <c r="F871" s="6" t="s">
        <v>1381</v>
      </c>
      <c r="G871" s="6" t="s">
        <v>1386</v>
      </c>
      <c r="H871" s="47" t="s">
        <v>1884</v>
      </c>
      <c r="I871" s="122" t="s">
        <v>1885</v>
      </c>
    </row>
    <row r="872" spans="1:9" x14ac:dyDescent="0.2">
      <c r="A872" s="6">
        <v>1067</v>
      </c>
      <c r="B872" s="6" t="s">
        <v>1505</v>
      </c>
      <c r="C872" s="6">
        <v>32</v>
      </c>
      <c r="D872" s="6">
        <v>8</v>
      </c>
      <c r="E872" s="6">
        <v>48</v>
      </c>
      <c r="F872" s="6" t="s">
        <v>1381</v>
      </c>
      <c r="G872" s="6" t="s">
        <v>1386</v>
      </c>
      <c r="H872" s="47" t="s">
        <v>1886</v>
      </c>
      <c r="I872" s="122" t="s">
        <v>1887</v>
      </c>
    </row>
    <row r="873" spans="1:9" x14ac:dyDescent="0.2">
      <c r="A873" s="6">
        <v>1068</v>
      </c>
      <c r="B873" s="6" t="s">
        <v>1505</v>
      </c>
      <c r="C873" s="6">
        <v>32</v>
      </c>
      <c r="D873" s="6">
        <v>8</v>
      </c>
      <c r="E873" s="6">
        <v>48</v>
      </c>
      <c r="F873" s="6" t="s">
        <v>1381</v>
      </c>
      <c r="G873" s="6" t="s">
        <v>1386</v>
      </c>
      <c r="H873" s="47" t="s">
        <v>1888</v>
      </c>
      <c r="I873" s="122" t="s">
        <v>1889</v>
      </c>
    </row>
    <row r="874" spans="1:9" x14ac:dyDescent="0.2">
      <c r="A874" s="6">
        <v>1069</v>
      </c>
      <c r="B874" s="6" t="s">
        <v>1505</v>
      </c>
      <c r="C874" s="6">
        <v>32</v>
      </c>
      <c r="D874" s="6">
        <v>8</v>
      </c>
      <c r="E874" s="6">
        <v>48</v>
      </c>
      <c r="F874" s="6" t="s">
        <v>1381</v>
      </c>
      <c r="G874" s="6" t="s">
        <v>187</v>
      </c>
      <c r="H874" s="47" t="s">
        <v>1890</v>
      </c>
      <c r="I874" s="122" t="s">
        <v>1891</v>
      </c>
    </row>
    <row r="875" spans="1:9" x14ac:dyDescent="0.2">
      <c r="A875" s="6">
        <v>1070</v>
      </c>
      <c r="B875" s="6" t="s">
        <v>1505</v>
      </c>
      <c r="C875" s="6">
        <v>32</v>
      </c>
      <c r="D875" s="6">
        <v>8</v>
      </c>
      <c r="E875" s="6">
        <v>48</v>
      </c>
      <c r="F875" s="6" t="s">
        <v>1381</v>
      </c>
      <c r="G875" s="6" t="s">
        <v>187</v>
      </c>
      <c r="H875" s="47" t="s">
        <v>1892</v>
      </c>
      <c r="I875" s="122" t="s">
        <v>1893</v>
      </c>
    </row>
    <row r="876" spans="1:9" x14ac:dyDescent="0.2">
      <c r="A876" s="6">
        <v>1071</v>
      </c>
      <c r="B876" s="6" t="s">
        <v>1505</v>
      </c>
      <c r="C876" s="6">
        <v>32</v>
      </c>
      <c r="D876" s="6">
        <v>8</v>
      </c>
      <c r="E876" s="6">
        <v>48</v>
      </c>
      <c r="F876" s="6" t="s">
        <v>1381</v>
      </c>
      <c r="G876" s="6" t="s">
        <v>187</v>
      </c>
      <c r="H876" s="47" t="s">
        <v>1890</v>
      </c>
      <c r="I876" s="122" t="s">
        <v>1894</v>
      </c>
    </row>
    <row r="877" spans="1:9" x14ac:dyDescent="0.2">
      <c r="A877" s="6">
        <v>1072</v>
      </c>
      <c r="B877" s="6" t="s">
        <v>1505</v>
      </c>
      <c r="C877" s="6">
        <v>32</v>
      </c>
      <c r="D877" s="6">
        <v>8</v>
      </c>
      <c r="E877" s="6">
        <v>48</v>
      </c>
      <c r="F877" s="6" t="s">
        <v>1381</v>
      </c>
      <c r="G877" s="6" t="s">
        <v>187</v>
      </c>
      <c r="H877" s="47" t="s">
        <v>1892</v>
      </c>
      <c r="I877" s="122" t="s">
        <v>1895</v>
      </c>
    </row>
    <row r="878" spans="1:9" x14ac:dyDescent="0.2">
      <c r="A878" s="6">
        <v>1073</v>
      </c>
      <c r="B878" s="6" t="s">
        <v>1505</v>
      </c>
      <c r="C878" s="6">
        <v>32</v>
      </c>
      <c r="D878" s="6">
        <v>8</v>
      </c>
      <c r="E878" s="6">
        <v>48</v>
      </c>
      <c r="F878" s="6" t="s">
        <v>1381</v>
      </c>
      <c r="G878" s="6" t="s">
        <v>187</v>
      </c>
      <c r="H878" s="47" t="s">
        <v>1896</v>
      </c>
      <c r="I878" s="122" t="s">
        <v>1897</v>
      </c>
    </row>
    <row r="879" spans="1:9" x14ac:dyDescent="0.2">
      <c r="A879" s="6">
        <v>1074</v>
      </c>
      <c r="B879" s="6" t="s">
        <v>1505</v>
      </c>
      <c r="C879" s="6">
        <v>25</v>
      </c>
      <c r="D879" s="6">
        <v>1</v>
      </c>
      <c r="E879" s="6">
        <v>48</v>
      </c>
      <c r="F879" s="6" t="s">
        <v>1381</v>
      </c>
      <c r="G879" s="6" t="s">
        <v>1386</v>
      </c>
      <c r="H879" s="47" t="s">
        <v>1898</v>
      </c>
      <c r="I879" s="122" t="s">
        <v>1899</v>
      </c>
    </row>
    <row r="880" spans="1:9" x14ac:dyDescent="0.2">
      <c r="A880" s="6">
        <v>1075</v>
      </c>
      <c r="B880" s="6" t="s">
        <v>1505</v>
      </c>
      <c r="C880" s="6">
        <v>25</v>
      </c>
      <c r="D880" s="6">
        <v>1</v>
      </c>
      <c r="E880" s="6">
        <v>48</v>
      </c>
      <c r="F880" s="6" t="s">
        <v>1381</v>
      </c>
      <c r="G880" s="6" t="s">
        <v>1386</v>
      </c>
      <c r="H880" s="47" t="s">
        <v>1900</v>
      </c>
      <c r="I880" s="122" t="s">
        <v>1901</v>
      </c>
    </row>
    <row r="881" spans="1:9" x14ac:dyDescent="0.2">
      <c r="A881" s="6">
        <v>1076</v>
      </c>
      <c r="B881" s="6" t="s">
        <v>1505</v>
      </c>
      <c r="C881" s="6">
        <v>25</v>
      </c>
      <c r="D881" s="6">
        <v>1</v>
      </c>
      <c r="E881" s="6">
        <v>48</v>
      </c>
      <c r="F881" s="6" t="s">
        <v>1381</v>
      </c>
      <c r="G881" s="6" t="s">
        <v>187</v>
      </c>
      <c r="H881" s="47" t="s">
        <v>1902</v>
      </c>
      <c r="I881" s="122" t="s">
        <v>1903</v>
      </c>
    </row>
    <row r="882" spans="1:9" x14ac:dyDescent="0.2">
      <c r="A882" s="6">
        <v>1077</v>
      </c>
      <c r="B882" s="6" t="s">
        <v>1505</v>
      </c>
      <c r="C882" s="6">
        <v>25</v>
      </c>
      <c r="D882" s="6">
        <v>1</v>
      </c>
      <c r="E882" s="6">
        <v>48</v>
      </c>
      <c r="F882" s="6" t="s">
        <v>1381</v>
      </c>
      <c r="G882" s="6" t="s">
        <v>187</v>
      </c>
      <c r="H882" s="47" t="s">
        <v>1904</v>
      </c>
      <c r="I882" s="122" t="s">
        <v>1905</v>
      </c>
    </row>
    <row r="883" spans="1:9" x14ac:dyDescent="0.2">
      <c r="A883" s="6">
        <v>1078</v>
      </c>
      <c r="B883" s="6" t="s">
        <v>1505</v>
      </c>
      <c r="C883" s="6">
        <v>25</v>
      </c>
      <c r="D883" s="6">
        <v>1</v>
      </c>
      <c r="E883" s="6">
        <v>48</v>
      </c>
      <c r="F883" s="6" t="s">
        <v>1381</v>
      </c>
      <c r="G883" s="6" t="s">
        <v>187</v>
      </c>
      <c r="H883" s="47" t="s">
        <v>1906</v>
      </c>
      <c r="I883" s="122" t="s">
        <v>1907</v>
      </c>
    </row>
    <row r="884" spans="1:9" x14ac:dyDescent="0.2">
      <c r="A884" s="6">
        <v>1079</v>
      </c>
      <c r="B884" s="6" t="s">
        <v>1505</v>
      </c>
      <c r="C884" s="6">
        <v>25</v>
      </c>
      <c r="D884" s="6">
        <v>1</v>
      </c>
      <c r="E884" s="6">
        <v>48</v>
      </c>
      <c r="F884" s="6" t="s">
        <v>1381</v>
      </c>
      <c r="G884" s="6" t="s">
        <v>187</v>
      </c>
      <c r="H884" s="47" t="s">
        <v>1908</v>
      </c>
      <c r="I884" s="122" t="s">
        <v>1909</v>
      </c>
    </row>
    <row r="885" spans="1:9" x14ac:dyDescent="0.2">
      <c r="A885" s="6">
        <v>1080</v>
      </c>
      <c r="B885" s="6" t="s">
        <v>1505</v>
      </c>
      <c r="C885" s="6">
        <v>25</v>
      </c>
      <c r="D885" s="6">
        <v>1</v>
      </c>
      <c r="E885" s="6">
        <v>48</v>
      </c>
      <c r="F885" s="6" t="s">
        <v>1381</v>
      </c>
      <c r="G885" s="6" t="s">
        <v>187</v>
      </c>
      <c r="H885" s="47" t="s">
        <v>1910</v>
      </c>
      <c r="I885" s="122" t="s">
        <v>1911</v>
      </c>
    </row>
    <row r="886" spans="1:9" x14ac:dyDescent="0.2">
      <c r="A886" s="6">
        <v>1081</v>
      </c>
      <c r="B886" s="6" t="s">
        <v>1505</v>
      </c>
      <c r="C886" s="6">
        <v>25</v>
      </c>
      <c r="D886" s="6">
        <v>1</v>
      </c>
      <c r="E886" s="6">
        <v>48</v>
      </c>
      <c r="F886" s="6" t="s">
        <v>1381</v>
      </c>
      <c r="G886" s="6" t="s">
        <v>187</v>
      </c>
      <c r="H886" s="47" t="s">
        <v>1912</v>
      </c>
      <c r="I886" s="122" t="s">
        <v>1913</v>
      </c>
    </row>
    <row r="887" spans="1:9" x14ac:dyDescent="0.2">
      <c r="A887" s="6">
        <v>1082</v>
      </c>
      <c r="B887" s="6" t="s">
        <v>1505</v>
      </c>
      <c r="C887" s="6">
        <v>25</v>
      </c>
      <c r="D887" s="6">
        <v>2</v>
      </c>
      <c r="E887" s="6">
        <v>48</v>
      </c>
      <c r="F887" s="6" t="s">
        <v>1381</v>
      </c>
      <c r="G887" s="6" t="s">
        <v>1386</v>
      </c>
      <c r="H887" s="47" t="s">
        <v>1914</v>
      </c>
      <c r="I887" s="122" t="s">
        <v>1915</v>
      </c>
    </row>
    <row r="888" spans="1:9" x14ac:dyDescent="0.2">
      <c r="A888" s="6">
        <v>1083</v>
      </c>
      <c r="B888" s="6" t="s">
        <v>1505</v>
      </c>
      <c r="C888" s="6">
        <v>25</v>
      </c>
      <c r="D888" s="6">
        <v>2</v>
      </c>
      <c r="E888" s="6">
        <v>48</v>
      </c>
      <c r="F888" s="6" t="s">
        <v>1381</v>
      </c>
      <c r="G888" s="6" t="s">
        <v>1386</v>
      </c>
      <c r="H888" s="47" t="s">
        <v>1916</v>
      </c>
      <c r="I888" s="122" t="s">
        <v>1917</v>
      </c>
    </row>
    <row r="889" spans="1:9" x14ac:dyDescent="0.2">
      <c r="A889" s="6">
        <v>1084</v>
      </c>
      <c r="B889" s="6" t="s">
        <v>1505</v>
      </c>
      <c r="C889" s="6">
        <v>25</v>
      </c>
      <c r="D889" s="6">
        <v>2</v>
      </c>
      <c r="E889" s="6">
        <v>48</v>
      </c>
      <c r="F889" s="6" t="s">
        <v>1381</v>
      </c>
      <c r="G889" s="6" t="s">
        <v>187</v>
      </c>
      <c r="H889" s="47" t="s">
        <v>1918</v>
      </c>
      <c r="I889" s="122" t="s">
        <v>1919</v>
      </c>
    </row>
    <row r="890" spans="1:9" x14ac:dyDescent="0.2">
      <c r="A890" s="6">
        <v>1085</v>
      </c>
      <c r="B890" s="6" t="s">
        <v>1505</v>
      </c>
      <c r="C890" s="6">
        <v>25</v>
      </c>
      <c r="D890" s="6">
        <v>2</v>
      </c>
      <c r="E890" s="6">
        <v>48</v>
      </c>
      <c r="F890" s="6" t="s">
        <v>1381</v>
      </c>
      <c r="G890" s="6" t="s">
        <v>187</v>
      </c>
      <c r="H890" s="47" t="s">
        <v>1920</v>
      </c>
      <c r="I890" s="122" t="s">
        <v>1921</v>
      </c>
    </row>
    <row r="891" spans="1:9" x14ac:dyDescent="0.2">
      <c r="A891" s="6">
        <v>1086</v>
      </c>
      <c r="B891" s="6" t="s">
        <v>1505</v>
      </c>
      <c r="C891" s="6">
        <v>25</v>
      </c>
      <c r="D891" s="6">
        <v>2</v>
      </c>
      <c r="E891" s="6">
        <v>48</v>
      </c>
      <c r="F891" s="6" t="s">
        <v>1381</v>
      </c>
      <c r="G891" s="6" t="s">
        <v>187</v>
      </c>
      <c r="H891" s="47" t="s">
        <v>1922</v>
      </c>
      <c r="I891" s="122" t="s">
        <v>1923</v>
      </c>
    </row>
    <row r="892" spans="1:9" x14ac:dyDescent="0.2">
      <c r="A892" s="6">
        <v>1087</v>
      </c>
      <c r="B892" s="6" t="s">
        <v>1505</v>
      </c>
      <c r="C892" s="6">
        <v>25</v>
      </c>
      <c r="D892" s="6">
        <v>2</v>
      </c>
      <c r="E892" s="6">
        <v>48</v>
      </c>
      <c r="F892" s="6" t="s">
        <v>1381</v>
      </c>
      <c r="G892" s="6" t="s">
        <v>187</v>
      </c>
      <c r="H892" s="47" t="s">
        <v>1924</v>
      </c>
      <c r="I892" s="122" t="s">
        <v>1925</v>
      </c>
    </row>
    <row r="893" spans="1:9" x14ac:dyDescent="0.2">
      <c r="A893" s="6">
        <v>1088</v>
      </c>
      <c r="B893" s="6" t="s">
        <v>1505</v>
      </c>
      <c r="C893" s="6">
        <v>25</v>
      </c>
      <c r="D893" s="6">
        <v>2</v>
      </c>
      <c r="E893" s="6">
        <v>48</v>
      </c>
      <c r="F893" s="6" t="s">
        <v>1381</v>
      </c>
      <c r="G893" s="6" t="s">
        <v>187</v>
      </c>
      <c r="H893" s="47" t="s">
        <v>1926</v>
      </c>
      <c r="I893" s="122" t="s">
        <v>1927</v>
      </c>
    </row>
    <row r="894" spans="1:9" x14ac:dyDescent="0.2">
      <c r="A894" s="6">
        <v>1089</v>
      </c>
      <c r="B894" s="6" t="s">
        <v>1505</v>
      </c>
      <c r="C894" s="6">
        <v>25</v>
      </c>
      <c r="D894" s="6">
        <v>2</v>
      </c>
      <c r="E894" s="6">
        <v>48</v>
      </c>
      <c r="F894" s="6" t="s">
        <v>1381</v>
      </c>
      <c r="G894" s="6" t="s">
        <v>187</v>
      </c>
      <c r="H894" s="47" t="s">
        <v>1928</v>
      </c>
      <c r="I894" s="122" t="s">
        <v>1929</v>
      </c>
    </row>
    <row r="895" spans="1:9" x14ac:dyDescent="0.2">
      <c r="A895" s="6">
        <v>1090</v>
      </c>
      <c r="B895" s="6" t="s">
        <v>1505</v>
      </c>
      <c r="C895" s="6">
        <v>25</v>
      </c>
      <c r="D895" s="6">
        <v>3</v>
      </c>
      <c r="E895" s="6">
        <v>48</v>
      </c>
      <c r="F895" s="6" t="s">
        <v>1381</v>
      </c>
      <c r="G895" s="6" t="s">
        <v>1386</v>
      </c>
      <c r="H895" s="47" t="s">
        <v>1930</v>
      </c>
      <c r="I895" s="122" t="s">
        <v>1931</v>
      </c>
    </row>
    <row r="896" spans="1:9" x14ac:dyDescent="0.2">
      <c r="A896" s="6">
        <v>1091</v>
      </c>
      <c r="B896" s="6" t="s">
        <v>1505</v>
      </c>
      <c r="C896" s="6">
        <v>25</v>
      </c>
      <c r="D896" s="6">
        <v>3</v>
      </c>
      <c r="E896" s="6">
        <v>48</v>
      </c>
      <c r="F896" s="6" t="s">
        <v>1381</v>
      </c>
      <c r="G896" s="6" t="s">
        <v>1386</v>
      </c>
      <c r="H896" s="47" t="s">
        <v>1932</v>
      </c>
      <c r="I896" s="122" t="s">
        <v>1933</v>
      </c>
    </row>
    <row r="897" spans="1:9" x14ac:dyDescent="0.2">
      <c r="A897" s="6">
        <v>1092</v>
      </c>
      <c r="B897" s="6" t="s">
        <v>1505</v>
      </c>
      <c r="C897" s="6">
        <v>25</v>
      </c>
      <c r="D897" s="6">
        <v>3</v>
      </c>
      <c r="E897" s="6">
        <v>48</v>
      </c>
      <c r="F897" s="6" t="s">
        <v>1381</v>
      </c>
      <c r="G897" s="6" t="s">
        <v>187</v>
      </c>
      <c r="H897" s="47" t="s">
        <v>1934</v>
      </c>
      <c r="I897" s="122" t="s">
        <v>1935</v>
      </c>
    </row>
    <row r="898" spans="1:9" x14ac:dyDescent="0.2">
      <c r="A898" s="6">
        <v>1093</v>
      </c>
      <c r="B898" s="6" t="s">
        <v>1505</v>
      </c>
      <c r="C898" s="6">
        <v>25</v>
      </c>
      <c r="D898" s="6">
        <v>3</v>
      </c>
      <c r="E898" s="6">
        <v>48</v>
      </c>
      <c r="F898" s="6" t="s">
        <v>1381</v>
      </c>
      <c r="G898" s="6" t="s">
        <v>187</v>
      </c>
      <c r="H898" s="47" t="s">
        <v>1936</v>
      </c>
      <c r="I898" s="122" t="s">
        <v>1937</v>
      </c>
    </row>
    <row r="899" spans="1:9" x14ac:dyDescent="0.2">
      <c r="A899" s="6">
        <v>1094</v>
      </c>
      <c r="B899" s="6" t="s">
        <v>1505</v>
      </c>
      <c r="C899" s="6">
        <v>25</v>
      </c>
      <c r="D899" s="6">
        <v>3</v>
      </c>
      <c r="E899" s="6">
        <v>48</v>
      </c>
      <c r="F899" s="6" t="s">
        <v>1381</v>
      </c>
      <c r="G899" s="6" t="s">
        <v>187</v>
      </c>
      <c r="H899" s="47" t="s">
        <v>1938</v>
      </c>
      <c r="I899" s="122" t="s">
        <v>1939</v>
      </c>
    </row>
    <row r="900" spans="1:9" x14ac:dyDescent="0.2">
      <c r="A900" s="6">
        <v>1095</v>
      </c>
      <c r="B900" s="6" t="s">
        <v>1505</v>
      </c>
      <c r="C900" s="6">
        <v>25</v>
      </c>
      <c r="D900" s="6">
        <v>3</v>
      </c>
      <c r="E900" s="6">
        <v>48</v>
      </c>
      <c r="F900" s="6" t="s">
        <v>1381</v>
      </c>
      <c r="G900" s="6" t="s">
        <v>187</v>
      </c>
      <c r="H900" s="47" t="s">
        <v>1940</v>
      </c>
      <c r="I900" s="122" t="s">
        <v>1941</v>
      </c>
    </row>
    <row r="901" spans="1:9" x14ac:dyDescent="0.2">
      <c r="A901" s="6">
        <v>1096</v>
      </c>
      <c r="B901" s="6" t="s">
        <v>1505</v>
      </c>
      <c r="C901" s="6">
        <v>25</v>
      </c>
      <c r="D901" s="6">
        <v>3</v>
      </c>
      <c r="E901" s="6">
        <v>48</v>
      </c>
      <c r="F901" s="6" t="s">
        <v>1381</v>
      </c>
      <c r="G901" s="6" t="s">
        <v>187</v>
      </c>
      <c r="H901" s="47" t="s">
        <v>1936</v>
      </c>
      <c r="I901" s="122" t="s">
        <v>1942</v>
      </c>
    </row>
    <row r="902" spans="1:9" x14ac:dyDescent="0.2">
      <c r="A902" s="6">
        <v>1097</v>
      </c>
      <c r="B902" s="6" t="s">
        <v>1505</v>
      </c>
      <c r="C902" s="6">
        <v>25</v>
      </c>
      <c r="D902" s="6">
        <v>4</v>
      </c>
      <c r="E902" s="6">
        <v>48</v>
      </c>
      <c r="F902" s="6" t="s">
        <v>1381</v>
      </c>
      <c r="G902" s="6" t="s">
        <v>1386</v>
      </c>
      <c r="H902" s="47" t="s">
        <v>1943</v>
      </c>
      <c r="I902" s="122" t="s">
        <v>1944</v>
      </c>
    </row>
    <row r="903" spans="1:9" x14ac:dyDescent="0.2">
      <c r="A903" s="6">
        <v>1098</v>
      </c>
      <c r="B903" s="6" t="s">
        <v>1505</v>
      </c>
      <c r="C903" s="6">
        <v>25</v>
      </c>
      <c r="D903" s="6">
        <v>4</v>
      </c>
      <c r="E903" s="6">
        <v>48</v>
      </c>
      <c r="F903" s="6" t="s">
        <v>1381</v>
      </c>
      <c r="G903" s="6" t="s">
        <v>1386</v>
      </c>
      <c r="H903" s="47" t="s">
        <v>1945</v>
      </c>
      <c r="I903" s="122" t="s">
        <v>1946</v>
      </c>
    </row>
    <row r="904" spans="1:9" x14ac:dyDescent="0.2">
      <c r="A904" s="6">
        <v>1099</v>
      </c>
      <c r="B904" s="6" t="s">
        <v>1505</v>
      </c>
      <c r="C904" s="6">
        <v>25</v>
      </c>
      <c r="D904" s="6">
        <v>4</v>
      </c>
      <c r="E904" s="6">
        <v>48</v>
      </c>
      <c r="F904" s="6" t="s">
        <v>1381</v>
      </c>
      <c r="G904" s="6" t="s">
        <v>187</v>
      </c>
      <c r="H904" s="47" t="s">
        <v>1947</v>
      </c>
      <c r="I904" s="122" t="s">
        <v>1948</v>
      </c>
    </row>
    <row r="905" spans="1:9" x14ac:dyDescent="0.2">
      <c r="A905" s="6">
        <v>1100</v>
      </c>
      <c r="B905" s="6" t="s">
        <v>1505</v>
      </c>
      <c r="C905" s="6">
        <v>25</v>
      </c>
      <c r="D905" s="6">
        <v>4</v>
      </c>
      <c r="E905" s="6">
        <v>48</v>
      </c>
      <c r="F905" s="6" t="s">
        <v>1381</v>
      </c>
      <c r="G905" s="6" t="s">
        <v>187</v>
      </c>
      <c r="H905" s="47" t="s">
        <v>1947</v>
      </c>
      <c r="I905" s="122" t="s">
        <v>1949</v>
      </c>
    </row>
    <row r="906" spans="1:9" x14ac:dyDescent="0.2">
      <c r="A906" s="6">
        <v>1101</v>
      </c>
      <c r="B906" s="6" t="s">
        <v>1505</v>
      </c>
      <c r="C906" s="6">
        <v>25</v>
      </c>
      <c r="D906" s="6">
        <v>4</v>
      </c>
      <c r="E906" s="6">
        <v>48</v>
      </c>
      <c r="F906" s="6" t="s">
        <v>1381</v>
      </c>
      <c r="G906" s="6" t="s">
        <v>187</v>
      </c>
      <c r="H906" s="47" t="s">
        <v>1950</v>
      </c>
      <c r="I906" s="122" t="s">
        <v>1951</v>
      </c>
    </row>
    <row r="907" spans="1:9" x14ac:dyDescent="0.2">
      <c r="A907" s="6">
        <v>1102</v>
      </c>
      <c r="B907" s="6" t="s">
        <v>1505</v>
      </c>
      <c r="C907" s="6">
        <v>25</v>
      </c>
      <c r="D907" s="6">
        <v>4</v>
      </c>
      <c r="E907" s="6">
        <v>48</v>
      </c>
      <c r="F907" s="6" t="s">
        <v>1381</v>
      </c>
      <c r="G907" s="6" t="s">
        <v>187</v>
      </c>
      <c r="H907" s="47" t="s">
        <v>1952</v>
      </c>
      <c r="I907" s="122" t="s">
        <v>1953</v>
      </c>
    </row>
    <row r="908" spans="1:9" x14ac:dyDescent="0.2">
      <c r="A908" s="6">
        <v>1103</v>
      </c>
      <c r="B908" s="6" t="s">
        <v>1505</v>
      </c>
      <c r="C908" s="6">
        <v>25</v>
      </c>
      <c r="D908" s="6">
        <v>6</v>
      </c>
      <c r="E908" s="6">
        <v>48</v>
      </c>
      <c r="F908" s="6" t="s">
        <v>1381</v>
      </c>
      <c r="G908" s="6" t="s">
        <v>187</v>
      </c>
      <c r="H908" s="47" t="s">
        <v>1954</v>
      </c>
      <c r="I908" s="122" t="s">
        <v>1955</v>
      </c>
    </row>
    <row r="909" spans="1:9" x14ac:dyDescent="0.2">
      <c r="A909" s="6">
        <v>1104</v>
      </c>
      <c r="B909" s="6" t="s">
        <v>1505</v>
      </c>
      <c r="C909" s="6">
        <v>25</v>
      </c>
      <c r="D909" s="6">
        <v>6</v>
      </c>
      <c r="E909" s="6">
        <v>48</v>
      </c>
      <c r="F909" s="6" t="s">
        <v>1381</v>
      </c>
      <c r="G909" s="6" t="s">
        <v>187</v>
      </c>
      <c r="H909" s="47" t="s">
        <v>1956</v>
      </c>
      <c r="I909" s="122" t="s">
        <v>1957</v>
      </c>
    </row>
    <row r="910" spans="1:9" x14ac:dyDescent="0.2">
      <c r="A910" s="6">
        <v>1105</v>
      </c>
      <c r="B910" s="6" t="s">
        <v>1505</v>
      </c>
      <c r="C910" s="6">
        <v>28</v>
      </c>
      <c r="D910" s="6">
        <v>1</v>
      </c>
      <c r="E910" s="6">
        <v>48</v>
      </c>
      <c r="F910" s="6" t="s">
        <v>1381</v>
      </c>
      <c r="G910" s="6" t="s">
        <v>1386</v>
      </c>
      <c r="H910" s="47" t="s">
        <v>1958</v>
      </c>
      <c r="I910" s="122" t="s">
        <v>1959</v>
      </c>
    </row>
    <row r="911" spans="1:9" x14ac:dyDescent="0.2">
      <c r="A911" s="6">
        <v>1106</v>
      </c>
      <c r="B911" s="6" t="s">
        <v>1505</v>
      </c>
      <c r="C911" s="6">
        <v>28</v>
      </c>
      <c r="D911" s="6">
        <v>1</v>
      </c>
      <c r="E911" s="6">
        <v>48</v>
      </c>
      <c r="F911" s="6" t="s">
        <v>1381</v>
      </c>
      <c r="G911" s="6" t="s">
        <v>1386</v>
      </c>
      <c r="H911" s="47" t="s">
        <v>1960</v>
      </c>
      <c r="I911" s="122" t="s">
        <v>1961</v>
      </c>
    </row>
    <row r="912" spans="1:9" x14ac:dyDescent="0.2">
      <c r="A912" s="6">
        <v>1107</v>
      </c>
      <c r="B912" s="6" t="s">
        <v>1505</v>
      </c>
      <c r="C912" s="6">
        <v>28</v>
      </c>
      <c r="D912" s="6">
        <v>1</v>
      </c>
      <c r="E912" s="6">
        <v>48</v>
      </c>
      <c r="F912" s="6" t="s">
        <v>1381</v>
      </c>
      <c r="G912" s="6" t="s">
        <v>187</v>
      </c>
      <c r="H912" s="47" t="s">
        <v>1962</v>
      </c>
      <c r="I912" s="122" t="s">
        <v>1963</v>
      </c>
    </row>
    <row r="913" spans="1:9" x14ac:dyDescent="0.2">
      <c r="A913" s="6">
        <v>1108</v>
      </c>
      <c r="B913" s="6" t="s">
        <v>1505</v>
      </c>
      <c r="C913" s="6">
        <v>28</v>
      </c>
      <c r="D913" s="6">
        <v>1</v>
      </c>
      <c r="E913" s="6">
        <v>48</v>
      </c>
      <c r="F913" s="6" t="s">
        <v>1381</v>
      </c>
      <c r="G913" s="6" t="s">
        <v>187</v>
      </c>
      <c r="H913" s="47" t="s">
        <v>1964</v>
      </c>
      <c r="I913" s="122" t="s">
        <v>1965</v>
      </c>
    </row>
    <row r="914" spans="1:9" x14ac:dyDescent="0.2">
      <c r="A914" s="6">
        <v>1109</v>
      </c>
      <c r="B914" s="6" t="s">
        <v>1505</v>
      </c>
      <c r="C914" s="6">
        <v>28</v>
      </c>
      <c r="D914" s="6">
        <v>1</v>
      </c>
      <c r="E914" s="6">
        <v>48</v>
      </c>
      <c r="F914" s="6" t="s">
        <v>1381</v>
      </c>
      <c r="G914" s="6" t="s">
        <v>187</v>
      </c>
      <c r="H914" s="47" t="s">
        <v>1966</v>
      </c>
      <c r="I914" s="122" t="s">
        <v>1967</v>
      </c>
    </row>
    <row r="915" spans="1:9" x14ac:dyDescent="0.2">
      <c r="A915" s="6">
        <v>1110</v>
      </c>
      <c r="B915" s="6" t="s">
        <v>1505</v>
      </c>
      <c r="C915" s="6">
        <v>28</v>
      </c>
      <c r="D915" s="6">
        <v>1</v>
      </c>
      <c r="E915" s="6">
        <v>48</v>
      </c>
      <c r="F915" s="6" t="s">
        <v>1381</v>
      </c>
      <c r="G915" s="6" t="s">
        <v>187</v>
      </c>
      <c r="H915" s="47" t="s">
        <v>1968</v>
      </c>
      <c r="I915" s="122" t="s">
        <v>1969</v>
      </c>
    </row>
    <row r="916" spans="1:9" x14ac:dyDescent="0.2">
      <c r="A916" s="6">
        <v>1111</v>
      </c>
      <c r="B916" s="6" t="s">
        <v>1505</v>
      </c>
      <c r="C916" s="6">
        <v>28</v>
      </c>
      <c r="D916" s="6">
        <v>1</v>
      </c>
      <c r="E916" s="6">
        <v>48</v>
      </c>
      <c r="F916" s="6" t="s">
        <v>1381</v>
      </c>
      <c r="G916" s="6" t="s">
        <v>187</v>
      </c>
      <c r="H916" s="47" t="s">
        <v>1970</v>
      </c>
      <c r="I916" s="122" t="s">
        <v>1971</v>
      </c>
    </row>
    <row r="917" spans="1:9" x14ac:dyDescent="0.2">
      <c r="A917" s="6">
        <v>1112</v>
      </c>
      <c r="B917" s="6" t="s">
        <v>1505</v>
      </c>
      <c r="C917" s="6">
        <v>28</v>
      </c>
      <c r="D917" s="6">
        <v>1</v>
      </c>
      <c r="E917" s="6">
        <v>48</v>
      </c>
      <c r="F917" s="6" t="s">
        <v>1381</v>
      </c>
      <c r="G917" s="6" t="s">
        <v>187</v>
      </c>
      <c r="H917" s="47" t="s">
        <v>1972</v>
      </c>
      <c r="I917" s="122" t="s">
        <v>1973</v>
      </c>
    </row>
    <row r="918" spans="1:9" x14ac:dyDescent="0.2">
      <c r="A918" s="6">
        <v>1113</v>
      </c>
      <c r="B918" s="6" t="s">
        <v>1505</v>
      </c>
      <c r="C918" s="6">
        <v>28</v>
      </c>
      <c r="D918" s="6">
        <v>1</v>
      </c>
      <c r="E918" s="6">
        <v>48</v>
      </c>
      <c r="F918" s="6" t="s">
        <v>1381</v>
      </c>
      <c r="G918" s="6" t="s">
        <v>187</v>
      </c>
      <c r="H918" s="47" t="s">
        <v>1974</v>
      </c>
      <c r="I918" s="122" t="s">
        <v>1975</v>
      </c>
    </row>
    <row r="919" spans="1:9" x14ac:dyDescent="0.2">
      <c r="A919" s="6">
        <v>1114</v>
      </c>
      <c r="B919" s="6" t="s">
        <v>1505</v>
      </c>
      <c r="C919" s="6">
        <v>28</v>
      </c>
      <c r="D919" s="6">
        <v>2</v>
      </c>
      <c r="E919" s="6">
        <v>48</v>
      </c>
      <c r="F919" s="6" t="s">
        <v>1381</v>
      </c>
      <c r="G919" s="6" t="s">
        <v>1386</v>
      </c>
      <c r="H919" s="47" t="s">
        <v>1976</v>
      </c>
      <c r="I919" s="122" t="s">
        <v>1977</v>
      </c>
    </row>
    <row r="920" spans="1:9" x14ac:dyDescent="0.2">
      <c r="A920" s="6">
        <v>1115</v>
      </c>
      <c r="B920" s="6" t="s">
        <v>1505</v>
      </c>
      <c r="C920" s="6">
        <v>28</v>
      </c>
      <c r="D920" s="6">
        <v>2</v>
      </c>
      <c r="E920" s="6">
        <v>48</v>
      </c>
      <c r="F920" s="6" t="s">
        <v>1381</v>
      </c>
      <c r="G920" s="6" t="s">
        <v>1386</v>
      </c>
      <c r="H920" s="47" t="s">
        <v>1978</v>
      </c>
      <c r="I920" s="122" t="s">
        <v>1979</v>
      </c>
    </row>
    <row r="921" spans="1:9" x14ac:dyDescent="0.2">
      <c r="A921" s="6">
        <v>1116</v>
      </c>
      <c r="B921" s="6" t="s">
        <v>1505</v>
      </c>
      <c r="C921" s="6">
        <v>28</v>
      </c>
      <c r="D921" s="6">
        <v>2</v>
      </c>
      <c r="E921" s="6">
        <v>48</v>
      </c>
      <c r="F921" s="6" t="s">
        <v>1381</v>
      </c>
      <c r="G921" s="6" t="s">
        <v>187</v>
      </c>
      <c r="H921" s="47" t="s">
        <v>1980</v>
      </c>
      <c r="I921" s="122" t="s">
        <v>1981</v>
      </c>
    </row>
    <row r="922" spans="1:9" x14ac:dyDescent="0.2">
      <c r="A922" s="6">
        <v>1117</v>
      </c>
      <c r="B922" s="6" t="s">
        <v>1505</v>
      </c>
      <c r="C922" s="6">
        <v>28</v>
      </c>
      <c r="D922" s="6">
        <v>2</v>
      </c>
      <c r="E922" s="6">
        <v>48</v>
      </c>
      <c r="F922" s="6" t="s">
        <v>1381</v>
      </c>
      <c r="G922" s="6" t="s">
        <v>187</v>
      </c>
      <c r="H922" s="47" t="s">
        <v>1982</v>
      </c>
      <c r="I922" s="122" t="s">
        <v>1983</v>
      </c>
    </row>
    <row r="923" spans="1:9" x14ac:dyDescent="0.2">
      <c r="A923" s="6">
        <v>1118</v>
      </c>
      <c r="B923" s="6" t="s">
        <v>1505</v>
      </c>
      <c r="C923" s="6">
        <v>28</v>
      </c>
      <c r="D923" s="6">
        <v>2</v>
      </c>
      <c r="E923" s="6">
        <v>48</v>
      </c>
      <c r="F923" s="6" t="s">
        <v>1381</v>
      </c>
      <c r="G923" s="6" t="s">
        <v>187</v>
      </c>
      <c r="H923" s="47" t="s">
        <v>1984</v>
      </c>
      <c r="I923" s="122" t="s">
        <v>1985</v>
      </c>
    </row>
    <row r="924" spans="1:9" x14ac:dyDescent="0.2">
      <c r="A924" s="6">
        <v>1119</v>
      </c>
      <c r="B924" s="6" t="s">
        <v>1505</v>
      </c>
      <c r="C924" s="6">
        <v>28</v>
      </c>
      <c r="D924" s="6">
        <v>2</v>
      </c>
      <c r="E924" s="6">
        <v>48</v>
      </c>
      <c r="F924" s="6" t="s">
        <v>1381</v>
      </c>
      <c r="G924" s="6" t="s">
        <v>187</v>
      </c>
      <c r="H924" s="47" t="s">
        <v>1986</v>
      </c>
      <c r="I924" s="122" t="s">
        <v>1987</v>
      </c>
    </row>
    <row r="925" spans="1:9" x14ac:dyDescent="0.2">
      <c r="A925" s="6">
        <v>1120</v>
      </c>
      <c r="B925" s="6" t="s">
        <v>1505</v>
      </c>
      <c r="C925" s="6">
        <v>28</v>
      </c>
      <c r="D925" s="6">
        <v>2</v>
      </c>
      <c r="E925" s="6">
        <v>48</v>
      </c>
      <c r="F925" s="6" t="s">
        <v>1381</v>
      </c>
      <c r="G925" s="6" t="s">
        <v>187</v>
      </c>
      <c r="H925" s="47" t="s">
        <v>1988</v>
      </c>
      <c r="I925" s="122" t="s">
        <v>1989</v>
      </c>
    </row>
    <row r="926" spans="1:9" x14ac:dyDescent="0.2">
      <c r="A926" s="6">
        <v>1121</v>
      </c>
      <c r="B926" s="6" t="s">
        <v>1505</v>
      </c>
      <c r="C926" s="6">
        <v>28</v>
      </c>
      <c r="D926" s="6">
        <v>2</v>
      </c>
      <c r="E926" s="6">
        <v>48</v>
      </c>
      <c r="F926" s="6" t="s">
        <v>1381</v>
      </c>
      <c r="G926" s="6" t="s">
        <v>187</v>
      </c>
      <c r="H926" s="47" t="s">
        <v>1990</v>
      </c>
      <c r="I926" s="122" t="s">
        <v>1991</v>
      </c>
    </row>
    <row r="927" spans="1:9" x14ac:dyDescent="0.2">
      <c r="A927" s="6">
        <v>1122</v>
      </c>
      <c r="B927" s="6" t="s">
        <v>1505</v>
      </c>
      <c r="C927" s="6">
        <v>28</v>
      </c>
      <c r="D927" s="6">
        <v>3</v>
      </c>
      <c r="E927" s="6">
        <v>48</v>
      </c>
      <c r="F927" s="6" t="s">
        <v>1381</v>
      </c>
      <c r="G927" s="6" t="s">
        <v>1386</v>
      </c>
      <c r="H927" s="47" t="s">
        <v>1992</v>
      </c>
      <c r="I927" s="122" t="s">
        <v>1993</v>
      </c>
    </row>
    <row r="928" spans="1:9" x14ac:dyDescent="0.2">
      <c r="A928" s="6">
        <v>1123</v>
      </c>
      <c r="B928" s="6" t="s">
        <v>1505</v>
      </c>
      <c r="C928" s="6">
        <v>28</v>
      </c>
      <c r="D928" s="6">
        <v>3</v>
      </c>
      <c r="E928" s="6">
        <v>48</v>
      </c>
      <c r="F928" s="6" t="s">
        <v>1381</v>
      </c>
      <c r="G928" s="6" t="s">
        <v>1386</v>
      </c>
      <c r="H928" s="47" t="s">
        <v>1994</v>
      </c>
      <c r="I928" s="122" t="s">
        <v>1995</v>
      </c>
    </row>
    <row r="929" spans="1:9" x14ac:dyDescent="0.2">
      <c r="A929" s="6">
        <v>1124</v>
      </c>
      <c r="B929" s="6" t="s">
        <v>1505</v>
      </c>
      <c r="C929" s="6">
        <v>28</v>
      </c>
      <c r="D929" s="6">
        <v>3</v>
      </c>
      <c r="E929" s="6">
        <v>48</v>
      </c>
      <c r="F929" s="6" t="s">
        <v>1381</v>
      </c>
      <c r="G929" s="6" t="s">
        <v>187</v>
      </c>
      <c r="H929" s="47" t="s">
        <v>1996</v>
      </c>
      <c r="I929" s="122" t="s">
        <v>1997</v>
      </c>
    </row>
    <row r="930" spans="1:9" x14ac:dyDescent="0.2">
      <c r="A930" s="6">
        <v>1125</v>
      </c>
      <c r="B930" s="6" t="s">
        <v>1505</v>
      </c>
      <c r="C930" s="6">
        <v>28</v>
      </c>
      <c r="D930" s="6">
        <v>3</v>
      </c>
      <c r="E930" s="6">
        <v>48</v>
      </c>
      <c r="F930" s="6" t="s">
        <v>1381</v>
      </c>
      <c r="G930" s="6" t="s">
        <v>187</v>
      </c>
      <c r="H930" s="47" t="s">
        <v>1998</v>
      </c>
      <c r="I930" s="122" t="s">
        <v>1999</v>
      </c>
    </row>
    <row r="931" spans="1:9" x14ac:dyDescent="0.2">
      <c r="A931" s="6">
        <v>1126</v>
      </c>
      <c r="B931" s="6" t="s">
        <v>1505</v>
      </c>
      <c r="C931" s="6">
        <v>28</v>
      </c>
      <c r="D931" s="6">
        <v>3</v>
      </c>
      <c r="E931" s="6">
        <v>48</v>
      </c>
      <c r="F931" s="6" t="s">
        <v>1381</v>
      </c>
      <c r="G931" s="6" t="s">
        <v>187</v>
      </c>
      <c r="H931" s="47" t="s">
        <v>2000</v>
      </c>
      <c r="I931" s="122" t="s">
        <v>2001</v>
      </c>
    </row>
    <row r="932" spans="1:9" x14ac:dyDescent="0.2">
      <c r="A932" s="6">
        <v>1127</v>
      </c>
      <c r="B932" s="6" t="s">
        <v>1505</v>
      </c>
      <c r="C932" s="6">
        <v>28</v>
      </c>
      <c r="D932" s="6">
        <v>3</v>
      </c>
      <c r="E932" s="6">
        <v>48</v>
      </c>
      <c r="F932" s="6" t="s">
        <v>1381</v>
      </c>
      <c r="G932" s="6" t="s">
        <v>187</v>
      </c>
      <c r="H932" s="47" t="s">
        <v>2002</v>
      </c>
      <c r="I932" s="122" t="s">
        <v>2003</v>
      </c>
    </row>
    <row r="933" spans="1:9" x14ac:dyDescent="0.2">
      <c r="A933" s="6">
        <v>1128</v>
      </c>
      <c r="B933" s="6" t="s">
        <v>1505</v>
      </c>
      <c r="C933" s="6">
        <v>28</v>
      </c>
      <c r="D933" s="6">
        <v>3</v>
      </c>
      <c r="E933" s="6">
        <v>48</v>
      </c>
      <c r="F933" s="6" t="s">
        <v>1381</v>
      </c>
      <c r="G933" s="6" t="s">
        <v>187</v>
      </c>
      <c r="H933" s="47" t="s">
        <v>2004</v>
      </c>
      <c r="I933" s="122" t="s">
        <v>2005</v>
      </c>
    </row>
    <row r="934" spans="1:9" x14ac:dyDescent="0.2">
      <c r="A934" s="6">
        <v>1129</v>
      </c>
      <c r="B934" s="6" t="s">
        <v>1505</v>
      </c>
      <c r="C934" s="6">
        <v>28</v>
      </c>
      <c r="D934" s="6">
        <v>3</v>
      </c>
      <c r="E934" s="6">
        <v>48</v>
      </c>
      <c r="F934" s="6" t="s">
        <v>1381</v>
      </c>
      <c r="G934" s="6" t="s">
        <v>187</v>
      </c>
      <c r="H934" s="47" t="s">
        <v>2000</v>
      </c>
      <c r="I934" s="122" t="s">
        <v>2006</v>
      </c>
    </row>
    <row r="935" spans="1:9" x14ac:dyDescent="0.2">
      <c r="A935" s="6">
        <v>1130</v>
      </c>
      <c r="B935" s="6" t="s">
        <v>1505</v>
      </c>
      <c r="C935" s="6">
        <v>28</v>
      </c>
      <c r="D935" s="6">
        <v>4</v>
      </c>
      <c r="E935" s="6">
        <v>48</v>
      </c>
      <c r="F935" s="6" t="s">
        <v>1381</v>
      </c>
      <c r="G935" s="6" t="s">
        <v>1386</v>
      </c>
      <c r="H935" s="47" t="s">
        <v>2007</v>
      </c>
      <c r="I935" s="122" t="s">
        <v>2008</v>
      </c>
    </row>
    <row r="936" spans="1:9" x14ac:dyDescent="0.2">
      <c r="A936" s="6">
        <v>1131</v>
      </c>
      <c r="B936" s="6" t="s">
        <v>1505</v>
      </c>
      <c r="C936" s="6">
        <v>28</v>
      </c>
      <c r="D936" s="6">
        <v>4</v>
      </c>
      <c r="E936" s="6">
        <v>48</v>
      </c>
      <c r="F936" s="6" t="s">
        <v>1381</v>
      </c>
      <c r="G936" s="6" t="s">
        <v>1386</v>
      </c>
      <c r="H936" s="47" t="s">
        <v>2009</v>
      </c>
      <c r="I936" s="122" t="s">
        <v>2010</v>
      </c>
    </row>
    <row r="937" spans="1:9" x14ac:dyDescent="0.2">
      <c r="A937" s="6">
        <v>1132</v>
      </c>
      <c r="B937" s="6" t="s">
        <v>1505</v>
      </c>
      <c r="C937" s="6">
        <v>28</v>
      </c>
      <c r="D937" s="6">
        <v>4</v>
      </c>
      <c r="E937" s="6">
        <v>48</v>
      </c>
      <c r="F937" s="6" t="s">
        <v>1381</v>
      </c>
      <c r="G937" s="6" t="s">
        <v>187</v>
      </c>
      <c r="H937" s="47" t="s">
        <v>2011</v>
      </c>
      <c r="I937" s="122" t="s">
        <v>2012</v>
      </c>
    </row>
    <row r="938" spans="1:9" x14ac:dyDescent="0.2">
      <c r="A938" s="6">
        <v>1133</v>
      </c>
      <c r="B938" s="6" t="s">
        <v>1505</v>
      </c>
      <c r="C938" s="6">
        <v>28</v>
      </c>
      <c r="D938" s="6">
        <v>4</v>
      </c>
      <c r="E938" s="6">
        <v>48</v>
      </c>
      <c r="F938" s="6" t="s">
        <v>1381</v>
      </c>
      <c r="G938" s="6" t="s">
        <v>187</v>
      </c>
      <c r="H938" s="47" t="s">
        <v>2013</v>
      </c>
      <c r="I938" s="122" t="s">
        <v>2014</v>
      </c>
    </row>
    <row r="939" spans="1:9" x14ac:dyDescent="0.2">
      <c r="A939" s="6">
        <v>1134</v>
      </c>
      <c r="B939" s="6" t="s">
        <v>1505</v>
      </c>
      <c r="C939" s="6">
        <v>28</v>
      </c>
      <c r="D939" s="6">
        <v>4</v>
      </c>
      <c r="E939" s="6">
        <v>48</v>
      </c>
      <c r="F939" s="6" t="s">
        <v>1381</v>
      </c>
      <c r="G939" s="6" t="s">
        <v>187</v>
      </c>
      <c r="H939" s="47" t="s">
        <v>2011</v>
      </c>
      <c r="I939" s="122" t="s">
        <v>2015</v>
      </c>
    </row>
    <row r="940" spans="1:9" x14ac:dyDescent="0.2">
      <c r="A940" s="6">
        <v>1135</v>
      </c>
      <c r="B940" s="6" t="s">
        <v>1505</v>
      </c>
      <c r="C940" s="6">
        <v>28</v>
      </c>
      <c r="D940" s="6">
        <v>4</v>
      </c>
      <c r="E940" s="6">
        <v>48</v>
      </c>
      <c r="F940" s="6" t="s">
        <v>1381</v>
      </c>
      <c r="G940" s="6" t="s">
        <v>187</v>
      </c>
      <c r="H940" s="47" t="s">
        <v>2016</v>
      </c>
      <c r="I940" s="122" t="s">
        <v>2017</v>
      </c>
    </row>
    <row r="941" spans="1:9" x14ac:dyDescent="0.2">
      <c r="A941" s="6">
        <v>1136</v>
      </c>
      <c r="B941" s="6" t="s">
        <v>1505</v>
      </c>
      <c r="C941" s="6">
        <v>28</v>
      </c>
      <c r="D941" s="6">
        <v>4</v>
      </c>
      <c r="E941" s="6">
        <v>48</v>
      </c>
      <c r="F941" s="6" t="s">
        <v>1381</v>
      </c>
      <c r="G941" s="6" t="s">
        <v>187</v>
      </c>
      <c r="H941" s="47" t="s">
        <v>2018</v>
      </c>
      <c r="I941" s="122" t="s">
        <v>2019</v>
      </c>
    </row>
    <row r="942" spans="1:9" x14ac:dyDescent="0.2">
      <c r="A942" s="6">
        <v>1137</v>
      </c>
      <c r="B942" s="6" t="s">
        <v>1505</v>
      </c>
      <c r="C942" s="6">
        <v>28</v>
      </c>
      <c r="D942" s="6">
        <v>6</v>
      </c>
      <c r="E942" s="6">
        <v>48</v>
      </c>
      <c r="F942" s="6" t="s">
        <v>1381</v>
      </c>
      <c r="G942" s="6" t="s">
        <v>187</v>
      </c>
      <c r="H942" s="47" t="s">
        <v>2020</v>
      </c>
      <c r="I942" s="122" t="s">
        <v>2021</v>
      </c>
    </row>
    <row r="943" spans="1:9" x14ac:dyDescent="0.2">
      <c r="A943" s="6">
        <v>1138</v>
      </c>
      <c r="B943" s="6" t="s">
        <v>1505</v>
      </c>
      <c r="C943" s="6">
        <v>28</v>
      </c>
      <c r="D943" s="6">
        <v>6</v>
      </c>
      <c r="E943" s="6">
        <v>48</v>
      </c>
      <c r="F943" s="6" t="s">
        <v>1381</v>
      </c>
      <c r="G943" s="6" t="s">
        <v>187</v>
      </c>
      <c r="H943" s="47" t="s">
        <v>2022</v>
      </c>
      <c r="I943" s="122" t="s">
        <v>2023</v>
      </c>
    </row>
    <row r="944" spans="1:9" x14ac:dyDescent="0.2">
      <c r="A944" s="6">
        <v>1139</v>
      </c>
      <c r="B944" s="6" t="s">
        <v>1505</v>
      </c>
      <c r="C944" s="6">
        <v>28</v>
      </c>
      <c r="D944" s="6">
        <v>8</v>
      </c>
      <c r="E944" s="6">
        <v>48</v>
      </c>
      <c r="F944" s="6" t="s">
        <v>1381</v>
      </c>
      <c r="G944" s="6" t="s">
        <v>187</v>
      </c>
      <c r="H944" s="47" t="s">
        <v>2024</v>
      </c>
      <c r="I944" s="122" t="s">
        <v>2025</v>
      </c>
    </row>
    <row r="945" spans="1:9" x14ac:dyDescent="0.2">
      <c r="A945" s="6">
        <v>1140</v>
      </c>
      <c r="B945" s="6" t="s">
        <v>1505</v>
      </c>
      <c r="C945" s="6">
        <v>30</v>
      </c>
      <c r="D945" s="6">
        <v>1</v>
      </c>
      <c r="E945" s="6">
        <v>48</v>
      </c>
      <c r="F945" s="6" t="s">
        <v>1381</v>
      </c>
      <c r="G945" s="6" t="s">
        <v>1386</v>
      </c>
      <c r="H945" s="47" t="s">
        <v>2026</v>
      </c>
      <c r="I945" s="122" t="s">
        <v>2027</v>
      </c>
    </row>
    <row r="946" spans="1:9" x14ac:dyDescent="0.2">
      <c r="A946" s="6">
        <v>1141</v>
      </c>
      <c r="B946" s="6" t="s">
        <v>1505</v>
      </c>
      <c r="C946" s="6">
        <v>30</v>
      </c>
      <c r="D946" s="6">
        <v>1</v>
      </c>
      <c r="E946" s="6">
        <v>48</v>
      </c>
      <c r="F946" s="6" t="s">
        <v>1381</v>
      </c>
      <c r="G946" s="6" t="s">
        <v>1386</v>
      </c>
      <c r="H946" s="47" t="s">
        <v>2028</v>
      </c>
      <c r="I946" s="122" t="s">
        <v>2029</v>
      </c>
    </row>
    <row r="947" spans="1:9" x14ac:dyDescent="0.2">
      <c r="A947" s="6">
        <v>1142</v>
      </c>
      <c r="B947" s="6" t="s">
        <v>1505</v>
      </c>
      <c r="C947" s="6">
        <v>30</v>
      </c>
      <c r="D947" s="6">
        <v>1</v>
      </c>
      <c r="E947" s="6">
        <v>48</v>
      </c>
      <c r="F947" s="6" t="s">
        <v>1381</v>
      </c>
      <c r="G947" s="6" t="s">
        <v>187</v>
      </c>
      <c r="H947" s="47" t="s">
        <v>2030</v>
      </c>
      <c r="I947" s="122" t="s">
        <v>2031</v>
      </c>
    </row>
    <row r="948" spans="1:9" x14ac:dyDescent="0.2">
      <c r="A948" s="6">
        <v>1143</v>
      </c>
      <c r="B948" s="6" t="s">
        <v>1505</v>
      </c>
      <c r="C948" s="6">
        <v>30</v>
      </c>
      <c r="D948" s="6">
        <v>1</v>
      </c>
      <c r="E948" s="6">
        <v>48</v>
      </c>
      <c r="F948" s="6" t="s">
        <v>1381</v>
      </c>
      <c r="G948" s="6" t="s">
        <v>187</v>
      </c>
      <c r="H948" s="47" t="s">
        <v>2032</v>
      </c>
      <c r="I948" s="122" t="s">
        <v>2033</v>
      </c>
    </row>
    <row r="949" spans="1:9" x14ac:dyDescent="0.2">
      <c r="A949" s="6">
        <v>1144</v>
      </c>
      <c r="B949" s="6" t="s">
        <v>1505</v>
      </c>
      <c r="C949" s="6">
        <v>30</v>
      </c>
      <c r="D949" s="6">
        <v>1</v>
      </c>
      <c r="E949" s="6">
        <v>48</v>
      </c>
      <c r="F949" s="6" t="s">
        <v>1381</v>
      </c>
      <c r="G949" s="6" t="s">
        <v>187</v>
      </c>
      <c r="H949" s="47" t="s">
        <v>2034</v>
      </c>
      <c r="I949" s="122" t="s">
        <v>2035</v>
      </c>
    </row>
    <row r="950" spans="1:9" x14ac:dyDescent="0.2">
      <c r="A950" s="6">
        <v>1145</v>
      </c>
      <c r="B950" s="6" t="s">
        <v>1505</v>
      </c>
      <c r="C950" s="6">
        <v>30</v>
      </c>
      <c r="D950" s="6">
        <v>1</v>
      </c>
      <c r="E950" s="6">
        <v>48</v>
      </c>
      <c r="F950" s="6" t="s">
        <v>1381</v>
      </c>
      <c r="G950" s="6" t="s">
        <v>187</v>
      </c>
      <c r="H950" s="47" t="s">
        <v>2036</v>
      </c>
      <c r="I950" s="122" t="s">
        <v>2037</v>
      </c>
    </row>
    <row r="951" spans="1:9" x14ac:dyDescent="0.2">
      <c r="A951" s="6">
        <v>1146</v>
      </c>
      <c r="B951" s="6" t="s">
        <v>1505</v>
      </c>
      <c r="C951" s="6">
        <v>30</v>
      </c>
      <c r="D951" s="6">
        <v>1</v>
      </c>
      <c r="E951" s="6">
        <v>48</v>
      </c>
      <c r="F951" s="6" t="s">
        <v>1381</v>
      </c>
      <c r="G951" s="6" t="s">
        <v>187</v>
      </c>
      <c r="H951" s="47" t="s">
        <v>2038</v>
      </c>
      <c r="I951" s="122" t="s">
        <v>2039</v>
      </c>
    </row>
    <row r="952" spans="1:9" x14ac:dyDescent="0.2">
      <c r="A952" s="6">
        <v>1147</v>
      </c>
      <c r="B952" s="6" t="s">
        <v>1505</v>
      </c>
      <c r="C952" s="6">
        <v>30</v>
      </c>
      <c r="D952" s="6">
        <v>1</v>
      </c>
      <c r="E952" s="6">
        <v>48</v>
      </c>
      <c r="F952" s="6" t="s">
        <v>1381</v>
      </c>
      <c r="G952" s="6" t="s">
        <v>187</v>
      </c>
      <c r="H952" s="47" t="s">
        <v>2040</v>
      </c>
      <c r="I952" s="122" t="s">
        <v>2041</v>
      </c>
    </row>
    <row r="953" spans="1:9" x14ac:dyDescent="0.2">
      <c r="A953" s="6">
        <v>1148</v>
      </c>
      <c r="B953" s="6" t="s">
        <v>1505</v>
      </c>
      <c r="C953" s="6">
        <v>30</v>
      </c>
      <c r="D953" s="6">
        <v>1</v>
      </c>
      <c r="E953" s="6">
        <v>48</v>
      </c>
      <c r="F953" s="6" t="s">
        <v>1381</v>
      </c>
      <c r="G953" s="6" t="s">
        <v>187</v>
      </c>
      <c r="H953" s="47" t="s">
        <v>2042</v>
      </c>
      <c r="I953" s="122" t="s">
        <v>2043</v>
      </c>
    </row>
    <row r="954" spans="1:9" x14ac:dyDescent="0.2">
      <c r="A954" s="6">
        <v>1149</v>
      </c>
      <c r="B954" s="6" t="s">
        <v>1505</v>
      </c>
      <c r="C954" s="6">
        <v>30</v>
      </c>
      <c r="D954" s="6">
        <v>1</v>
      </c>
      <c r="E954" s="6">
        <v>48</v>
      </c>
      <c r="F954" s="6" t="s">
        <v>1381</v>
      </c>
      <c r="G954" s="6" t="s">
        <v>187</v>
      </c>
      <c r="H954" s="47" t="s">
        <v>2032</v>
      </c>
      <c r="I954" s="122" t="s">
        <v>2044</v>
      </c>
    </row>
    <row r="955" spans="1:9" x14ac:dyDescent="0.2">
      <c r="A955" s="6">
        <v>1150</v>
      </c>
      <c r="B955" s="6" t="s">
        <v>1505</v>
      </c>
      <c r="C955" s="6">
        <v>30</v>
      </c>
      <c r="D955" s="6">
        <v>1</v>
      </c>
      <c r="E955" s="6">
        <v>48</v>
      </c>
      <c r="F955" s="6" t="s">
        <v>1381</v>
      </c>
      <c r="G955" s="6" t="s">
        <v>187</v>
      </c>
      <c r="H955" s="47" t="s">
        <v>2045</v>
      </c>
      <c r="I955" s="122" t="s">
        <v>2046</v>
      </c>
    </row>
    <row r="956" spans="1:9" x14ac:dyDescent="0.2">
      <c r="A956" s="6">
        <v>1151</v>
      </c>
      <c r="B956" s="6" t="s">
        <v>1505</v>
      </c>
      <c r="C956" s="6">
        <v>30</v>
      </c>
      <c r="D956" s="6">
        <v>1</v>
      </c>
      <c r="E956" s="6">
        <v>48</v>
      </c>
      <c r="F956" s="6" t="s">
        <v>1381</v>
      </c>
      <c r="G956" s="6" t="s">
        <v>187</v>
      </c>
      <c r="H956" s="47" t="s">
        <v>2036</v>
      </c>
      <c r="I956" s="122" t="s">
        <v>2047</v>
      </c>
    </row>
    <row r="957" spans="1:9" x14ac:dyDescent="0.2">
      <c r="A957" s="6">
        <v>1152</v>
      </c>
      <c r="B957" s="6" t="s">
        <v>1505</v>
      </c>
      <c r="C957" s="6">
        <v>30</v>
      </c>
      <c r="D957" s="6">
        <v>1</v>
      </c>
      <c r="E957" s="6">
        <v>48</v>
      </c>
      <c r="F957" s="6" t="s">
        <v>1381</v>
      </c>
      <c r="G957" s="6" t="s">
        <v>187</v>
      </c>
      <c r="H957" s="47" t="s">
        <v>2048</v>
      </c>
      <c r="I957" s="122" t="s">
        <v>2049</v>
      </c>
    </row>
    <row r="958" spans="1:9" x14ac:dyDescent="0.2">
      <c r="A958" s="6">
        <v>1153</v>
      </c>
      <c r="B958" s="6" t="s">
        <v>1505</v>
      </c>
      <c r="C958" s="6">
        <v>30</v>
      </c>
      <c r="D958" s="6">
        <v>1</v>
      </c>
      <c r="E958" s="6">
        <v>48</v>
      </c>
      <c r="F958" s="6" t="s">
        <v>1381</v>
      </c>
      <c r="G958" s="6" t="s">
        <v>187</v>
      </c>
      <c r="H958" s="47" t="s">
        <v>2038</v>
      </c>
      <c r="I958" s="122" t="s">
        <v>2050</v>
      </c>
    </row>
    <row r="959" spans="1:9" x14ac:dyDescent="0.2">
      <c r="A959" s="6">
        <v>1154</v>
      </c>
      <c r="B959" s="6" t="s">
        <v>1505</v>
      </c>
      <c r="C959" s="6">
        <v>30</v>
      </c>
      <c r="D959" s="6">
        <v>1</v>
      </c>
      <c r="E959" s="6">
        <v>48</v>
      </c>
      <c r="F959" s="6" t="s">
        <v>1381</v>
      </c>
      <c r="G959" s="6" t="s">
        <v>187</v>
      </c>
      <c r="H959" s="47" t="s">
        <v>2051</v>
      </c>
      <c r="I959" s="122" t="s">
        <v>2052</v>
      </c>
    </row>
    <row r="960" spans="1:9" x14ac:dyDescent="0.2">
      <c r="A960" s="6">
        <v>1155</v>
      </c>
      <c r="B960" s="6" t="s">
        <v>1505</v>
      </c>
      <c r="C960" s="6">
        <v>30</v>
      </c>
      <c r="D960" s="6">
        <v>1</v>
      </c>
      <c r="E960" s="6">
        <v>48</v>
      </c>
      <c r="F960" s="6" t="s">
        <v>1381</v>
      </c>
      <c r="G960" s="6" t="s">
        <v>187</v>
      </c>
      <c r="H960" s="47" t="s">
        <v>2040</v>
      </c>
      <c r="I960" s="122" t="s">
        <v>2053</v>
      </c>
    </row>
    <row r="961" spans="1:9" x14ac:dyDescent="0.2">
      <c r="A961" s="6">
        <v>1156</v>
      </c>
      <c r="B961" s="6" t="s">
        <v>1505</v>
      </c>
      <c r="C961" s="6">
        <v>30</v>
      </c>
      <c r="D961" s="6">
        <v>1</v>
      </c>
      <c r="E961" s="6">
        <v>48</v>
      </c>
      <c r="F961" s="6" t="s">
        <v>1381</v>
      </c>
      <c r="G961" s="6" t="s">
        <v>187</v>
      </c>
      <c r="H961" s="47" t="s">
        <v>2054</v>
      </c>
      <c r="I961" s="122" t="s">
        <v>2055</v>
      </c>
    </row>
    <row r="962" spans="1:9" x14ac:dyDescent="0.2">
      <c r="A962" s="6">
        <v>1157</v>
      </c>
      <c r="B962" s="6" t="s">
        <v>1505</v>
      </c>
      <c r="C962" s="6">
        <v>30</v>
      </c>
      <c r="D962" s="6">
        <v>2</v>
      </c>
      <c r="E962" s="6">
        <v>48</v>
      </c>
      <c r="F962" s="6" t="s">
        <v>1381</v>
      </c>
      <c r="G962" s="6" t="s">
        <v>1386</v>
      </c>
      <c r="H962" s="47" t="s">
        <v>2056</v>
      </c>
      <c r="I962" s="122" t="s">
        <v>2057</v>
      </c>
    </row>
    <row r="963" spans="1:9" x14ac:dyDescent="0.2">
      <c r="A963" s="6">
        <v>1158</v>
      </c>
      <c r="B963" s="6" t="s">
        <v>1505</v>
      </c>
      <c r="C963" s="6">
        <v>30</v>
      </c>
      <c r="D963" s="6">
        <v>2</v>
      </c>
      <c r="E963" s="6">
        <v>48</v>
      </c>
      <c r="F963" s="6" t="s">
        <v>1381</v>
      </c>
      <c r="G963" s="6" t="s">
        <v>1386</v>
      </c>
      <c r="H963" s="47" t="s">
        <v>2058</v>
      </c>
      <c r="I963" s="122" t="s">
        <v>2059</v>
      </c>
    </row>
    <row r="964" spans="1:9" x14ac:dyDescent="0.2">
      <c r="A964" s="6">
        <v>1159</v>
      </c>
      <c r="B964" s="6" t="s">
        <v>1505</v>
      </c>
      <c r="C964" s="6">
        <v>30</v>
      </c>
      <c r="D964" s="6">
        <v>2</v>
      </c>
      <c r="E964" s="6">
        <v>48</v>
      </c>
      <c r="F964" s="6" t="s">
        <v>1381</v>
      </c>
      <c r="G964" s="6" t="s">
        <v>187</v>
      </c>
      <c r="H964" s="47" t="s">
        <v>2060</v>
      </c>
      <c r="I964" s="122" t="s">
        <v>2061</v>
      </c>
    </row>
    <row r="965" spans="1:9" x14ac:dyDescent="0.2">
      <c r="A965" s="6">
        <v>1160</v>
      </c>
      <c r="B965" s="6" t="s">
        <v>1505</v>
      </c>
      <c r="C965" s="6">
        <v>30</v>
      </c>
      <c r="D965" s="6">
        <v>2</v>
      </c>
      <c r="E965" s="6">
        <v>48</v>
      </c>
      <c r="F965" s="6" t="s">
        <v>1381</v>
      </c>
      <c r="G965" s="6" t="s">
        <v>187</v>
      </c>
      <c r="H965" s="47" t="s">
        <v>2062</v>
      </c>
      <c r="I965" s="122" t="s">
        <v>2063</v>
      </c>
    </row>
    <row r="966" spans="1:9" x14ac:dyDescent="0.2">
      <c r="A966" s="6">
        <v>1161</v>
      </c>
      <c r="B966" s="6" t="s">
        <v>1505</v>
      </c>
      <c r="C966" s="6">
        <v>30</v>
      </c>
      <c r="D966" s="6">
        <v>2</v>
      </c>
      <c r="E966" s="6">
        <v>48</v>
      </c>
      <c r="F966" s="6" t="s">
        <v>1381</v>
      </c>
      <c r="G966" s="6" t="s">
        <v>187</v>
      </c>
      <c r="H966" s="47" t="s">
        <v>2064</v>
      </c>
      <c r="I966" s="122" t="s">
        <v>2065</v>
      </c>
    </row>
    <row r="967" spans="1:9" x14ac:dyDescent="0.2">
      <c r="A967" s="6">
        <v>1162</v>
      </c>
      <c r="B967" s="6" t="s">
        <v>1505</v>
      </c>
      <c r="C967" s="6">
        <v>30</v>
      </c>
      <c r="D967" s="6">
        <v>2</v>
      </c>
      <c r="E967" s="6">
        <v>48</v>
      </c>
      <c r="F967" s="6" t="s">
        <v>1381</v>
      </c>
      <c r="G967" s="6" t="s">
        <v>187</v>
      </c>
      <c r="H967" s="47" t="s">
        <v>2066</v>
      </c>
      <c r="I967" s="122" t="s">
        <v>2067</v>
      </c>
    </row>
    <row r="968" spans="1:9" x14ac:dyDescent="0.2">
      <c r="A968" s="6">
        <v>1163</v>
      </c>
      <c r="B968" s="6" t="s">
        <v>1505</v>
      </c>
      <c r="C968" s="6">
        <v>30</v>
      </c>
      <c r="D968" s="6">
        <v>2</v>
      </c>
      <c r="E968" s="6">
        <v>48</v>
      </c>
      <c r="F968" s="6" t="s">
        <v>1381</v>
      </c>
      <c r="G968" s="6" t="s">
        <v>187</v>
      </c>
      <c r="H968" s="47" t="s">
        <v>2068</v>
      </c>
      <c r="I968" s="122" t="s">
        <v>2069</v>
      </c>
    </row>
    <row r="969" spans="1:9" x14ac:dyDescent="0.2">
      <c r="A969" s="6">
        <v>1164</v>
      </c>
      <c r="B969" s="6" t="s">
        <v>1505</v>
      </c>
      <c r="C969" s="6">
        <v>30</v>
      </c>
      <c r="D969" s="6">
        <v>2</v>
      </c>
      <c r="E969" s="6">
        <v>48</v>
      </c>
      <c r="F969" s="6" t="s">
        <v>1381</v>
      </c>
      <c r="G969" s="6" t="s">
        <v>187</v>
      </c>
      <c r="H969" s="47" t="s">
        <v>2060</v>
      </c>
      <c r="I969" s="122" t="s">
        <v>2070</v>
      </c>
    </row>
    <row r="970" spans="1:9" x14ac:dyDescent="0.2">
      <c r="A970" s="6">
        <v>1165</v>
      </c>
      <c r="B970" s="6" t="s">
        <v>1505</v>
      </c>
      <c r="C970" s="6">
        <v>30</v>
      </c>
      <c r="D970" s="6">
        <v>2</v>
      </c>
      <c r="E970" s="6">
        <v>48</v>
      </c>
      <c r="F970" s="6" t="s">
        <v>1381</v>
      </c>
      <c r="G970" s="6" t="s">
        <v>187</v>
      </c>
      <c r="H970" s="47" t="s">
        <v>2071</v>
      </c>
      <c r="I970" s="122" t="s">
        <v>2072</v>
      </c>
    </row>
    <row r="971" spans="1:9" x14ac:dyDescent="0.2">
      <c r="A971" s="6">
        <v>1166</v>
      </c>
      <c r="B971" s="6" t="s">
        <v>1505</v>
      </c>
      <c r="C971" s="6">
        <v>30</v>
      </c>
      <c r="D971" s="6">
        <v>2</v>
      </c>
      <c r="E971" s="6">
        <v>48</v>
      </c>
      <c r="F971" s="6" t="s">
        <v>1381</v>
      </c>
      <c r="G971" s="6" t="s">
        <v>187</v>
      </c>
      <c r="H971" s="47" t="s">
        <v>2073</v>
      </c>
      <c r="I971" s="122" t="s">
        <v>2074</v>
      </c>
    </row>
    <row r="972" spans="1:9" x14ac:dyDescent="0.2">
      <c r="A972" s="6">
        <v>1167</v>
      </c>
      <c r="B972" s="6" t="s">
        <v>1505</v>
      </c>
      <c r="C972" s="6">
        <v>30</v>
      </c>
      <c r="D972" s="6">
        <v>2</v>
      </c>
      <c r="E972" s="6">
        <v>48</v>
      </c>
      <c r="F972" s="6" t="s">
        <v>1381</v>
      </c>
      <c r="G972" s="6" t="s">
        <v>187</v>
      </c>
      <c r="H972" s="47" t="s">
        <v>2075</v>
      </c>
      <c r="I972" s="122" t="s">
        <v>2076</v>
      </c>
    </row>
    <row r="973" spans="1:9" x14ac:dyDescent="0.2">
      <c r="A973" s="6">
        <v>1168</v>
      </c>
      <c r="B973" s="6" t="s">
        <v>1505</v>
      </c>
      <c r="C973" s="6">
        <v>30</v>
      </c>
      <c r="D973" s="6">
        <v>2</v>
      </c>
      <c r="E973" s="6">
        <v>48</v>
      </c>
      <c r="F973" s="6" t="s">
        <v>1381</v>
      </c>
      <c r="G973" s="6" t="s">
        <v>187</v>
      </c>
      <c r="H973" s="47" t="s">
        <v>2077</v>
      </c>
      <c r="I973" s="122" t="s">
        <v>2078</v>
      </c>
    </row>
    <row r="974" spans="1:9" x14ac:dyDescent="0.2">
      <c r="A974" s="6">
        <v>1169</v>
      </c>
      <c r="B974" s="6" t="s">
        <v>1505</v>
      </c>
      <c r="C974" s="6">
        <v>30</v>
      </c>
      <c r="D974" s="6">
        <v>3</v>
      </c>
      <c r="E974" s="6">
        <v>48</v>
      </c>
      <c r="F974" s="6" t="s">
        <v>1381</v>
      </c>
      <c r="G974" s="6" t="s">
        <v>1386</v>
      </c>
      <c r="H974" s="47" t="s">
        <v>2079</v>
      </c>
      <c r="I974" s="122" t="s">
        <v>2080</v>
      </c>
    </row>
    <row r="975" spans="1:9" x14ac:dyDescent="0.2">
      <c r="A975" s="6">
        <v>1170</v>
      </c>
      <c r="B975" s="6" t="s">
        <v>1505</v>
      </c>
      <c r="C975" s="6">
        <v>30</v>
      </c>
      <c r="D975" s="6">
        <v>3</v>
      </c>
      <c r="E975" s="6">
        <v>48</v>
      </c>
      <c r="F975" s="6" t="s">
        <v>1381</v>
      </c>
      <c r="G975" s="6" t="s">
        <v>1386</v>
      </c>
      <c r="H975" s="47" t="s">
        <v>2081</v>
      </c>
      <c r="I975" s="122" t="s">
        <v>2082</v>
      </c>
    </row>
    <row r="976" spans="1:9" x14ac:dyDescent="0.2">
      <c r="A976" s="6">
        <v>1171</v>
      </c>
      <c r="B976" s="6" t="s">
        <v>1505</v>
      </c>
      <c r="C976" s="6">
        <v>30</v>
      </c>
      <c r="D976" s="6">
        <v>3</v>
      </c>
      <c r="E976" s="6">
        <v>48</v>
      </c>
      <c r="F976" s="6" t="s">
        <v>1381</v>
      </c>
      <c r="G976" s="6" t="s">
        <v>187</v>
      </c>
      <c r="H976" s="47" t="s">
        <v>2083</v>
      </c>
      <c r="I976" s="122" t="s">
        <v>2084</v>
      </c>
    </row>
    <row r="977" spans="1:9" x14ac:dyDescent="0.2">
      <c r="A977" s="6">
        <v>1172</v>
      </c>
      <c r="B977" s="6" t="s">
        <v>1505</v>
      </c>
      <c r="C977" s="6">
        <v>30</v>
      </c>
      <c r="D977" s="6">
        <v>3</v>
      </c>
      <c r="E977" s="6">
        <v>48</v>
      </c>
      <c r="F977" s="6" t="s">
        <v>1381</v>
      </c>
      <c r="G977" s="6" t="s">
        <v>187</v>
      </c>
      <c r="H977" s="47" t="s">
        <v>2085</v>
      </c>
      <c r="I977" s="122" t="s">
        <v>2086</v>
      </c>
    </row>
    <row r="978" spans="1:9" x14ac:dyDescent="0.2">
      <c r="A978" s="6">
        <v>1173</v>
      </c>
      <c r="B978" s="6" t="s">
        <v>1505</v>
      </c>
      <c r="C978" s="6">
        <v>30</v>
      </c>
      <c r="D978" s="6">
        <v>3</v>
      </c>
      <c r="E978" s="6">
        <v>48</v>
      </c>
      <c r="F978" s="6" t="s">
        <v>1381</v>
      </c>
      <c r="G978" s="6" t="s">
        <v>187</v>
      </c>
      <c r="H978" s="47" t="s">
        <v>2087</v>
      </c>
      <c r="I978" s="122" t="s">
        <v>2088</v>
      </c>
    </row>
    <row r="979" spans="1:9" x14ac:dyDescent="0.2">
      <c r="A979" s="6">
        <v>1174</v>
      </c>
      <c r="B979" s="6" t="s">
        <v>1505</v>
      </c>
      <c r="C979" s="6">
        <v>30</v>
      </c>
      <c r="D979" s="6">
        <v>3</v>
      </c>
      <c r="E979" s="6">
        <v>48</v>
      </c>
      <c r="F979" s="6" t="s">
        <v>1381</v>
      </c>
      <c r="G979" s="6" t="s">
        <v>187</v>
      </c>
      <c r="H979" s="47" t="s">
        <v>2089</v>
      </c>
      <c r="I979" s="122" t="s">
        <v>2090</v>
      </c>
    </row>
    <row r="980" spans="1:9" x14ac:dyDescent="0.2">
      <c r="A980" s="6">
        <v>1175</v>
      </c>
      <c r="B980" s="6" t="s">
        <v>1505</v>
      </c>
      <c r="C980" s="6">
        <v>30</v>
      </c>
      <c r="D980" s="6">
        <v>3</v>
      </c>
      <c r="E980" s="6">
        <v>48</v>
      </c>
      <c r="F980" s="6" t="s">
        <v>1381</v>
      </c>
      <c r="G980" s="6" t="s">
        <v>187</v>
      </c>
      <c r="H980" s="47" t="s">
        <v>2091</v>
      </c>
      <c r="I980" s="122" t="s">
        <v>2092</v>
      </c>
    </row>
    <row r="981" spans="1:9" x14ac:dyDescent="0.2">
      <c r="A981" s="6">
        <v>1176</v>
      </c>
      <c r="B981" s="6" t="s">
        <v>1505</v>
      </c>
      <c r="C981" s="6">
        <v>30</v>
      </c>
      <c r="D981" s="6">
        <v>3</v>
      </c>
      <c r="E981" s="6">
        <v>48</v>
      </c>
      <c r="F981" s="6" t="s">
        <v>1381</v>
      </c>
      <c r="G981" s="6" t="s">
        <v>187</v>
      </c>
      <c r="H981" s="47" t="s">
        <v>2093</v>
      </c>
      <c r="I981" s="122" t="s">
        <v>2094</v>
      </c>
    </row>
    <row r="982" spans="1:9" x14ac:dyDescent="0.2">
      <c r="A982" s="6">
        <v>1177</v>
      </c>
      <c r="B982" s="6" t="s">
        <v>1505</v>
      </c>
      <c r="C982" s="6">
        <v>30</v>
      </c>
      <c r="D982" s="6">
        <v>3</v>
      </c>
      <c r="E982" s="6">
        <v>48</v>
      </c>
      <c r="F982" s="6" t="s">
        <v>1381</v>
      </c>
      <c r="G982" s="6" t="s">
        <v>187</v>
      </c>
      <c r="H982" s="47" t="s">
        <v>2095</v>
      </c>
      <c r="I982" s="122" t="s">
        <v>2096</v>
      </c>
    </row>
    <row r="983" spans="1:9" x14ac:dyDescent="0.2">
      <c r="A983" s="6">
        <v>1178</v>
      </c>
      <c r="B983" s="6" t="s">
        <v>1505</v>
      </c>
      <c r="C983" s="6">
        <v>30</v>
      </c>
      <c r="D983" s="6">
        <v>3</v>
      </c>
      <c r="E983" s="6">
        <v>48</v>
      </c>
      <c r="F983" s="6" t="s">
        <v>1381</v>
      </c>
      <c r="G983" s="6" t="s">
        <v>187</v>
      </c>
      <c r="H983" s="47" t="s">
        <v>2097</v>
      </c>
      <c r="I983" s="122" t="s">
        <v>2098</v>
      </c>
    </row>
    <row r="984" spans="1:9" x14ac:dyDescent="0.2">
      <c r="A984" s="6">
        <v>1179</v>
      </c>
      <c r="B984" s="6" t="s">
        <v>1505</v>
      </c>
      <c r="C984" s="6">
        <v>30</v>
      </c>
      <c r="D984" s="6">
        <v>3</v>
      </c>
      <c r="E984" s="6">
        <v>48</v>
      </c>
      <c r="F984" s="6" t="s">
        <v>1381</v>
      </c>
      <c r="G984" s="6" t="s">
        <v>187</v>
      </c>
      <c r="H984" s="47" t="s">
        <v>2099</v>
      </c>
      <c r="I984" s="122" t="s">
        <v>2100</v>
      </c>
    </row>
    <row r="985" spans="1:9" x14ac:dyDescent="0.2">
      <c r="A985" s="6">
        <v>1180</v>
      </c>
      <c r="B985" s="6" t="s">
        <v>1505</v>
      </c>
      <c r="C985" s="6">
        <v>30</v>
      </c>
      <c r="D985" s="6">
        <v>4</v>
      </c>
      <c r="E985" s="6">
        <v>48</v>
      </c>
      <c r="F985" s="6" t="s">
        <v>1381</v>
      </c>
      <c r="G985" s="6" t="s">
        <v>1386</v>
      </c>
      <c r="H985" s="47" t="s">
        <v>2101</v>
      </c>
      <c r="I985" s="122" t="s">
        <v>2102</v>
      </c>
    </row>
    <row r="986" spans="1:9" x14ac:dyDescent="0.2">
      <c r="A986" s="6">
        <v>1181</v>
      </c>
      <c r="B986" s="6" t="s">
        <v>1505</v>
      </c>
      <c r="C986" s="6">
        <v>30</v>
      </c>
      <c r="D986" s="6">
        <v>4</v>
      </c>
      <c r="E986" s="6">
        <v>48</v>
      </c>
      <c r="F986" s="6" t="s">
        <v>1381</v>
      </c>
      <c r="G986" s="6" t="s">
        <v>1386</v>
      </c>
      <c r="H986" s="47" t="s">
        <v>2103</v>
      </c>
      <c r="I986" s="122" t="s">
        <v>2104</v>
      </c>
    </row>
    <row r="987" spans="1:9" x14ac:dyDescent="0.2">
      <c r="A987" s="6">
        <v>1182</v>
      </c>
      <c r="B987" s="6" t="s">
        <v>1505</v>
      </c>
      <c r="C987" s="6">
        <v>30</v>
      </c>
      <c r="D987" s="6">
        <v>4</v>
      </c>
      <c r="E987" s="6">
        <v>48</v>
      </c>
      <c r="F987" s="6" t="s">
        <v>1381</v>
      </c>
      <c r="G987" s="6" t="s">
        <v>187</v>
      </c>
      <c r="H987" s="47" t="s">
        <v>2105</v>
      </c>
      <c r="I987" s="122" t="s">
        <v>2106</v>
      </c>
    </row>
    <row r="988" spans="1:9" x14ac:dyDescent="0.2">
      <c r="A988" s="6">
        <v>1183</v>
      </c>
      <c r="B988" s="6" t="s">
        <v>1505</v>
      </c>
      <c r="C988" s="6">
        <v>30</v>
      </c>
      <c r="D988" s="6">
        <v>4</v>
      </c>
      <c r="E988" s="6">
        <v>48</v>
      </c>
      <c r="F988" s="6" t="s">
        <v>1381</v>
      </c>
      <c r="G988" s="6" t="s">
        <v>187</v>
      </c>
      <c r="H988" s="47" t="s">
        <v>2107</v>
      </c>
      <c r="I988" s="122" t="s">
        <v>2108</v>
      </c>
    </row>
    <row r="989" spans="1:9" x14ac:dyDescent="0.2">
      <c r="A989" s="6">
        <v>1184</v>
      </c>
      <c r="B989" s="6" t="s">
        <v>1505</v>
      </c>
      <c r="C989" s="6">
        <v>30</v>
      </c>
      <c r="D989" s="6">
        <v>4</v>
      </c>
      <c r="E989" s="6">
        <v>48</v>
      </c>
      <c r="F989" s="6" t="s">
        <v>1381</v>
      </c>
      <c r="G989" s="6" t="s">
        <v>187</v>
      </c>
      <c r="H989" s="47" t="s">
        <v>2109</v>
      </c>
      <c r="I989" s="122" t="s">
        <v>2110</v>
      </c>
    </row>
    <row r="990" spans="1:9" x14ac:dyDescent="0.2">
      <c r="A990" s="6">
        <v>1185</v>
      </c>
      <c r="B990" s="6" t="s">
        <v>1505</v>
      </c>
      <c r="C990" s="6">
        <v>30</v>
      </c>
      <c r="D990" s="6">
        <v>4</v>
      </c>
      <c r="E990" s="6">
        <v>48</v>
      </c>
      <c r="F990" s="6" t="s">
        <v>1381</v>
      </c>
      <c r="G990" s="6" t="s">
        <v>187</v>
      </c>
      <c r="H990" s="47" t="s">
        <v>2111</v>
      </c>
      <c r="I990" s="122" t="s">
        <v>2112</v>
      </c>
    </row>
    <row r="991" spans="1:9" x14ac:dyDescent="0.2">
      <c r="A991" s="6">
        <v>1186</v>
      </c>
      <c r="B991" s="6" t="s">
        <v>1505</v>
      </c>
      <c r="C991" s="6">
        <v>30</v>
      </c>
      <c r="D991" s="6">
        <v>4</v>
      </c>
      <c r="E991" s="6">
        <v>48</v>
      </c>
      <c r="F991" s="6" t="s">
        <v>1381</v>
      </c>
      <c r="G991" s="6" t="s">
        <v>187</v>
      </c>
      <c r="H991" s="47" t="s">
        <v>2113</v>
      </c>
      <c r="I991" s="122" t="s">
        <v>2114</v>
      </c>
    </row>
    <row r="992" spans="1:9" x14ac:dyDescent="0.2">
      <c r="A992" s="6">
        <v>1187</v>
      </c>
      <c r="B992" s="6" t="s">
        <v>1505</v>
      </c>
      <c r="C992" s="6">
        <v>30</v>
      </c>
      <c r="D992" s="6">
        <v>4</v>
      </c>
      <c r="E992" s="6">
        <v>48</v>
      </c>
      <c r="F992" s="6" t="s">
        <v>1381</v>
      </c>
      <c r="G992" s="6" t="s">
        <v>187</v>
      </c>
      <c r="H992" s="47" t="s">
        <v>2105</v>
      </c>
      <c r="I992" s="122" t="s">
        <v>2115</v>
      </c>
    </row>
    <row r="993" spans="1:9" x14ac:dyDescent="0.2">
      <c r="A993" s="6">
        <v>1188</v>
      </c>
      <c r="B993" s="6" t="s">
        <v>1505</v>
      </c>
      <c r="C993" s="6">
        <v>30</v>
      </c>
      <c r="D993" s="6">
        <v>4</v>
      </c>
      <c r="E993" s="6">
        <v>48</v>
      </c>
      <c r="F993" s="6" t="s">
        <v>1381</v>
      </c>
      <c r="G993" s="6" t="s">
        <v>187</v>
      </c>
      <c r="H993" s="47" t="s">
        <v>2107</v>
      </c>
      <c r="I993" s="122" t="s">
        <v>2116</v>
      </c>
    </row>
    <row r="994" spans="1:9" x14ac:dyDescent="0.2">
      <c r="A994" s="6">
        <v>1189</v>
      </c>
      <c r="B994" s="6" t="s">
        <v>1505</v>
      </c>
      <c r="C994" s="6">
        <v>30</v>
      </c>
      <c r="D994" s="6">
        <v>6</v>
      </c>
      <c r="E994" s="6">
        <v>48</v>
      </c>
      <c r="F994" s="6" t="s">
        <v>1381</v>
      </c>
      <c r="G994" s="6" t="s">
        <v>187</v>
      </c>
      <c r="H994" s="47" t="s">
        <v>2117</v>
      </c>
      <c r="I994" s="122" t="s">
        <v>2118</v>
      </c>
    </row>
    <row r="995" spans="1:9" x14ac:dyDescent="0.2">
      <c r="A995" s="6">
        <v>1190</v>
      </c>
      <c r="B995" s="6" t="s">
        <v>1505</v>
      </c>
      <c r="C995" s="6">
        <v>30</v>
      </c>
      <c r="D995" s="6">
        <v>6</v>
      </c>
      <c r="E995" s="6">
        <v>48</v>
      </c>
      <c r="F995" s="6" t="s">
        <v>1381</v>
      </c>
      <c r="G995" s="6" t="s">
        <v>187</v>
      </c>
      <c r="H995" s="47" t="s">
        <v>2119</v>
      </c>
      <c r="I995" s="122" t="s">
        <v>2120</v>
      </c>
    </row>
    <row r="996" spans="1:9" x14ac:dyDescent="0.2">
      <c r="A996" s="6">
        <v>1191</v>
      </c>
      <c r="B996" s="6" t="s">
        <v>1505</v>
      </c>
      <c r="C996" s="6">
        <v>40</v>
      </c>
      <c r="D996" s="6">
        <v>1</v>
      </c>
      <c r="E996" s="6">
        <v>60</v>
      </c>
      <c r="F996" s="6" t="s">
        <v>1381</v>
      </c>
      <c r="G996" s="6" t="s">
        <v>187</v>
      </c>
      <c r="H996" s="47" t="s">
        <v>2121</v>
      </c>
      <c r="I996" s="122" t="s">
        <v>2122</v>
      </c>
    </row>
    <row r="997" spans="1:9" x14ac:dyDescent="0.2">
      <c r="A997" s="6">
        <v>1192</v>
      </c>
      <c r="B997" s="6" t="s">
        <v>1505</v>
      </c>
      <c r="C997" s="6">
        <v>40</v>
      </c>
      <c r="D997" s="6">
        <v>1</v>
      </c>
      <c r="E997" s="6">
        <v>60</v>
      </c>
      <c r="F997" s="6" t="s">
        <v>1381</v>
      </c>
      <c r="G997" s="6" t="s">
        <v>187</v>
      </c>
      <c r="H997" s="47" t="s">
        <v>2123</v>
      </c>
      <c r="I997" s="122" t="s">
        <v>2124</v>
      </c>
    </row>
    <row r="998" spans="1:9" x14ac:dyDescent="0.2">
      <c r="A998" s="6">
        <v>1193</v>
      </c>
      <c r="B998" s="6" t="s">
        <v>1505</v>
      </c>
      <c r="C998" s="6">
        <v>40</v>
      </c>
      <c r="D998" s="6">
        <v>1</v>
      </c>
      <c r="E998" s="6">
        <v>60</v>
      </c>
      <c r="F998" s="6" t="s">
        <v>1381</v>
      </c>
      <c r="G998" s="6" t="s">
        <v>187</v>
      </c>
      <c r="H998" s="47" t="s">
        <v>2125</v>
      </c>
      <c r="I998" s="122" t="s">
        <v>2126</v>
      </c>
    </row>
    <row r="999" spans="1:9" x14ac:dyDescent="0.2">
      <c r="A999" s="6">
        <v>1194</v>
      </c>
      <c r="B999" s="6" t="s">
        <v>1505</v>
      </c>
      <c r="C999" s="6">
        <v>40</v>
      </c>
      <c r="D999" s="6">
        <v>1</v>
      </c>
      <c r="E999" s="6">
        <v>60</v>
      </c>
      <c r="F999" s="6" t="s">
        <v>1381</v>
      </c>
      <c r="G999" s="6" t="s">
        <v>187</v>
      </c>
      <c r="H999" s="47" t="s">
        <v>2127</v>
      </c>
      <c r="I999" s="122" t="s">
        <v>2128</v>
      </c>
    </row>
    <row r="1000" spans="1:9" x14ac:dyDescent="0.2">
      <c r="A1000" s="6">
        <v>1195</v>
      </c>
      <c r="B1000" s="6" t="s">
        <v>1505</v>
      </c>
      <c r="C1000" s="6">
        <v>40</v>
      </c>
      <c r="D1000" s="6">
        <v>1</v>
      </c>
      <c r="E1000" s="6">
        <v>60</v>
      </c>
      <c r="F1000" s="6" t="s">
        <v>1381</v>
      </c>
      <c r="G1000" s="6" t="s">
        <v>187</v>
      </c>
      <c r="H1000" s="47" t="s">
        <v>2129</v>
      </c>
      <c r="I1000" s="122" t="s">
        <v>2130</v>
      </c>
    </row>
    <row r="1001" spans="1:9" x14ac:dyDescent="0.2">
      <c r="A1001" s="6">
        <v>1196</v>
      </c>
      <c r="B1001" s="6" t="s">
        <v>1505</v>
      </c>
      <c r="C1001" s="6">
        <v>40</v>
      </c>
      <c r="D1001" s="6">
        <v>2</v>
      </c>
      <c r="E1001" s="6">
        <v>60</v>
      </c>
      <c r="F1001" s="6" t="s">
        <v>1381</v>
      </c>
      <c r="G1001" s="6" t="s">
        <v>187</v>
      </c>
      <c r="H1001" s="47" t="s">
        <v>2131</v>
      </c>
      <c r="I1001" s="122" t="s">
        <v>2132</v>
      </c>
    </row>
    <row r="1002" spans="1:9" x14ac:dyDescent="0.2">
      <c r="A1002" s="6">
        <v>1197</v>
      </c>
      <c r="B1002" s="6" t="s">
        <v>1505</v>
      </c>
      <c r="C1002" s="6">
        <v>40</v>
      </c>
      <c r="D1002" s="6">
        <v>2</v>
      </c>
      <c r="E1002" s="6">
        <v>60</v>
      </c>
      <c r="F1002" s="6" t="s">
        <v>1381</v>
      </c>
      <c r="G1002" s="6" t="s">
        <v>187</v>
      </c>
      <c r="H1002" s="47" t="s">
        <v>2133</v>
      </c>
      <c r="I1002" s="122" t="s">
        <v>2134</v>
      </c>
    </row>
    <row r="1003" spans="1:9" x14ac:dyDescent="0.2">
      <c r="A1003" s="6">
        <v>1198</v>
      </c>
      <c r="B1003" s="6" t="s">
        <v>1505</v>
      </c>
      <c r="C1003" s="6">
        <v>40</v>
      </c>
      <c r="D1003" s="6">
        <v>2</v>
      </c>
      <c r="E1003" s="6">
        <v>60</v>
      </c>
      <c r="F1003" s="6" t="s">
        <v>1381</v>
      </c>
      <c r="G1003" s="6" t="s">
        <v>187</v>
      </c>
      <c r="H1003" s="47" t="s">
        <v>2135</v>
      </c>
      <c r="I1003" s="122" t="s">
        <v>2136</v>
      </c>
    </row>
    <row r="1004" spans="1:9" x14ac:dyDescent="0.2">
      <c r="A1004" s="6">
        <v>1199</v>
      </c>
      <c r="B1004" s="6" t="s">
        <v>1505</v>
      </c>
      <c r="C1004" s="6">
        <v>40</v>
      </c>
      <c r="D1004" s="6">
        <v>2</v>
      </c>
      <c r="E1004" s="6">
        <v>60</v>
      </c>
      <c r="F1004" s="6" t="s">
        <v>1381</v>
      </c>
      <c r="G1004" s="6" t="s">
        <v>187</v>
      </c>
      <c r="H1004" s="47" t="s">
        <v>2137</v>
      </c>
      <c r="I1004" s="122" t="s">
        <v>2138</v>
      </c>
    </row>
    <row r="1005" spans="1:9" x14ac:dyDescent="0.2">
      <c r="A1005" s="6">
        <v>1200</v>
      </c>
      <c r="B1005" s="6" t="s">
        <v>1505</v>
      </c>
      <c r="C1005" s="6">
        <v>40</v>
      </c>
      <c r="D1005" s="6">
        <v>3</v>
      </c>
      <c r="E1005" s="6">
        <v>60</v>
      </c>
      <c r="F1005" s="6" t="s">
        <v>1381</v>
      </c>
      <c r="G1005" s="6" t="s">
        <v>187</v>
      </c>
      <c r="H1005" s="47" t="s">
        <v>2139</v>
      </c>
      <c r="I1005" s="122" t="s">
        <v>2140</v>
      </c>
    </row>
    <row r="1006" spans="1:9" x14ac:dyDescent="0.2">
      <c r="A1006" s="6">
        <v>1201</v>
      </c>
      <c r="B1006" s="6" t="s">
        <v>1505</v>
      </c>
      <c r="C1006" s="6">
        <v>40</v>
      </c>
      <c r="D1006" s="6">
        <v>3</v>
      </c>
      <c r="E1006" s="6">
        <v>60</v>
      </c>
      <c r="F1006" s="6" t="s">
        <v>1381</v>
      </c>
      <c r="G1006" s="6" t="s">
        <v>187</v>
      </c>
      <c r="H1006" s="47" t="s">
        <v>2141</v>
      </c>
      <c r="I1006" s="122" t="s">
        <v>2142</v>
      </c>
    </row>
    <row r="1007" spans="1:9" x14ac:dyDescent="0.2">
      <c r="A1007" s="6">
        <v>1202</v>
      </c>
      <c r="B1007" s="6" t="s">
        <v>1505</v>
      </c>
      <c r="C1007" s="6">
        <v>40</v>
      </c>
      <c r="D1007" s="6">
        <v>4</v>
      </c>
      <c r="E1007" s="6">
        <v>60</v>
      </c>
      <c r="F1007" s="6" t="s">
        <v>1381</v>
      </c>
      <c r="G1007" s="6" t="s">
        <v>187</v>
      </c>
      <c r="H1007" s="47" t="s">
        <v>2143</v>
      </c>
      <c r="I1007" s="122" t="s">
        <v>2144</v>
      </c>
    </row>
    <row r="1008" spans="1:9" x14ac:dyDescent="0.2">
      <c r="A1008" s="6">
        <v>1203</v>
      </c>
      <c r="B1008" s="6" t="s">
        <v>1505</v>
      </c>
      <c r="C1008" s="6">
        <v>40</v>
      </c>
      <c r="D1008" s="6">
        <v>4</v>
      </c>
      <c r="E1008" s="6">
        <v>60</v>
      </c>
      <c r="F1008" s="6" t="s">
        <v>1381</v>
      </c>
      <c r="G1008" s="6" t="s">
        <v>187</v>
      </c>
      <c r="H1008" s="47" t="s">
        <v>2145</v>
      </c>
      <c r="I1008" s="122" t="s">
        <v>2146</v>
      </c>
    </row>
    <row r="1009" spans="1:9" x14ac:dyDescent="0.2">
      <c r="A1009" s="6">
        <v>1204</v>
      </c>
      <c r="B1009" s="6" t="s">
        <v>1505</v>
      </c>
      <c r="C1009" s="6">
        <v>44</v>
      </c>
      <c r="D1009" s="6">
        <v>1</v>
      </c>
      <c r="E1009" s="6">
        <v>48</v>
      </c>
      <c r="F1009" s="6" t="s">
        <v>2147</v>
      </c>
      <c r="G1009" s="6" t="s">
        <v>187</v>
      </c>
      <c r="H1009" s="47" t="s">
        <v>2148</v>
      </c>
      <c r="I1009" s="122" t="s">
        <v>2149</v>
      </c>
    </row>
    <row r="1010" spans="1:9" x14ac:dyDescent="0.2">
      <c r="A1010" s="6">
        <v>1205</v>
      </c>
      <c r="B1010" s="6" t="s">
        <v>1505</v>
      </c>
      <c r="C1010" s="6">
        <v>44</v>
      </c>
      <c r="D1010" s="6">
        <v>2</v>
      </c>
      <c r="E1010" s="6">
        <v>48</v>
      </c>
      <c r="F1010" s="6" t="s">
        <v>2147</v>
      </c>
      <c r="G1010" s="6" t="s">
        <v>187</v>
      </c>
      <c r="H1010" s="47" t="s">
        <v>2150</v>
      </c>
      <c r="I1010" s="122" t="s">
        <v>2151</v>
      </c>
    </row>
    <row r="1011" spans="1:9" x14ac:dyDescent="0.2">
      <c r="A1011" s="6">
        <v>1206</v>
      </c>
      <c r="B1011" s="6" t="s">
        <v>1505</v>
      </c>
      <c r="C1011" s="6">
        <v>44</v>
      </c>
      <c r="D1011" s="6">
        <v>3</v>
      </c>
      <c r="E1011" s="6">
        <v>48</v>
      </c>
      <c r="F1011" s="6" t="s">
        <v>2147</v>
      </c>
      <c r="G1011" s="6" t="s">
        <v>187</v>
      </c>
      <c r="H1011" s="47" t="s">
        <v>2152</v>
      </c>
      <c r="I1011" s="122" t="s">
        <v>2153</v>
      </c>
    </row>
    <row r="1012" spans="1:9" x14ac:dyDescent="0.2">
      <c r="A1012" s="6">
        <v>1207</v>
      </c>
      <c r="B1012" s="6" t="s">
        <v>1505</v>
      </c>
      <c r="C1012" s="6">
        <v>44</v>
      </c>
      <c r="D1012" s="6">
        <v>4</v>
      </c>
      <c r="E1012" s="6">
        <v>48</v>
      </c>
      <c r="F1012" s="6" t="s">
        <v>2147</v>
      </c>
      <c r="G1012" s="6" t="s">
        <v>187</v>
      </c>
      <c r="H1012" s="47" t="s">
        <v>2154</v>
      </c>
      <c r="I1012" s="122" t="s">
        <v>2155</v>
      </c>
    </row>
    <row r="1013" spans="1:9" x14ac:dyDescent="0.2">
      <c r="A1013" s="6">
        <v>1208</v>
      </c>
      <c r="B1013" s="6" t="s">
        <v>1505</v>
      </c>
      <c r="C1013" s="6">
        <v>59</v>
      </c>
      <c r="D1013" s="6">
        <v>1</v>
      </c>
      <c r="E1013" s="6">
        <v>96</v>
      </c>
      <c r="F1013" s="6" t="s">
        <v>1381</v>
      </c>
      <c r="G1013" s="6" t="s">
        <v>187</v>
      </c>
      <c r="H1013" s="47" t="s">
        <v>2156</v>
      </c>
      <c r="I1013" s="122" t="s">
        <v>2157</v>
      </c>
    </row>
    <row r="1014" spans="1:9" x14ac:dyDescent="0.2">
      <c r="A1014" s="6">
        <v>1209</v>
      </c>
      <c r="B1014" s="6" t="s">
        <v>1505</v>
      </c>
      <c r="C1014" s="6">
        <v>59</v>
      </c>
      <c r="D1014" s="6">
        <v>1</v>
      </c>
      <c r="E1014" s="6">
        <v>96</v>
      </c>
      <c r="F1014" s="6" t="s">
        <v>1381</v>
      </c>
      <c r="G1014" s="6" t="s">
        <v>187</v>
      </c>
      <c r="H1014" s="47" t="s">
        <v>2158</v>
      </c>
      <c r="I1014" s="122" t="s">
        <v>2159</v>
      </c>
    </row>
    <row r="1015" spans="1:9" x14ac:dyDescent="0.2">
      <c r="A1015" s="6">
        <v>1210</v>
      </c>
      <c r="B1015" s="6" t="s">
        <v>1505</v>
      </c>
      <c r="C1015" s="6">
        <v>59</v>
      </c>
      <c r="D1015" s="6">
        <v>1</v>
      </c>
      <c r="E1015" s="6">
        <v>96</v>
      </c>
      <c r="F1015" s="6" t="s">
        <v>1381</v>
      </c>
      <c r="G1015" s="6" t="s">
        <v>187</v>
      </c>
      <c r="H1015" s="47" t="s">
        <v>2160</v>
      </c>
      <c r="I1015" s="122" t="s">
        <v>2161</v>
      </c>
    </row>
    <row r="1016" spans="1:9" x14ac:dyDescent="0.2">
      <c r="A1016" s="6">
        <v>1211</v>
      </c>
      <c r="B1016" s="6" t="s">
        <v>1505</v>
      </c>
      <c r="C1016" s="6">
        <v>59</v>
      </c>
      <c r="D1016" s="6">
        <v>1</v>
      </c>
      <c r="E1016" s="6">
        <v>96</v>
      </c>
      <c r="F1016" s="6" t="s">
        <v>1381</v>
      </c>
      <c r="G1016" s="6" t="s">
        <v>187</v>
      </c>
      <c r="H1016" s="47" t="s">
        <v>2162</v>
      </c>
      <c r="I1016" s="122" t="s">
        <v>2163</v>
      </c>
    </row>
    <row r="1017" spans="1:9" x14ac:dyDescent="0.2">
      <c r="A1017" s="6">
        <v>1212</v>
      </c>
      <c r="B1017" s="6" t="s">
        <v>1505</v>
      </c>
      <c r="C1017" s="6">
        <v>59</v>
      </c>
      <c r="D1017" s="6">
        <v>1</v>
      </c>
      <c r="E1017" s="6">
        <v>96</v>
      </c>
      <c r="F1017" s="6" t="s">
        <v>1381</v>
      </c>
      <c r="G1017" s="6" t="s">
        <v>187</v>
      </c>
      <c r="H1017" s="47" t="s">
        <v>2164</v>
      </c>
      <c r="I1017" s="122" t="s">
        <v>2165</v>
      </c>
    </row>
    <row r="1018" spans="1:9" x14ac:dyDescent="0.2">
      <c r="A1018" s="6">
        <v>1213</v>
      </c>
      <c r="B1018" s="6" t="s">
        <v>1505</v>
      </c>
      <c r="C1018" s="6">
        <v>59</v>
      </c>
      <c r="D1018" s="6">
        <v>1</v>
      </c>
      <c r="E1018" s="6">
        <v>96</v>
      </c>
      <c r="F1018" s="6" t="s">
        <v>1381</v>
      </c>
      <c r="G1018" s="6" t="s">
        <v>187</v>
      </c>
      <c r="H1018" s="47" t="s">
        <v>2166</v>
      </c>
      <c r="I1018" s="122" t="s">
        <v>2167</v>
      </c>
    </row>
    <row r="1019" spans="1:9" x14ac:dyDescent="0.2">
      <c r="A1019" s="6">
        <v>1214</v>
      </c>
      <c r="B1019" s="6" t="s">
        <v>1505</v>
      </c>
      <c r="C1019" s="6">
        <v>59</v>
      </c>
      <c r="D1019" s="6">
        <v>1</v>
      </c>
      <c r="E1019" s="6">
        <v>96</v>
      </c>
      <c r="F1019" s="6" t="s">
        <v>1381</v>
      </c>
      <c r="G1019" s="6" t="s">
        <v>187</v>
      </c>
      <c r="H1019" s="47" t="s">
        <v>2168</v>
      </c>
      <c r="I1019" s="122" t="s">
        <v>2169</v>
      </c>
    </row>
    <row r="1020" spans="1:9" x14ac:dyDescent="0.2">
      <c r="A1020" s="6">
        <v>1215</v>
      </c>
      <c r="B1020" s="6" t="s">
        <v>1505</v>
      </c>
      <c r="C1020" s="6">
        <v>59</v>
      </c>
      <c r="D1020" s="6">
        <v>2</v>
      </c>
      <c r="E1020" s="6">
        <v>96</v>
      </c>
      <c r="F1020" s="6" t="s">
        <v>1381</v>
      </c>
      <c r="G1020" s="6" t="s">
        <v>187</v>
      </c>
      <c r="H1020" s="47" t="s">
        <v>2170</v>
      </c>
      <c r="I1020" s="122" t="s">
        <v>2171</v>
      </c>
    </row>
    <row r="1021" spans="1:9" x14ac:dyDescent="0.2">
      <c r="A1021" s="6">
        <v>1216</v>
      </c>
      <c r="B1021" s="6" t="s">
        <v>1505</v>
      </c>
      <c r="C1021" s="6">
        <v>59</v>
      </c>
      <c r="D1021" s="6">
        <v>2</v>
      </c>
      <c r="E1021" s="6">
        <v>96</v>
      </c>
      <c r="F1021" s="6" t="s">
        <v>1381</v>
      </c>
      <c r="G1021" s="6" t="s">
        <v>187</v>
      </c>
      <c r="H1021" s="47" t="s">
        <v>2172</v>
      </c>
      <c r="I1021" s="122" t="s">
        <v>2173</v>
      </c>
    </row>
    <row r="1022" spans="1:9" x14ac:dyDescent="0.2">
      <c r="A1022" s="6">
        <v>1217</v>
      </c>
      <c r="B1022" s="6" t="s">
        <v>1505</v>
      </c>
      <c r="C1022" s="6">
        <v>59</v>
      </c>
      <c r="D1022" s="6">
        <v>2</v>
      </c>
      <c r="E1022" s="6">
        <v>96</v>
      </c>
      <c r="F1022" s="6" t="s">
        <v>1381</v>
      </c>
      <c r="G1022" s="6" t="s">
        <v>187</v>
      </c>
      <c r="H1022" s="47" t="s">
        <v>2174</v>
      </c>
      <c r="I1022" s="122" t="s">
        <v>2175</v>
      </c>
    </row>
    <row r="1023" spans="1:9" x14ac:dyDescent="0.2">
      <c r="A1023" s="6">
        <v>1218</v>
      </c>
      <c r="B1023" s="6" t="s">
        <v>1505</v>
      </c>
      <c r="C1023" s="6">
        <v>59</v>
      </c>
      <c r="D1023" s="6">
        <v>2</v>
      </c>
      <c r="E1023" s="6">
        <v>96</v>
      </c>
      <c r="F1023" s="6" t="s">
        <v>1381</v>
      </c>
      <c r="G1023" s="6" t="s">
        <v>187</v>
      </c>
      <c r="H1023" s="47" t="s">
        <v>2176</v>
      </c>
      <c r="I1023" s="122" t="s">
        <v>2177</v>
      </c>
    </row>
    <row r="1024" spans="1:9" x14ac:dyDescent="0.2">
      <c r="A1024" s="6">
        <v>1219</v>
      </c>
      <c r="B1024" s="6" t="s">
        <v>1505</v>
      </c>
      <c r="C1024" s="6">
        <v>59</v>
      </c>
      <c r="D1024" s="6">
        <v>3</v>
      </c>
      <c r="E1024" s="6">
        <v>96</v>
      </c>
      <c r="F1024" s="6" t="s">
        <v>1381</v>
      </c>
      <c r="G1024" s="6" t="s">
        <v>187</v>
      </c>
      <c r="H1024" s="47" t="s">
        <v>2178</v>
      </c>
      <c r="I1024" s="122" t="s">
        <v>2179</v>
      </c>
    </row>
    <row r="1025" spans="1:9" x14ac:dyDescent="0.2">
      <c r="A1025" s="6">
        <v>1220</v>
      </c>
      <c r="B1025" s="6" t="s">
        <v>1505</v>
      </c>
      <c r="C1025" s="6">
        <v>59</v>
      </c>
      <c r="D1025" s="6">
        <v>4</v>
      </c>
      <c r="E1025" s="6">
        <v>96</v>
      </c>
      <c r="F1025" s="6" t="s">
        <v>1381</v>
      </c>
      <c r="G1025" s="6" t="s">
        <v>187</v>
      </c>
      <c r="H1025" s="47" t="s">
        <v>2180</v>
      </c>
      <c r="I1025" s="122" t="s">
        <v>2181</v>
      </c>
    </row>
    <row r="1026" spans="1:9" x14ac:dyDescent="0.2">
      <c r="A1026" s="6">
        <v>1221</v>
      </c>
      <c r="B1026" s="6" t="s">
        <v>1505</v>
      </c>
      <c r="C1026" s="6">
        <v>59</v>
      </c>
      <c r="D1026" s="6">
        <v>4</v>
      </c>
      <c r="E1026" s="6">
        <v>96</v>
      </c>
      <c r="F1026" s="6" t="s">
        <v>1381</v>
      </c>
      <c r="G1026" s="6" t="s">
        <v>187</v>
      </c>
      <c r="H1026" s="47" t="s">
        <v>2182</v>
      </c>
      <c r="I1026" s="122" t="s">
        <v>2183</v>
      </c>
    </row>
    <row r="1027" spans="1:9" x14ac:dyDescent="0.2">
      <c r="A1027" s="6">
        <v>1222</v>
      </c>
      <c r="B1027" s="6" t="s">
        <v>1505</v>
      </c>
      <c r="C1027" s="6">
        <v>59</v>
      </c>
      <c r="D1027" s="6">
        <v>6</v>
      </c>
      <c r="E1027" s="6">
        <v>96</v>
      </c>
      <c r="F1027" s="6" t="s">
        <v>1381</v>
      </c>
      <c r="G1027" s="6" t="s">
        <v>187</v>
      </c>
      <c r="H1027" s="47" t="s">
        <v>2184</v>
      </c>
      <c r="I1027" s="122" t="s">
        <v>2185</v>
      </c>
    </row>
    <row r="1028" spans="1:9" x14ac:dyDescent="0.2">
      <c r="A1028" s="6">
        <v>1223</v>
      </c>
      <c r="B1028" s="6" t="s">
        <v>1505</v>
      </c>
      <c r="C1028" s="6">
        <v>86</v>
      </c>
      <c r="D1028" s="6">
        <v>1</v>
      </c>
      <c r="E1028" s="6">
        <v>96</v>
      </c>
      <c r="F1028" s="6" t="s">
        <v>2147</v>
      </c>
      <c r="G1028" s="6" t="s">
        <v>187</v>
      </c>
      <c r="H1028" s="47" t="s">
        <v>2186</v>
      </c>
      <c r="I1028" s="122" t="s">
        <v>2187</v>
      </c>
    </row>
    <row r="1029" spans="1:9" x14ac:dyDescent="0.2">
      <c r="A1029" s="6">
        <v>1224</v>
      </c>
      <c r="B1029" s="6" t="s">
        <v>1505</v>
      </c>
      <c r="C1029" s="6">
        <v>86</v>
      </c>
      <c r="D1029" s="6">
        <v>2</v>
      </c>
      <c r="E1029" s="6">
        <v>96</v>
      </c>
      <c r="F1029" s="6" t="s">
        <v>2147</v>
      </c>
      <c r="G1029" s="6" t="s">
        <v>187</v>
      </c>
      <c r="H1029" s="47" t="s">
        <v>2188</v>
      </c>
      <c r="I1029" s="122" t="s">
        <v>2189</v>
      </c>
    </row>
    <row r="1030" spans="1:9" x14ac:dyDescent="0.2">
      <c r="A1030" s="6">
        <v>1225</v>
      </c>
      <c r="B1030" s="6" t="s">
        <v>1505</v>
      </c>
      <c r="C1030" s="6">
        <v>86</v>
      </c>
      <c r="D1030" s="6">
        <v>4</v>
      </c>
      <c r="E1030" s="6">
        <v>96</v>
      </c>
      <c r="F1030" s="6" t="s">
        <v>2147</v>
      </c>
      <c r="G1030" s="6" t="s">
        <v>187</v>
      </c>
      <c r="H1030" s="47" t="s">
        <v>2190</v>
      </c>
      <c r="I1030" s="122" t="s">
        <v>2191</v>
      </c>
    </row>
    <row r="1031" spans="1:9" x14ac:dyDescent="0.2">
      <c r="A1031" s="6">
        <v>1226</v>
      </c>
      <c r="B1031" s="6" t="s">
        <v>1505</v>
      </c>
      <c r="C1031" s="6">
        <v>54</v>
      </c>
      <c r="D1031" s="6">
        <v>1</v>
      </c>
      <c r="E1031" s="6">
        <v>96</v>
      </c>
      <c r="F1031" s="6" t="s">
        <v>1381</v>
      </c>
      <c r="G1031" s="6" t="s">
        <v>187</v>
      </c>
      <c r="H1031" s="47" t="s">
        <v>2192</v>
      </c>
      <c r="I1031" s="122" t="s">
        <v>2193</v>
      </c>
    </row>
    <row r="1032" spans="1:9" x14ac:dyDescent="0.2">
      <c r="A1032" s="6">
        <v>1227</v>
      </c>
      <c r="B1032" s="6" t="s">
        <v>1505</v>
      </c>
      <c r="C1032" s="6">
        <v>54</v>
      </c>
      <c r="D1032" s="6">
        <v>2</v>
      </c>
      <c r="E1032" s="6">
        <v>96</v>
      </c>
      <c r="F1032" s="6" t="s">
        <v>1381</v>
      </c>
      <c r="G1032" s="6" t="s">
        <v>187</v>
      </c>
      <c r="H1032" s="47" t="s">
        <v>2194</v>
      </c>
      <c r="I1032" s="122" t="s">
        <v>2195</v>
      </c>
    </row>
    <row r="1033" spans="1:9" x14ac:dyDescent="0.2">
      <c r="A1033" s="6">
        <v>1228</v>
      </c>
      <c r="B1033" s="6" t="s">
        <v>2196</v>
      </c>
      <c r="C1033" s="6">
        <v>15</v>
      </c>
      <c r="D1033" s="6">
        <v>1</v>
      </c>
      <c r="E1033" s="6">
        <v>18</v>
      </c>
      <c r="F1033" s="6" t="s">
        <v>1381</v>
      </c>
      <c r="G1033" s="6" t="s">
        <v>1309</v>
      </c>
      <c r="H1033" s="47" t="s">
        <v>2197</v>
      </c>
      <c r="I1033" s="122" t="s">
        <v>2198</v>
      </c>
    </row>
    <row r="1034" spans="1:9" x14ac:dyDescent="0.2">
      <c r="A1034" s="6">
        <v>1229</v>
      </c>
      <c r="B1034" s="6" t="s">
        <v>2196</v>
      </c>
      <c r="C1034" s="6">
        <v>15</v>
      </c>
      <c r="D1034" s="6">
        <v>2</v>
      </c>
      <c r="E1034" s="6">
        <v>18</v>
      </c>
      <c r="F1034" s="6" t="s">
        <v>1381</v>
      </c>
      <c r="G1034" s="6" t="s">
        <v>1309</v>
      </c>
      <c r="H1034" s="47" t="s">
        <v>2199</v>
      </c>
      <c r="I1034" s="122" t="s">
        <v>2200</v>
      </c>
    </row>
    <row r="1035" spans="1:9" x14ac:dyDescent="0.2">
      <c r="A1035" s="6">
        <v>1230</v>
      </c>
      <c r="B1035" s="6" t="s">
        <v>2196</v>
      </c>
      <c r="C1035" s="6">
        <v>20</v>
      </c>
      <c r="D1035" s="6">
        <v>1</v>
      </c>
      <c r="E1035" s="6">
        <v>24</v>
      </c>
      <c r="F1035" s="6" t="s">
        <v>1381</v>
      </c>
      <c r="G1035" s="6" t="s">
        <v>1309</v>
      </c>
      <c r="H1035" s="47" t="s">
        <v>2201</v>
      </c>
      <c r="I1035" s="122" t="s">
        <v>2202</v>
      </c>
    </row>
    <row r="1036" spans="1:9" x14ac:dyDescent="0.2">
      <c r="A1036" s="6">
        <v>1231</v>
      </c>
      <c r="B1036" s="6" t="s">
        <v>2196</v>
      </c>
      <c r="C1036" s="6">
        <v>20</v>
      </c>
      <c r="D1036" s="6">
        <v>2</v>
      </c>
      <c r="E1036" s="6">
        <v>24</v>
      </c>
      <c r="F1036" s="6" t="s">
        <v>1381</v>
      </c>
      <c r="G1036" s="6" t="s">
        <v>1309</v>
      </c>
      <c r="H1036" s="47" t="s">
        <v>2203</v>
      </c>
      <c r="I1036" s="122" t="s">
        <v>2204</v>
      </c>
    </row>
    <row r="1037" spans="1:9" x14ac:dyDescent="0.2">
      <c r="A1037" s="6">
        <v>1232</v>
      </c>
      <c r="B1037" s="6" t="s">
        <v>2196</v>
      </c>
      <c r="C1037" s="6">
        <v>20</v>
      </c>
      <c r="D1037" s="6">
        <v>3</v>
      </c>
      <c r="E1037" s="6">
        <v>24</v>
      </c>
      <c r="F1037" s="6" t="s">
        <v>1381</v>
      </c>
      <c r="G1037" s="6" t="s">
        <v>1309</v>
      </c>
      <c r="H1037" s="47" t="s">
        <v>2205</v>
      </c>
      <c r="I1037" s="122" t="s">
        <v>2206</v>
      </c>
    </row>
    <row r="1038" spans="1:9" x14ac:dyDescent="0.2">
      <c r="A1038" s="6">
        <v>1233</v>
      </c>
      <c r="B1038" s="6" t="s">
        <v>2196</v>
      </c>
      <c r="C1038" s="6">
        <v>20</v>
      </c>
      <c r="D1038" s="6">
        <v>4</v>
      </c>
      <c r="E1038" s="6">
        <v>24</v>
      </c>
      <c r="F1038" s="6" t="s">
        <v>1381</v>
      </c>
      <c r="G1038" s="6" t="s">
        <v>1309</v>
      </c>
      <c r="H1038" s="47" t="s">
        <v>2207</v>
      </c>
      <c r="I1038" s="122" t="s">
        <v>2208</v>
      </c>
    </row>
    <row r="1039" spans="1:9" x14ac:dyDescent="0.2">
      <c r="A1039" s="6">
        <v>1234</v>
      </c>
      <c r="B1039" s="6" t="s">
        <v>2196</v>
      </c>
      <c r="C1039" s="6">
        <v>20</v>
      </c>
      <c r="D1039" s="6">
        <v>6</v>
      </c>
      <c r="E1039" s="6">
        <v>24</v>
      </c>
      <c r="F1039" s="6" t="s">
        <v>1381</v>
      </c>
      <c r="G1039" s="6" t="s">
        <v>1309</v>
      </c>
      <c r="H1039" s="47" t="s">
        <v>2209</v>
      </c>
      <c r="I1039" s="122" t="s">
        <v>2210</v>
      </c>
    </row>
    <row r="1040" spans="1:9" x14ac:dyDescent="0.2">
      <c r="A1040" s="6">
        <v>1235</v>
      </c>
      <c r="B1040" s="6" t="s">
        <v>2196</v>
      </c>
      <c r="C1040" s="6">
        <v>35</v>
      </c>
      <c r="D1040" s="6">
        <v>1</v>
      </c>
      <c r="E1040" s="6">
        <v>24</v>
      </c>
      <c r="F1040" s="6" t="s">
        <v>2211</v>
      </c>
      <c r="G1040" s="6" t="s">
        <v>1309</v>
      </c>
      <c r="H1040" s="47" t="s">
        <v>2212</v>
      </c>
      <c r="I1040" s="122" t="s">
        <v>2213</v>
      </c>
    </row>
    <row r="1041" spans="1:9" x14ac:dyDescent="0.2">
      <c r="A1041" s="6">
        <v>1236</v>
      </c>
      <c r="B1041" s="6" t="s">
        <v>2196</v>
      </c>
      <c r="C1041" s="6">
        <v>35</v>
      </c>
      <c r="D1041" s="6">
        <v>2</v>
      </c>
      <c r="E1041" s="6">
        <v>24</v>
      </c>
      <c r="F1041" s="6" t="s">
        <v>2211</v>
      </c>
      <c r="G1041" s="6" t="s">
        <v>1309</v>
      </c>
      <c r="H1041" s="47" t="s">
        <v>2214</v>
      </c>
      <c r="I1041" s="122" t="s">
        <v>2215</v>
      </c>
    </row>
    <row r="1042" spans="1:9" x14ac:dyDescent="0.2">
      <c r="A1042" s="6">
        <v>1237</v>
      </c>
      <c r="B1042" s="6" t="s">
        <v>2196</v>
      </c>
      <c r="C1042" s="6">
        <v>25</v>
      </c>
      <c r="D1042" s="6">
        <v>2</v>
      </c>
      <c r="E1042" s="6">
        <v>36</v>
      </c>
      <c r="F1042" s="6" t="s">
        <v>1381</v>
      </c>
      <c r="G1042" s="6" t="s">
        <v>187</v>
      </c>
      <c r="H1042" s="47" t="s">
        <v>2216</v>
      </c>
      <c r="I1042" s="122" t="s">
        <v>2217</v>
      </c>
    </row>
    <row r="1043" spans="1:9" x14ac:dyDescent="0.2">
      <c r="A1043" s="6">
        <v>1238</v>
      </c>
      <c r="B1043" s="6" t="s">
        <v>2196</v>
      </c>
      <c r="C1043" s="6">
        <v>25</v>
      </c>
      <c r="D1043" s="6">
        <v>1</v>
      </c>
      <c r="E1043" s="6">
        <v>48</v>
      </c>
      <c r="F1043" s="6" t="s">
        <v>1381</v>
      </c>
      <c r="G1043" s="6" t="s">
        <v>187</v>
      </c>
      <c r="H1043" s="47" t="s">
        <v>2218</v>
      </c>
      <c r="I1043" s="122" t="s">
        <v>2219</v>
      </c>
    </row>
    <row r="1044" spans="1:9" x14ac:dyDescent="0.2">
      <c r="A1044" s="6">
        <v>1239</v>
      </c>
      <c r="B1044" s="6" t="s">
        <v>2196</v>
      </c>
      <c r="C1044" s="6">
        <v>25</v>
      </c>
      <c r="D1044" s="6">
        <v>1</v>
      </c>
      <c r="E1044" s="6">
        <v>48</v>
      </c>
      <c r="F1044" s="6" t="s">
        <v>1381</v>
      </c>
      <c r="G1044" s="6" t="s">
        <v>187</v>
      </c>
      <c r="H1044" s="47" t="s">
        <v>2220</v>
      </c>
      <c r="I1044" s="122" t="s">
        <v>2221</v>
      </c>
    </row>
    <row r="1045" spans="1:9" x14ac:dyDescent="0.2">
      <c r="A1045" s="6">
        <v>1240</v>
      </c>
      <c r="B1045" s="6" t="s">
        <v>2196</v>
      </c>
      <c r="C1045" s="6">
        <v>25</v>
      </c>
      <c r="D1045" s="6">
        <v>1</v>
      </c>
      <c r="E1045" s="6">
        <v>48</v>
      </c>
      <c r="F1045" s="6" t="s">
        <v>1381</v>
      </c>
      <c r="G1045" s="6" t="s">
        <v>187</v>
      </c>
      <c r="H1045" s="47" t="s">
        <v>2222</v>
      </c>
      <c r="I1045" s="122" t="s">
        <v>2223</v>
      </c>
    </row>
    <row r="1046" spans="1:9" x14ac:dyDescent="0.2">
      <c r="A1046" s="6">
        <v>1241</v>
      </c>
      <c r="B1046" s="6" t="s">
        <v>2196</v>
      </c>
      <c r="C1046" s="6">
        <v>25</v>
      </c>
      <c r="D1046" s="6">
        <v>1</v>
      </c>
      <c r="E1046" s="6">
        <v>48</v>
      </c>
      <c r="F1046" s="6" t="s">
        <v>1381</v>
      </c>
      <c r="G1046" s="6" t="s">
        <v>187</v>
      </c>
      <c r="H1046" s="47" t="s">
        <v>2224</v>
      </c>
      <c r="I1046" s="122" t="s">
        <v>2225</v>
      </c>
    </row>
    <row r="1047" spans="1:9" x14ac:dyDescent="0.2">
      <c r="A1047" s="6">
        <v>1242</v>
      </c>
      <c r="B1047" s="6" t="s">
        <v>2196</v>
      </c>
      <c r="C1047" s="6">
        <v>25</v>
      </c>
      <c r="D1047" s="6">
        <v>2</v>
      </c>
      <c r="E1047" s="6">
        <v>48</v>
      </c>
      <c r="F1047" s="6" t="s">
        <v>1381</v>
      </c>
      <c r="G1047" s="6" t="s">
        <v>187</v>
      </c>
      <c r="H1047" s="47" t="s">
        <v>2226</v>
      </c>
      <c r="I1047" s="122" t="s">
        <v>2227</v>
      </c>
    </row>
    <row r="1048" spans="1:9" x14ac:dyDescent="0.2">
      <c r="A1048" s="6">
        <v>1243</v>
      </c>
      <c r="B1048" s="6" t="s">
        <v>2196</v>
      </c>
      <c r="C1048" s="6">
        <v>25</v>
      </c>
      <c r="D1048" s="6">
        <v>2</v>
      </c>
      <c r="E1048" s="6">
        <v>48</v>
      </c>
      <c r="F1048" s="6" t="s">
        <v>1381</v>
      </c>
      <c r="G1048" s="6" t="s">
        <v>187</v>
      </c>
      <c r="H1048" s="47" t="s">
        <v>2228</v>
      </c>
      <c r="I1048" s="122" t="s">
        <v>2229</v>
      </c>
    </row>
    <row r="1049" spans="1:9" x14ac:dyDescent="0.2">
      <c r="A1049" s="6">
        <v>1244</v>
      </c>
      <c r="B1049" s="6" t="s">
        <v>2196</v>
      </c>
      <c r="C1049" s="6">
        <v>25</v>
      </c>
      <c r="D1049" s="6">
        <v>3</v>
      </c>
      <c r="E1049" s="6">
        <v>48</v>
      </c>
      <c r="F1049" s="6" t="s">
        <v>1381</v>
      </c>
      <c r="G1049" s="6" t="s">
        <v>187</v>
      </c>
      <c r="H1049" s="47" t="s">
        <v>2230</v>
      </c>
      <c r="I1049" s="122" t="s">
        <v>2231</v>
      </c>
    </row>
    <row r="1050" spans="1:9" x14ac:dyDescent="0.2">
      <c r="A1050" s="6">
        <v>1245</v>
      </c>
      <c r="B1050" s="6" t="s">
        <v>2196</v>
      </c>
      <c r="C1050" s="6">
        <v>25</v>
      </c>
      <c r="D1050" s="6">
        <v>4</v>
      </c>
      <c r="E1050" s="6">
        <v>48</v>
      </c>
      <c r="F1050" s="6" t="s">
        <v>1381</v>
      </c>
      <c r="G1050" s="6" t="s">
        <v>187</v>
      </c>
      <c r="H1050" s="47" t="s">
        <v>2232</v>
      </c>
      <c r="I1050" s="122" t="s">
        <v>2233</v>
      </c>
    </row>
    <row r="1051" spans="1:9" x14ac:dyDescent="0.2">
      <c r="A1051" s="6">
        <v>1246</v>
      </c>
      <c r="B1051" s="6" t="s">
        <v>2196</v>
      </c>
      <c r="C1051" s="6">
        <v>30</v>
      </c>
      <c r="D1051" s="6">
        <v>1</v>
      </c>
      <c r="E1051" s="6">
        <v>36</v>
      </c>
      <c r="F1051" s="6" t="s">
        <v>1381</v>
      </c>
      <c r="G1051" s="6" t="s">
        <v>1722</v>
      </c>
      <c r="H1051" s="47" t="s">
        <v>2234</v>
      </c>
      <c r="I1051" s="122" t="s">
        <v>2235</v>
      </c>
    </row>
    <row r="1052" spans="1:9" x14ac:dyDescent="0.2">
      <c r="A1052" s="6">
        <v>1247</v>
      </c>
      <c r="B1052" s="6" t="s">
        <v>2196</v>
      </c>
      <c r="C1052" s="6">
        <v>30</v>
      </c>
      <c r="D1052" s="6">
        <v>1</v>
      </c>
      <c r="E1052" s="6">
        <v>36</v>
      </c>
      <c r="F1052" s="6" t="s">
        <v>1381</v>
      </c>
      <c r="G1052" s="6" t="s">
        <v>187</v>
      </c>
      <c r="H1052" s="47" t="s">
        <v>2236</v>
      </c>
      <c r="I1052" s="122" t="s">
        <v>2237</v>
      </c>
    </row>
    <row r="1053" spans="1:9" x14ac:dyDescent="0.2">
      <c r="A1053" s="6">
        <v>1248</v>
      </c>
      <c r="B1053" s="6" t="s">
        <v>2196</v>
      </c>
      <c r="C1053" s="6">
        <v>30</v>
      </c>
      <c r="D1053" s="6">
        <v>1</v>
      </c>
      <c r="E1053" s="6">
        <v>36</v>
      </c>
      <c r="F1053" s="6" t="s">
        <v>1381</v>
      </c>
      <c r="G1053" s="6" t="s">
        <v>1309</v>
      </c>
      <c r="H1053" s="47" t="s">
        <v>2236</v>
      </c>
      <c r="I1053" s="122" t="s">
        <v>2238</v>
      </c>
    </row>
    <row r="1054" spans="1:9" x14ac:dyDescent="0.2">
      <c r="A1054" s="6">
        <v>1249</v>
      </c>
      <c r="B1054" s="6" t="s">
        <v>2196</v>
      </c>
      <c r="C1054" s="6">
        <v>30</v>
      </c>
      <c r="D1054" s="6">
        <v>1</v>
      </c>
      <c r="E1054" s="6">
        <v>36</v>
      </c>
      <c r="F1054" s="6" t="s">
        <v>1381</v>
      </c>
      <c r="G1054" s="6" t="s">
        <v>1309</v>
      </c>
      <c r="H1054" s="47" t="s">
        <v>2234</v>
      </c>
      <c r="I1054" s="122" t="s">
        <v>2239</v>
      </c>
    </row>
    <row r="1055" spans="1:9" x14ac:dyDescent="0.2">
      <c r="A1055" s="6">
        <v>1250</v>
      </c>
      <c r="B1055" s="6" t="s">
        <v>2196</v>
      </c>
      <c r="C1055" s="6">
        <v>30</v>
      </c>
      <c r="D1055" s="6">
        <v>2</v>
      </c>
      <c r="E1055" s="6">
        <v>36</v>
      </c>
      <c r="F1055" s="6" t="s">
        <v>1381</v>
      </c>
      <c r="G1055" s="6" t="s">
        <v>1722</v>
      </c>
      <c r="H1055" s="47" t="s">
        <v>2240</v>
      </c>
      <c r="I1055" s="122" t="s">
        <v>2241</v>
      </c>
    </row>
    <row r="1056" spans="1:9" x14ac:dyDescent="0.2">
      <c r="A1056" s="6">
        <v>1251</v>
      </c>
      <c r="B1056" s="6" t="s">
        <v>2196</v>
      </c>
      <c r="C1056" s="6">
        <v>30</v>
      </c>
      <c r="D1056" s="6">
        <v>2</v>
      </c>
      <c r="E1056" s="6">
        <v>36</v>
      </c>
      <c r="F1056" s="6" t="s">
        <v>1381</v>
      </c>
      <c r="G1056" s="6" t="s">
        <v>187</v>
      </c>
      <c r="H1056" s="47" t="s">
        <v>2240</v>
      </c>
      <c r="I1056" s="122" t="s">
        <v>2242</v>
      </c>
    </row>
    <row r="1057" spans="1:9" x14ac:dyDescent="0.2">
      <c r="A1057" s="6">
        <v>1252</v>
      </c>
      <c r="B1057" s="6" t="s">
        <v>2196</v>
      </c>
      <c r="C1057" s="6">
        <v>30</v>
      </c>
      <c r="D1057" s="6">
        <v>2</v>
      </c>
      <c r="E1057" s="6">
        <v>36</v>
      </c>
      <c r="F1057" s="6" t="s">
        <v>1381</v>
      </c>
      <c r="G1057" s="6" t="s">
        <v>1309</v>
      </c>
      <c r="H1057" s="47" t="s">
        <v>2240</v>
      </c>
      <c r="I1057" s="122" t="s">
        <v>2243</v>
      </c>
    </row>
    <row r="1058" spans="1:9" x14ac:dyDescent="0.2">
      <c r="A1058" s="6">
        <v>1253</v>
      </c>
      <c r="B1058" s="6" t="s">
        <v>2196</v>
      </c>
      <c r="C1058" s="6">
        <v>30</v>
      </c>
      <c r="D1058" s="6">
        <v>3</v>
      </c>
      <c r="E1058" s="6">
        <v>36</v>
      </c>
      <c r="F1058" s="6" t="s">
        <v>1381</v>
      </c>
      <c r="G1058" s="6" t="s">
        <v>1722</v>
      </c>
      <c r="H1058" s="47" t="s">
        <v>2244</v>
      </c>
      <c r="I1058" s="122" t="s">
        <v>2245</v>
      </c>
    </row>
    <row r="1059" spans="1:9" x14ac:dyDescent="0.2">
      <c r="A1059" s="6">
        <v>1254</v>
      </c>
      <c r="B1059" s="6" t="s">
        <v>2196</v>
      </c>
      <c r="C1059" s="6">
        <v>30</v>
      </c>
      <c r="D1059" s="6">
        <v>3</v>
      </c>
      <c r="E1059" s="6">
        <v>36</v>
      </c>
      <c r="F1059" s="6" t="s">
        <v>1381</v>
      </c>
      <c r="G1059" s="6" t="s">
        <v>1309</v>
      </c>
      <c r="H1059" s="47" t="s">
        <v>2246</v>
      </c>
      <c r="I1059" s="122" t="s">
        <v>2247</v>
      </c>
    </row>
    <row r="1060" spans="1:9" x14ac:dyDescent="0.2">
      <c r="A1060" s="6">
        <v>1255</v>
      </c>
      <c r="B1060" s="6" t="s">
        <v>2196</v>
      </c>
      <c r="C1060" s="6">
        <v>30</v>
      </c>
      <c r="D1060" s="6">
        <v>4</v>
      </c>
      <c r="E1060" s="6">
        <v>36</v>
      </c>
      <c r="F1060" s="6" t="s">
        <v>1381</v>
      </c>
      <c r="G1060" s="6" t="s">
        <v>1722</v>
      </c>
      <c r="H1060" s="47" t="s">
        <v>2248</v>
      </c>
      <c r="I1060" s="122" t="s">
        <v>2249</v>
      </c>
    </row>
    <row r="1061" spans="1:9" x14ac:dyDescent="0.2">
      <c r="A1061" s="6">
        <v>1256</v>
      </c>
      <c r="B1061" s="6" t="s">
        <v>2196</v>
      </c>
      <c r="C1061" s="6">
        <v>30</v>
      </c>
      <c r="D1061" s="6">
        <v>4</v>
      </c>
      <c r="E1061" s="6">
        <v>36</v>
      </c>
      <c r="F1061" s="6" t="s">
        <v>1381</v>
      </c>
      <c r="G1061" s="6" t="s">
        <v>187</v>
      </c>
      <c r="H1061" s="47" t="s">
        <v>2248</v>
      </c>
      <c r="I1061" s="122" t="s">
        <v>2250</v>
      </c>
    </row>
    <row r="1062" spans="1:9" x14ac:dyDescent="0.2">
      <c r="A1062" s="6">
        <v>1257</v>
      </c>
      <c r="B1062" s="6" t="s">
        <v>2196</v>
      </c>
      <c r="C1062" s="6">
        <v>30</v>
      </c>
      <c r="D1062" s="6">
        <v>4</v>
      </c>
      <c r="E1062" s="6">
        <v>36</v>
      </c>
      <c r="F1062" s="6" t="s">
        <v>1381</v>
      </c>
      <c r="G1062" s="6" t="s">
        <v>1309</v>
      </c>
      <c r="H1062" s="47" t="s">
        <v>2248</v>
      </c>
      <c r="I1062" s="122" t="s">
        <v>2251</v>
      </c>
    </row>
    <row r="1063" spans="1:9" x14ac:dyDescent="0.2">
      <c r="A1063" s="6">
        <v>1258</v>
      </c>
      <c r="B1063" s="6" t="s">
        <v>2196</v>
      </c>
      <c r="C1063" s="6">
        <v>30</v>
      </c>
      <c r="D1063" s="6">
        <v>6</v>
      </c>
      <c r="E1063" s="6">
        <v>36</v>
      </c>
      <c r="F1063" s="6" t="s">
        <v>1381</v>
      </c>
      <c r="G1063" s="6" t="s">
        <v>1722</v>
      </c>
      <c r="H1063" s="47" t="s">
        <v>2252</v>
      </c>
      <c r="I1063" s="122" t="s">
        <v>2253</v>
      </c>
    </row>
    <row r="1064" spans="1:9" x14ac:dyDescent="0.2">
      <c r="A1064" s="6">
        <v>1259</v>
      </c>
      <c r="B1064" s="6" t="s">
        <v>2196</v>
      </c>
      <c r="C1064" s="6">
        <v>30</v>
      </c>
      <c r="D1064" s="6">
        <v>6</v>
      </c>
      <c r="E1064" s="6">
        <v>36</v>
      </c>
      <c r="F1064" s="6" t="s">
        <v>1381</v>
      </c>
      <c r="G1064" s="6" t="s">
        <v>1309</v>
      </c>
      <c r="H1064" s="47" t="s">
        <v>2252</v>
      </c>
      <c r="I1064" s="122" t="s">
        <v>2254</v>
      </c>
    </row>
    <row r="1065" spans="1:9" x14ac:dyDescent="0.2">
      <c r="A1065" s="6">
        <v>1260</v>
      </c>
      <c r="B1065" s="6" t="s">
        <v>2196</v>
      </c>
      <c r="C1065" s="6">
        <v>25</v>
      </c>
      <c r="D1065" s="6">
        <v>1</v>
      </c>
      <c r="E1065" s="6">
        <v>36</v>
      </c>
      <c r="F1065" s="6" t="s">
        <v>1381</v>
      </c>
      <c r="G1065" s="6" t="s">
        <v>1722</v>
      </c>
      <c r="H1065" s="47" t="s">
        <v>2255</v>
      </c>
      <c r="I1065" s="122" t="s">
        <v>2256</v>
      </c>
    </row>
    <row r="1066" spans="1:9" x14ac:dyDescent="0.2">
      <c r="A1066" s="6">
        <v>1261</v>
      </c>
      <c r="B1066" s="6" t="s">
        <v>2196</v>
      </c>
      <c r="C1066" s="6">
        <v>25</v>
      </c>
      <c r="D1066" s="6">
        <v>1</v>
      </c>
      <c r="E1066" s="6">
        <v>36</v>
      </c>
      <c r="F1066" s="6" t="s">
        <v>1381</v>
      </c>
      <c r="G1066" s="6" t="s">
        <v>187</v>
      </c>
      <c r="H1066" s="47" t="s">
        <v>2257</v>
      </c>
      <c r="I1066" s="122" t="s">
        <v>2258</v>
      </c>
    </row>
    <row r="1067" spans="1:9" x14ac:dyDescent="0.2">
      <c r="A1067" s="6">
        <v>1262</v>
      </c>
      <c r="B1067" s="6" t="s">
        <v>2196</v>
      </c>
      <c r="C1067" s="6">
        <v>25</v>
      </c>
      <c r="D1067" s="6">
        <v>1</v>
      </c>
      <c r="E1067" s="6">
        <v>36</v>
      </c>
      <c r="F1067" s="6" t="s">
        <v>1381</v>
      </c>
      <c r="G1067" s="6" t="s">
        <v>1309</v>
      </c>
      <c r="H1067" s="47" t="s">
        <v>2257</v>
      </c>
      <c r="I1067" s="122" t="s">
        <v>2259</v>
      </c>
    </row>
    <row r="1068" spans="1:9" x14ac:dyDescent="0.2">
      <c r="A1068" s="6">
        <v>1263</v>
      </c>
      <c r="B1068" s="6" t="s">
        <v>2196</v>
      </c>
      <c r="C1068" s="6">
        <v>25</v>
      </c>
      <c r="D1068" s="6">
        <v>1</v>
      </c>
      <c r="E1068" s="6">
        <v>36</v>
      </c>
      <c r="F1068" s="6" t="s">
        <v>1381</v>
      </c>
      <c r="G1068" s="6" t="s">
        <v>1309</v>
      </c>
      <c r="H1068" s="47" t="s">
        <v>2255</v>
      </c>
      <c r="I1068" s="122" t="s">
        <v>2260</v>
      </c>
    </row>
    <row r="1069" spans="1:9" x14ac:dyDescent="0.2">
      <c r="A1069" s="6">
        <v>1264</v>
      </c>
      <c r="B1069" s="6" t="s">
        <v>2196</v>
      </c>
      <c r="C1069" s="6">
        <v>25</v>
      </c>
      <c r="D1069" s="6">
        <v>2</v>
      </c>
      <c r="E1069" s="6">
        <v>36</v>
      </c>
      <c r="F1069" s="6" t="s">
        <v>1381</v>
      </c>
      <c r="G1069" s="6" t="s">
        <v>1722</v>
      </c>
      <c r="H1069" s="47" t="s">
        <v>2261</v>
      </c>
      <c r="I1069" s="122" t="s">
        <v>2262</v>
      </c>
    </row>
    <row r="1070" spans="1:9" x14ac:dyDescent="0.2">
      <c r="A1070" s="6">
        <v>1265</v>
      </c>
      <c r="B1070" s="6" t="s">
        <v>2196</v>
      </c>
      <c r="C1070" s="6">
        <v>25</v>
      </c>
      <c r="D1070" s="6">
        <v>2</v>
      </c>
      <c r="E1070" s="6">
        <v>36</v>
      </c>
      <c r="F1070" s="6" t="s">
        <v>1381</v>
      </c>
      <c r="G1070" s="6" t="s">
        <v>187</v>
      </c>
      <c r="H1070" s="47" t="s">
        <v>2261</v>
      </c>
      <c r="I1070" s="122" t="s">
        <v>2263</v>
      </c>
    </row>
    <row r="1071" spans="1:9" x14ac:dyDescent="0.2">
      <c r="A1071" s="6">
        <v>1266</v>
      </c>
      <c r="B1071" s="6" t="s">
        <v>2196</v>
      </c>
      <c r="C1071" s="6">
        <v>25</v>
      </c>
      <c r="D1071" s="6">
        <v>2</v>
      </c>
      <c r="E1071" s="6">
        <v>36</v>
      </c>
      <c r="F1071" s="6" t="s">
        <v>1381</v>
      </c>
      <c r="G1071" s="6" t="s">
        <v>1309</v>
      </c>
      <c r="H1071" s="47" t="s">
        <v>2261</v>
      </c>
      <c r="I1071" s="122" t="s">
        <v>2264</v>
      </c>
    </row>
    <row r="1072" spans="1:9" x14ac:dyDescent="0.2">
      <c r="A1072" s="6">
        <v>1267</v>
      </c>
      <c r="B1072" s="6" t="s">
        <v>2196</v>
      </c>
      <c r="C1072" s="6">
        <v>25</v>
      </c>
      <c r="D1072" s="6">
        <v>3</v>
      </c>
      <c r="E1072" s="6">
        <v>36</v>
      </c>
      <c r="F1072" s="6" t="s">
        <v>1381</v>
      </c>
      <c r="G1072" s="6" t="s">
        <v>1309</v>
      </c>
      <c r="H1072" s="47" t="s">
        <v>2265</v>
      </c>
      <c r="I1072" s="122" t="s">
        <v>2266</v>
      </c>
    </row>
    <row r="1073" spans="1:9" x14ac:dyDescent="0.2">
      <c r="A1073" s="6">
        <v>1268</v>
      </c>
      <c r="B1073" s="6" t="s">
        <v>2196</v>
      </c>
      <c r="C1073" s="6">
        <v>25</v>
      </c>
      <c r="D1073" s="6">
        <v>4</v>
      </c>
      <c r="E1073" s="6">
        <v>36</v>
      </c>
      <c r="F1073" s="6" t="s">
        <v>1381</v>
      </c>
      <c r="G1073" s="6" t="s">
        <v>1722</v>
      </c>
      <c r="H1073" s="47" t="s">
        <v>2267</v>
      </c>
      <c r="I1073" s="122" t="s">
        <v>2268</v>
      </c>
    </row>
    <row r="1074" spans="1:9" x14ac:dyDescent="0.2">
      <c r="A1074" s="6">
        <v>1269</v>
      </c>
      <c r="B1074" s="6" t="s">
        <v>2196</v>
      </c>
      <c r="C1074" s="6">
        <v>30</v>
      </c>
      <c r="D1074" s="6">
        <v>6</v>
      </c>
      <c r="E1074" s="6">
        <v>36</v>
      </c>
      <c r="F1074" s="6" t="s">
        <v>1381</v>
      </c>
      <c r="G1074" s="6" t="s">
        <v>1722</v>
      </c>
      <c r="H1074" s="47" t="s">
        <v>2269</v>
      </c>
      <c r="I1074" s="122" t="s">
        <v>2270</v>
      </c>
    </row>
    <row r="1075" spans="1:9" x14ac:dyDescent="0.2">
      <c r="A1075" s="6">
        <v>1270</v>
      </c>
      <c r="B1075" s="6" t="s">
        <v>2196</v>
      </c>
      <c r="C1075" s="6">
        <v>30</v>
      </c>
      <c r="D1075" s="6">
        <v>6</v>
      </c>
      <c r="E1075" s="6">
        <v>36</v>
      </c>
      <c r="F1075" s="6" t="s">
        <v>1381</v>
      </c>
      <c r="G1075" s="6" t="s">
        <v>1309</v>
      </c>
      <c r="H1075" s="47" t="s">
        <v>2269</v>
      </c>
      <c r="I1075" s="122" t="s">
        <v>2271</v>
      </c>
    </row>
    <row r="1076" spans="1:9" x14ac:dyDescent="0.2">
      <c r="A1076" s="6">
        <v>1271</v>
      </c>
      <c r="B1076" s="6" t="s">
        <v>1380</v>
      </c>
      <c r="C1076" s="6">
        <v>50</v>
      </c>
      <c r="D1076" s="6">
        <v>1</v>
      </c>
      <c r="E1076" s="6">
        <v>36</v>
      </c>
      <c r="F1076" s="6" t="s">
        <v>1405</v>
      </c>
      <c r="G1076" s="6" t="s">
        <v>1309</v>
      </c>
      <c r="H1076" s="47" t="s">
        <v>2272</v>
      </c>
      <c r="I1076" s="122" t="s">
        <v>2273</v>
      </c>
    </row>
    <row r="1077" spans="1:9" x14ac:dyDescent="0.2">
      <c r="A1077" s="6">
        <v>1272</v>
      </c>
      <c r="B1077" s="6" t="s">
        <v>2196</v>
      </c>
      <c r="C1077" s="6">
        <v>50</v>
      </c>
      <c r="D1077" s="6">
        <v>2</v>
      </c>
      <c r="E1077" s="6">
        <v>36</v>
      </c>
      <c r="F1077" s="6" t="s">
        <v>2211</v>
      </c>
      <c r="G1077" s="6" t="s">
        <v>1309</v>
      </c>
      <c r="H1077" s="47" t="s">
        <v>2274</v>
      </c>
      <c r="I1077" s="122" t="s">
        <v>2275</v>
      </c>
    </row>
    <row r="1078" spans="1:9" x14ac:dyDescent="0.2">
      <c r="A1078" s="6">
        <v>1273</v>
      </c>
      <c r="B1078" s="6" t="s">
        <v>2196</v>
      </c>
      <c r="C1078" s="6">
        <v>39</v>
      </c>
      <c r="D1078" s="6">
        <v>1</v>
      </c>
      <c r="E1078" s="6">
        <v>48</v>
      </c>
      <c r="F1078" s="6" t="s">
        <v>1381</v>
      </c>
      <c r="G1078" s="6" t="s">
        <v>187</v>
      </c>
      <c r="H1078" s="47" t="s">
        <v>2276</v>
      </c>
      <c r="I1078" s="122" t="s">
        <v>2277</v>
      </c>
    </row>
    <row r="1079" spans="1:9" x14ac:dyDescent="0.2">
      <c r="A1079" s="6">
        <v>1274</v>
      </c>
      <c r="B1079" s="6" t="s">
        <v>2196</v>
      </c>
      <c r="C1079" s="6">
        <v>39</v>
      </c>
      <c r="D1079" s="6">
        <v>1</v>
      </c>
      <c r="E1079" s="6">
        <v>48</v>
      </c>
      <c r="F1079" s="6" t="s">
        <v>1381</v>
      </c>
      <c r="G1079" s="6" t="s">
        <v>187</v>
      </c>
      <c r="H1079" s="47" t="s">
        <v>2278</v>
      </c>
      <c r="I1079" s="122" t="s">
        <v>2279</v>
      </c>
    </row>
    <row r="1080" spans="1:9" x14ac:dyDescent="0.2">
      <c r="A1080" s="6">
        <v>1275</v>
      </c>
      <c r="B1080" s="6" t="s">
        <v>2196</v>
      </c>
      <c r="C1080" s="6">
        <v>39</v>
      </c>
      <c r="D1080" s="6">
        <v>2</v>
      </c>
      <c r="E1080" s="6">
        <v>48</v>
      </c>
      <c r="F1080" s="6" t="s">
        <v>1381</v>
      </c>
      <c r="G1080" s="6" t="s">
        <v>187</v>
      </c>
      <c r="H1080" s="47" t="s">
        <v>2280</v>
      </c>
      <c r="I1080" s="122" t="s">
        <v>2281</v>
      </c>
    </row>
    <row r="1081" spans="1:9" x14ac:dyDescent="0.2">
      <c r="A1081" s="6">
        <v>1276</v>
      </c>
      <c r="B1081" s="6" t="s">
        <v>2196</v>
      </c>
      <c r="C1081" s="6">
        <v>39</v>
      </c>
      <c r="D1081" s="6">
        <v>3</v>
      </c>
      <c r="E1081" s="6">
        <v>48</v>
      </c>
      <c r="F1081" s="6" t="s">
        <v>1381</v>
      </c>
      <c r="G1081" s="6" t="s">
        <v>187</v>
      </c>
      <c r="H1081" s="47" t="s">
        <v>2282</v>
      </c>
      <c r="I1081" s="122" t="s">
        <v>2283</v>
      </c>
    </row>
    <row r="1082" spans="1:9" x14ac:dyDescent="0.2">
      <c r="A1082" s="6">
        <v>1277</v>
      </c>
      <c r="B1082" s="6" t="s">
        <v>2196</v>
      </c>
      <c r="C1082" s="6">
        <v>39</v>
      </c>
      <c r="D1082" s="6">
        <v>4</v>
      </c>
      <c r="E1082" s="6">
        <v>48</v>
      </c>
      <c r="F1082" s="6" t="s">
        <v>1381</v>
      </c>
      <c r="G1082" s="6" t="s">
        <v>187</v>
      </c>
      <c r="H1082" s="47" t="s">
        <v>2284</v>
      </c>
      <c r="I1082" s="122" t="s">
        <v>2285</v>
      </c>
    </row>
    <row r="1083" spans="1:9" x14ac:dyDescent="0.2">
      <c r="A1083" s="6">
        <v>1278</v>
      </c>
      <c r="B1083" s="6" t="s">
        <v>2196</v>
      </c>
      <c r="C1083" s="6">
        <v>40</v>
      </c>
      <c r="D1083" s="6">
        <v>6</v>
      </c>
      <c r="E1083" s="6">
        <v>48</v>
      </c>
      <c r="F1083" s="6" t="s">
        <v>1381</v>
      </c>
      <c r="G1083" s="6" t="s">
        <v>187</v>
      </c>
      <c r="H1083" s="47" t="s">
        <v>2286</v>
      </c>
      <c r="I1083" s="122" t="s">
        <v>2287</v>
      </c>
    </row>
    <row r="1084" spans="1:9" x14ac:dyDescent="0.2">
      <c r="A1084" s="6">
        <v>1279</v>
      </c>
      <c r="B1084" s="6" t="s">
        <v>2288</v>
      </c>
      <c r="C1084" s="6">
        <v>40</v>
      </c>
      <c r="D1084" s="6">
        <v>1</v>
      </c>
      <c r="E1084" s="6">
        <v>48</v>
      </c>
      <c r="F1084" s="6" t="s">
        <v>1381</v>
      </c>
      <c r="G1084" s="6" t="s">
        <v>1309</v>
      </c>
      <c r="H1084" s="47" t="s">
        <v>2289</v>
      </c>
      <c r="I1084" s="122" t="s">
        <v>2290</v>
      </c>
    </row>
    <row r="1085" spans="1:9" x14ac:dyDescent="0.2">
      <c r="A1085" s="6">
        <v>1280</v>
      </c>
      <c r="B1085" s="6" t="s">
        <v>2196</v>
      </c>
      <c r="C1085" s="6">
        <v>34</v>
      </c>
      <c r="D1085" s="6">
        <v>1</v>
      </c>
      <c r="E1085" s="6">
        <v>48</v>
      </c>
      <c r="F1085" s="6" t="s">
        <v>1381</v>
      </c>
      <c r="G1085" s="6" t="s">
        <v>1722</v>
      </c>
      <c r="H1085" s="47" t="s">
        <v>2291</v>
      </c>
      <c r="I1085" s="122" t="s">
        <v>2292</v>
      </c>
    </row>
    <row r="1086" spans="1:9" x14ac:dyDescent="0.2">
      <c r="A1086" s="6">
        <v>1281</v>
      </c>
      <c r="B1086" s="6" t="s">
        <v>2196</v>
      </c>
      <c r="C1086" s="6">
        <v>34</v>
      </c>
      <c r="D1086" s="6">
        <v>1</v>
      </c>
      <c r="E1086" s="6">
        <v>48</v>
      </c>
      <c r="F1086" s="6" t="s">
        <v>1381</v>
      </c>
      <c r="G1086" s="6" t="s">
        <v>1722</v>
      </c>
      <c r="H1086" s="47" t="s">
        <v>2293</v>
      </c>
      <c r="I1086" s="122" t="s">
        <v>2294</v>
      </c>
    </row>
    <row r="1087" spans="1:9" x14ac:dyDescent="0.2">
      <c r="A1087" s="6">
        <v>1282</v>
      </c>
      <c r="B1087" s="6" t="s">
        <v>2196</v>
      </c>
      <c r="C1087" s="6">
        <v>34</v>
      </c>
      <c r="D1087" s="6">
        <v>1</v>
      </c>
      <c r="E1087" s="6">
        <v>48</v>
      </c>
      <c r="F1087" s="6" t="s">
        <v>1381</v>
      </c>
      <c r="G1087" s="6" t="s">
        <v>1722</v>
      </c>
      <c r="H1087" s="47" t="s">
        <v>2295</v>
      </c>
      <c r="I1087" s="122" t="s">
        <v>2296</v>
      </c>
    </row>
    <row r="1088" spans="1:9" x14ac:dyDescent="0.2">
      <c r="A1088" s="6">
        <v>1283</v>
      </c>
      <c r="B1088" s="6" t="s">
        <v>2196</v>
      </c>
      <c r="C1088" s="6">
        <v>34</v>
      </c>
      <c r="D1088" s="6">
        <v>1</v>
      </c>
      <c r="E1088" s="6">
        <v>48</v>
      </c>
      <c r="F1088" s="6" t="s">
        <v>1381</v>
      </c>
      <c r="G1088" s="6" t="s">
        <v>187</v>
      </c>
      <c r="H1088" s="47" t="s">
        <v>2297</v>
      </c>
      <c r="I1088" s="122" t="s">
        <v>2298</v>
      </c>
    </row>
    <row r="1089" spans="1:9" x14ac:dyDescent="0.2">
      <c r="A1089" s="6">
        <v>1284</v>
      </c>
      <c r="B1089" s="6" t="s">
        <v>2196</v>
      </c>
      <c r="C1089" s="6">
        <v>34</v>
      </c>
      <c r="D1089" s="6">
        <v>2</v>
      </c>
      <c r="E1089" s="6">
        <v>48</v>
      </c>
      <c r="F1089" s="6" t="s">
        <v>1381</v>
      </c>
      <c r="G1089" s="6" t="s">
        <v>1722</v>
      </c>
      <c r="H1089" s="47" t="s">
        <v>2299</v>
      </c>
      <c r="I1089" s="122" t="s">
        <v>2300</v>
      </c>
    </row>
    <row r="1090" spans="1:9" x14ac:dyDescent="0.2">
      <c r="A1090" s="6">
        <v>1285</v>
      </c>
      <c r="B1090" s="6" t="s">
        <v>2196</v>
      </c>
      <c r="C1090" s="6">
        <v>34</v>
      </c>
      <c r="D1090" s="6">
        <v>2</v>
      </c>
      <c r="E1090" s="6">
        <v>48</v>
      </c>
      <c r="F1090" s="6" t="s">
        <v>1381</v>
      </c>
      <c r="G1090" s="6" t="s">
        <v>1722</v>
      </c>
      <c r="H1090" s="47" t="s">
        <v>2301</v>
      </c>
      <c r="I1090" s="122" t="s">
        <v>2302</v>
      </c>
    </row>
    <row r="1091" spans="1:9" x14ac:dyDescent="0.2">
      <c r="A1091" s="6">
        <v>1286</v>
      </c>
      <c r="B1091" s="6" t="s">
        <v>2196</v>
      </c>
      <c r="C1091" s="6">
        <v>34</v>
      </c>
      <c r="D1091" s="6">
        <v>2</v>
      </c>
      <c r="E1091" s="6">
        <v>48</v>
      </c>
      <c r="F1091" s="6" t="s">
        <v>1381</v>
      </c>
      <c r="G1091" s="6" t="s">
        <v>1722</v>
      </c>
      <c r="H1091" s="47" t="s">
        <v>2303</v>
      </c>
      <c r="I1091" s="122" t="s">
        <v>2304</v>
      </c>
    </row>
    <row r="1092" spans="1:9" x14ac:dyDescent="0.2">
      <c r="A1092" s="6">
        <v>1287</v>
      </c>
      <c r="B1092" s="6" t="s">
        <v>2196</v>
      </c>
      <c r="C1092" s="6">
        <v>34</v>
      </c>
      <c r="D1092" s="6">
        <v>2</v>
      </c>
      <c r="E1092" s="6">
        <v>48</v>
      </c>
      <c r="F1092" s="6" t="s">
        <v>1381</v>
      </c>
      <c r="G1092" s="6" t="s">
        <v>187</v>
      </c>
      <c r="H1092" s="47" t="s">
        <v>2305</v>
      </c>
      <c r="I1092" s="122" t="s">
        <v>2306</v>
      </c>
    </row>
    <row r="1093" spans="1:9" x14ac:dyDescent="0.2">
      <c r="A1093" s="6">
        <v>1288</v>
      </c>
      <c r="B1093" s="6" t="s">
        <v>2196</v>
      </c>
      <c r="C1093" s="6">
        <v>34</v>
      </c>
      <c r="D1093" s="6">
        <v>3</v>
      </c>
      <c r="E1093" s="6">
        <v>48</v>
      </c>
      <c r="F1093" s="6" t="s">
        <v>1381</v>
      </c>
      <c r="G1093" s="6" t="s">
        <v>1722</v>
      </c>
      <c r="H1093" s="47" t="s">
        <v>2307</v>
      </c>
      <c r="I1093" s="122" t="s">
        <v>2308</v>
      </c>
    </row>
    <row r="1094" spans="1:9" x14ac:dyDescent="0.2">
      <c r="A1094" s="6">
        <v>1289</v>
      </c>
      <c r="B1094" s="6" t="s">
        <v>2196</v>
      </c>
      <c r="C1094" s="6">
        <v>34</v>
      </c>
      <c r="D1094" s="6">
        <v>3</v>
      </c>
      <c r="E1094" s="6">
        <v>48</v>
      </c>
      <c r="F1094" s="6" t="s">
        <v>1381</v>
      </c>
      <c r="G1094" s="6" t="s">
        <v>1722</v>
      </c>
      <c r="H1094" s="47" t="s">
        <v>2309</v>
      </c>
      <c r="I1094" s="122" t="s">
        <v>2310</v>
      </c>
    </row>
    <row r="1095" spans="1:9" x14ac:dyDescent="0.2">
      <c r="A1095" s="6">
        <v>1290</v>
      </c>
      <c r="B1095" s="6" t="s">
        <v>2196</v>
      </c>
      <c r="C1095" s="6">
        <v>34</v>
      </c>
      <c r="D1095" s="6">
        <v>3</v>
      </c>
      <c r="E1095" s="6">
        <v>48</v>
      </c>
      <c r="F1095" s="6" t="s">
        <v>1381</v>
      </c>
      <c r="G1095" s="6" t="s">
        <v>187</v>
      </c>
      <c r="H1095" s="47" t="s">
        <v>2311</v>
      </c>
      <c r="I1095" s="122" t="s">
        <v>2312</v>
      </c>
    </row>
    <row r="1096" spans="1:9" x14ac:dyDescent="0.2">
      <c r="A1096" s="6">
        <v>1291</v>
      </c>
      <c r="B1096" s="6" t="s">
        <v>2196</v>
      </c>
      <c r="C1096" s="6">
        <v>34</v>
      </c>
      <c r="D1096" s="6">
        <v>4</v>
      </c>
      <c r="E1096" s="6">
        <v>48</v>
      </c>
      <c r="F1096" s="6" t="s">
        <v>1381</v>
      </c>
      <c r="G1096" s="6" t="s">
        <v>1722</v>
      </c>
      <c r="H1096" s="47" t="s">
        <v>2313</v>
      </c>
      <c r="I1096" s="122" t="s">
        <v>2314</v>
      </c>
    </row>
    <row r="1097" spans="1:9" x14ac:dyDescent="0.2">
      <c r="A1097" s="6">
        <v>1292</v>
      </c>
      <c r="B1097" s="6" t="s">
        <v>2196</v>
      </c>
      <c r="C1097" s="6">
        <v>34</v>
      </c>
      <c r="D1097" s="6">
        <v>4</v>
      </c>
      <c r="E1097" s="6">
        <v>48</v>
      </c>
      <c r="F1097" s="6" t="s">
        <v>1381</v>
      </c>
      <c r="G1097" s="6" t="s">
        <v>1722</v>
      </c>
      <c r="H1097" s="47" t="s">
        <v>2315</v>
      </c>
      <c r="I1097" s="122" t="s">
        <v>2316</v>
      </c>
    </row>
    <row r="1098" spans="1:9" x14ac:dyDescent="0.2">
      <c r="A1098" s="6">
        <v>1293</v>
      </c>
      <c r="B1098" s="6" t="s">
        <v>2196</v>
      </c>
      <c r="C1098" s="6">
        <v>34</v>
      </c>
      <c r="D1098" s="6">
        <v>4</v>
      </c>
      <c r="E1098" s="6">
        <v>48</v>
      </c>
      <c r="F1098" s="6" t="s">
        <v>1381</v>
      </c>
      <c r="G1098" s="6" t="s">
        <v>1722</v>
      </c>
      <c r="H1098" s="47" t="s">
        <v>2317</v>
      </c>
      <c r="I1098" s="122" t="s">
        <v>2318</v>
      </c>
    </row>
    <row r="1099" spans="1:9" x14ac:dyDescent="0.2">
      <c r="A1099" s="6">
        <v>1294</v>
      </c>
      <c r="B1099" s="6" t="s">
        <v>2196</v>
      </c>
      <c r="C1099" s="6">
        <v>34</v>
      </c>
      <c r="D1099" s="6">
        <v>4</v>
      </c>
      <c r="E1099" s="6">
        <v>48</v>
      </c>
      <c r="F1099" s="6" t="s">
        <v>1381</v>
      </c>
      <c r="G1099" s="6" t="s">
        <v>187</v>
      </c>
      <c r="H1099" s="47" t="s">
        <v>2319</v>
      </c>
      <c r="I1099" s="122" t="s">
        <v>2320</v>
      </c>
    </row>
    <row r="1100" spans="1:9" x14ac:dyDescent="0.2">
      <c r="A1100" s="6">
        <v>1295</v>
      </c>
      <c r="B1100" s="6" t="s">
        <v>2196</v>
      </c>
      <c r="C1100" s="6">
        <v>34</v>
      </c>
      <c r="D1100" s="6">
        <v>6</v>
      </c>
      <c r="E1100" s="6">
        <v>48</v>
      </c>
      <c r="F1100" s="6" t="s">
        <v>1381</v>
      </c>
      <c r="G1100" s="6" t="s">
        <v>1722</v>
      </c>
      <c r="H1100" s="47" t="s">
        <v>2321</v>
      </c>
      <c r="I1100" s="122" t="s">
        <v>2322</v>
      </c>
    </row>
    <row r="1101" spans="1:9" x14ac:dyDescent="0.2">
      <c r="A1101" s="6">
        <v>1296</v>
      </c>
      <c r="B1101" s="6" t="s">
        <v>2196</v>
      </c>
      <c r="C1101" s="6">
        <v>34</v>
      </c>
      <c r="D1101" s="6">
        <v>6</v>
      </c>
      <c r="E1101" s="6">
        <v>48</v>
      </c>
      <c r="F1101" s="6" t="s">
        <v>1381</v>
      </c>
      <c r="G1101" s="6" t="s">
        <v>187</v>
      </c>
      <c r="H1101" s="47" t="s">
        <v>2321</v>
      </c>
      <c r="I1101" s="122" t="s">
        <v>2323</v>
      </c>
    </row>
    <row r="1102" spans="1:9" x14ac:dyDescent="0.2">
      <c r="A1102" s="6">
        <v>1297</v>
      </c>
      <c r="B1102" s="6" t="s">
        <v>2196</v>
      </c>
      <c r="C1102" s="6">
        <v>34</v>
      </c>
      <c r="D1102" s="6">
        <v>8</v>
      </c>
      <c r="E1102" s="6">
        <v>48</v>
      </c>
      <c r="F1102" s="6" t="s">
        <v>1381</v>
      </c>
      <c r="G1102" s="6" t="s">
        <v>1722</v>
      </c>
      <c r="H1102" s="47" t="s">
        <v>2324</v>
      </c>
      <c r="I1102" s="122" t="s">
        <v>2325</v>
      </c>
    </row>
    <row r="1103" spans="1:9" x14ac:dyDescent="0.2">
      <c r="A1103" s="6">
        <v>1298</v>
      </c>
      <c r="B1103" s="6" t="s">
        <v>2196</v>
      </c>
      <c r="C1103" s="6">
        <v>55</v>
      </c>
      <c r="D1103" s="6">
        <v>2</v>
      </c>
      <c r="E1103" s="6">
        <v>42</v>
      </c>
      <c r="F1103" s="6" t="s">
        <v>2211</v>
      </c>
      <c r="G1103" s="6" t="s">
        <v>1309</v>
      </c>
      <c r="H1103" s="47" t="s">
        <v>2326</v>
      </c>
      <c r="I1103" s="122" t="s">
        <v>2327</v>
      </c>
    </row>
    <row r="1104" spans="1:9" x14ac:dyDescent="0.2">
      <c r="A1104" s="6">
        <v>1299</v>
      </c>
      <c r="B1104" s="6" t="s">
        <v>2196</v>
      </c>
      <c r="C1104" s="6">
        <v>55</v>
      </c>
      <c r="D1104" s="6">
        <v>3</v>
      </c>
      <c r="E1104" s="6">
        <v>42</v>
      </c>
      <c r="F1104" s="6" t="s">
        <v>2211</v>
      </c>
      <c r="G1104" s="6" t="s">
        <v>1309</v>
      </c>
      <c r="H1104" s="47" t="s">
        <v>2328</v>
      </c>
      <c r="I1104" s="122" t="s">
        <v>2329</v>
      </c>
    </row>
    <row r="1105" spans="1:9" x14ac:dyDescent="0.2">
      <c r="A1105" s="6">
        <v>1300</v>
      </c>
      <c r="B1105" s="6" t="s">
        <v>2196</v>
      </c>
      <c r="C1105" s="6">
        <v>40</v>
      </c>
      <c r="D1105" s="6">
        <v>1</v>
      </c>
      <c r="E1105" s="6">
        <v>48</v>
      </c>
      <c r="F1105" s="6" t="s">
        <v>1381</v>
      </c>
      <c r="G1105" s="6" t="s">
        <v>1309</v>
      </c>
      <c r="H1105" s="47" t="s">
        <v>2330</v>
      </c>
      <c r="I1105" s="122" t="s">
        <v>2331</v>
      </c>
    </row>
    <row r="1106" spans="1:9" x14ac:dyDescent="0.2">
      <c r="A1106" s="6">
        <v>1301</v>
      </c>
      <c r="B1106" s="6" t="s">
        <v>2196</v>
      </c>
      <c r="C1106" s="6">
        <v>40</v>
      </c>
      <c r="D1106" s="6">
        <v>2</v>
      </c>
      <c r="E1106" s="6">
        <v>48</v>
      </c>
      <c r="F1106" s="6" t="s">
        <v>1381</v>
      </c>
      <c r="G1106" s="6" t="s">
        <v>1309</v>
      </c>
      <c r="H1106" s="47" t="s">
        <v>2332</v>
      </c>
      <c r="I1106" s="122" t="s">
        <v>2333</v>
      </c>
    </row>
    <row r="1107" spans="1:9" x14ac:dyDescent="0.2">
      <c r="A1107" s="6">
        <v>1302</v>
      </c>
      <c r="B1107" s="6" t="s">
        <v>2196</v>
      </c>
      <c r="C1107" s="6">
        <v>40</v>
      </c>
      <c r="D1107" s="6">
        <v>3</v>
      </c>
      <c r="E1107" s="6">
        <v>48</v>
      </c>
      <c r="F1107" s="6" t="s">
        <v>1381</v>
      </c>
      <c r="G1107" s="6" t="s">
        <v>1309</v>
      </c>
      <c r="H1107" s="47" t="s">
        <v>2334</v>
      </c>
      <c r="I1107" s="122" t="s">
        <v>2335</v>
      </c>
    </row>
    <row r="1108" spans="1:9" x14ac:dyDescent="0.2">
      <c r="A1108" s="6">
        <v>1303</v>
      </c>
      <c r="B1108" s="6" t="s">
        <v>2196</v>
      </c>
      <c r="C1108" s="6">
        <v>40</v>
      </c>
      <c r="D1108" s="6">
        <v>4</v>
      </c>
      <c r="E1108" s="6">
        <v>48</v>
      </c>
      <c r="F1108" s="6" t="s">
        <v>1381</v>
      </c>
      <c r="G1108" s="6" t="s">
        <v>1309</v>
      </c>
      <c r="H1108" s="47" t="s">
        <v>2336</v>
      </c>
      <c r="I1108" s="122" t="s">
        <v>2337</v>
      </c>
    </row>
    <row r="1109" spans="1:9" x14ac:dyDescent="0.2">
      <c r="A1109" s="6">
        <v>1304</v>
      </c>
      <c r="B1109" s="6" t="s">
        <v>2196</v>
      </c>
      <c r="C1109" s="6">
        <v>60</v>
      </c>
      <c r="D1109" s="6">
        <v>1</v>
      </c>
      <c r="E1109" s="6">
        <v>48</v>
      </c>
      <c r="F1109" s="6" t="s">
        <v>2211</v>
      </c>
      <c r="G1109" s="6" t="s">
        <v>1309</v>
      </c>
      <c r="H1109" s="47" t="s">
        <v>2338</v>
      </c>
      <c r="I1109" s="122" t="s">
        <v>2339</v>
      </c>
    </row>
    <row r="1110" spans="1:9" x14ac:dyDescent="0.2">
      <c r="A1110" s="6">
        <v>1305</v>
      </c>
      <c r="B1110" s="6" t="s">
        <v>2196</v>
      </c>
      <c r="C1110" s="6">
        <v>60</v>
      </c>
      <c r="D1110" s="6">
        <v>2</v>
      </c>
      <c r="E1110" s="6">
        <v>48</v>
      </c>
      <c r="F1110" s="6" t="s">
        <v>2211</v>
      </c>
      <c r="G1110" s="6" t="s">
        <v>1309</v>
      </c>
      <c r="H1110" s="47" t="s">
        <v>2340</v>
      </c>
      <c r="I1110" s="122" t="s">
        <v>2341</v>
      </c>
    </row>
    <row r="1111" spans="1:9" x14ac:dyDescent="0.2">
      <c r="A1111" s="6">
        <v>1306</v>
      </c>
      <c r="B1111" s="6" t="s">
        <v>2196</v>
      </c>
      <c r="C1111" s="6">
        <v>60</v>
      </c>
      <c r="D1111" s="6">
        <v>3</v>
      </c>
      <c r="E1111" s="6">
        <v>48</v>
      </c>
      <c r="F1111" s="6" t="s">
        <v>2211</v>
      </c>
      <c r="G1111" s="6" t="s">
        <v>1309</v>
      </c>
      <c r="H1111" s="47" t="s">
        <v>2342</v>
      </c>
      <c r="I1111" s="122" t="s">
        <v>2343</v>
      </c>
    </row>
    <row r="1112" spans="1:9" x14ac:dyDescent="0.2">
      <c r="A1112" s="6">
        <v>1307</v>
      </c>
      <c r="B1112" s="6" t="s">
        <v>2196</v>
      </c>
      <c r="C1112" s="6">
        <v>60</v>
      </c>
      <c r="D1112" s="6">
        <v>4</v>
      </c>
      <c r="E1112" s="6">
        <v>48</v>
      </c>
      <c r="F1112" s="6" t="s">
        <v>2211</v>
      </c>
      <c r="G1112" s="6" t="s">
        <v>1309</v>
      </c>
      <c r="H1112" s="47" t="s">
        <v>2344</v>
      </c>
      <c r="I1112" s="122" t="s">
        <v>2345</v>
      </c>
    </row>
    <row r="1113" spans="1:9" x14ac:dyDescent="0.2">
      <c r="A1113" s="6">
        <v>1308</v>
      </c>
      <c r="B1113" s="6" t="s">
        <v>2196</v>
      </c>
      <c r="C1113" s="6">
        <v>55</v>
      </c>
      <c r="D1113" s="6">
        <v>1</v>
      </c>
      <c r="E1113" s="6">
        <v>48</v>
      </c>
      <c r="F1113" s="6" t="s">
        <v>2211</v>
      </c>
      <c r="G1113" s="6" t="s">
        <v>1309</v>
      </c>
      <c r="H1113" s="47" t="s">
        <v>2346</v>
      </c>
      <c r="I1113" s="122" t="s">
        <v>2347</v>
      </c>
    </row>
    <row r="1114" spans="1:9" x14ac:dyDescent="0.2">
      <c r="A1114" s="6">
        <v>1309</v>
      </c>
      <c r="B1114" s="6" t="s">
        <v>2196</v>
      </c>
      <c r="C1114" s="6">
        <v>55</v>
      </c>
      <c r="D1114" s="6">
        <v>4</v>
      </c>
      <c r="E1114" s="6">
        <v>48</v>
      </c>
      <c r="F1114" s="6" t="s">
        <v>2211</v>
      </c>
      <c r="G1114" s="6" t="s">
        <v>1309</v>
      </c>
      <c r="H1114" s="47" t="s">
        <v>2348</v>
      </c>
      <c r="I1114" s="122" t="s">
        <v>2349</v>
      </c>
    </row>
    <row r="1115" spans="1:9" x14ac:dyDescent="0.2">
      <c r="A1115" s="6">
        <v>1310</v>
      </c>
      <c r="B1115" s="6" t="s">
        <v>2196</v>
      </c>
      <c r="C1115" s="6">
        <v>110</v>
      </c>
      <c r="D1115" s="6">
        <v>1</v>
      </c>
      <c r="E1115" s="6">
        <v>48</v>
      </c>
      <c r="F1115" s="6" t="s">
        <v>2350</v>
      </c>
      <c r="G1115" s="6" t="s">
        <v>1309</v>
      </c>
      <c r="H1115" s="47" t="s">
        <v>2351</v>
      </c>
      <c r="I1115" s="122" t="s">
        <v>2352</v>
      </c>
    </row>
    <row r="1116" spans="1:9" x14ac:dyDescent="0.2">
      <c r="A1116" s="6">
        <v>1311</v>
      </c>
      <c r="B1116" s="6" t="s">
        <v>2196</v>
      </c>
      <c r="C1116" s="6">
        <v>110</v>
      </c>
      <c r="D1116" s="6">
        <v>2</v>
      </c>
      <c r="E1116" s="6">
        <v>48</v>
      </c>
      <c r="F1116" s="6" t="s">
        <v>2350</v>
      </c>
      <c r="G1116" s="6" t="s">
        <v>1309</v>
      </c>
      <c r="H1116" s="47" t="s">
        <v>2353</v>
      </c>
      <c r="I1116" s="122" t="s">
        <v>2354</v>
      </c>
    </row>
    <row r="1117" spans="1:9" x14ac:dyDescent="0.2">
      <c r="A1117" s="6">
        <v>1312</v>
      </c>
      <c r="B1117" s="6" t="s">
        <v>2196</v>
      </c>
      <c r="C1117" s="6">
        <v>110</v>
      </c>
      <c r="D1117" s="6">
        <v>3</v>
      </c>
      <c r="E1117" s="6">
        <v>48</v>
      </c>
      <c r="F1117" s="6" t="s">
        <v>2350</v>
      </c>
      <c r="G1117" s="6" t="s">
        <v>1309</v>
      </c>
      <c r="H1117" s="47" t="s">
        <v>2355</v>
      </c>
      <c r="I1117" s="122" t="s">
        <v>2356</v>
      </c>
    </row>
    <row r="1118" spans="1:9" x14ac:dyDescent="0.2">
      <c r="A1118" s="6">
        <v>1313</v>
      </c>
      <c r="B1118" s="6" t="s">
        <v>2196</v>
      </c>
      <c r="C1118" s="6">
        <v>110</v>
      </c>
      <c r="D1118" s="6">
        <v>4</v>
      </c>
      <c r="E1118" s="6">
        <v>48</v>
      </c>
      <c r="F1118" s="6" t="s">
        <v>2350</v>
      </c>
      <c r="G1118" s="6" t="s">
        <v>1309</v>
      </c>
      <c r="H1118" s="47" t="s">
        <v>2357</v>
      </c>
      <c r="I1118" s="122" t="s">
        <v>2358</v>
      </c>
    </row>
    <row r="1119" spans="1:9" x14ac:dyDescent="0.2">
      <c r="A1119" s="6">
        <v>1314</v>
      </c>
      <c r="B1119" s="6" t="s">
        <v>2196</v>
      </c>
      <c r="C1119" s="6">
        <v>100</v>
      </c>
      <c r="D1119" s="6">
        <v>4</v>
      </c>
      <c r="E1119" s="6">
        <v>48</v>
      </c>
      <c r="F1119" s="6" t="s">
        <v>2350</v>
      </c>
      <c r="G1119" s="6" t="s">
        <v>1309</v>
      </c>
      <c r="H1119" s="47" t="s">
        <v>2359</v>
      </c>
      <c r="I1119" s="122" t="s">
        <v>2360</v>
      </c>
    </row>
    <row r="1120" spans="1:9" x14ac:dyDescent="0.2">
      <c r="A1120" s="6">
        <v>1315</v>
      </c>
      <c r="B1120" s="6" t="s">
        <v>2196</v>
      </c>
      <c r="C1120" s="6">
        <v>50</v>
      </c>
      <c r="D1120" s="6">
        <v>1</v>
      </c>
      <c r="E1120" s="6">
        <v>60</v>
      </c>
      <c r="F1120" s="6" t="s">
        <v>1381</v>
      </c>
      <c r="G1120" s="6" t="s">
        <v>187</v>
      </c>
      <c r="H1120" s="47" t="s">
        <v>2361</v>
      </c>
      <c r="I1120" s="122" t="s">
        <v>2362</v>
      </c>
    </row>
    <row r="1121" spans="1:9" x14ac:dyDescent="0.2">
      <c r="A1121" s="6">
        <v>1316</v>
      </c>
      <c r="B1121" s="6" t="s">
        <v>2196</v>
      </c>
      <c r="C1121" s="6">
        <v>50</v>
      </c>
      <c r="D1121" s="6">
        <v>1</v>
      </c>
      <c r="E1121" s="6">
        <v>60</v>
      </c>
      <c r="F1121" s="6" t="s">
        <v>1381</v>
      </c>
      <c r="G1121" s="6" t="s">
        <v>1309</v>
      </c>
      <c r="H1121" s="47" t="s">
        <v>2361</v>
      </c>
      <c r="I1121" s="122" t="s">
        <v>2363</v>
      </c>
    </row>
    <row r="1122" spans="1:9" x14ac:dyDescent="0.2">
      <c r="A1122" s="6">
        <v>1317</v>
      </c>
      <c r="B1122" s="6" t="s">
        <v>2196</v>
      </c>
      <c r="C1122" s="6">
        <v>50</v>
      </c>
      <c r="D1122" s="6">
        <v>2</v>
      </c>
      <c r="E1122" s="6">
        <v>60</v>
      </c>
      <c r="F1122" s="6" t="s">
        <v>1381</v>
      </c>
      <c r="G1122" s="6" t="s">
        <v>187</v>
      </c>
      <c r="H1122" s="47" t="s">
        <v>2364</v>
      </c>
      <c r="I1122" s="122" t="s">
        <v>2365</v>
      </c>
    </row>
    <row r="1123" spans="1:9" x14ac:dyDescent="0.2">
      <c r="A1123" s="6">
        <v>1318</v>
      </c>
      <c r="B1123" s="6" t="s">
        <v>2196</v>
      </c>
      <c r="C1123" s="6">
        <v>50</v>
      </c>
      <c r="D1123" s="6">
        <v>2</v>
      </c>
      <c r="E1123" s="6">
        <v>60</v>
      </c>
      <c r="F1123" s="6" t="s">
        <v>1381</v>
      </c>
      <c r="G1123" s="6" t="s">
        <v>1309</v>
      </c>
      <c r="H1123" s="47" t="s">
        <v>2364</v>
      </c>
      <c r="I1123" s="122" t="s">
        <v>2366</v>
      </c>
    </row>
    <row r="1124" spans="1:9" x14ac:dyDescent="0.2">
      <c r="A1124" s="6">
        <v>1319</v>
      </c>
      <c r="B1124" s="6" t="s">
        <v>2196</v>
      </c>
      <c r="C1124" s="6">
        <v>75</v>
      </c>
      <c r="D1124" s="6">
        <v>1</v>
      </c>
      <c r="E1124" s="6">
        <v>60</v>
      </c>
      <c r="F1124" s="6" t="s">
        <v>2211</v>
      </c>
      <c r="G1124" s="6" t="s">
        <v>1722</v>
      </c>
      <c r="H1124" s="47" t="s">
        <v>2367</v>
      </c>
      <c r="I1124" s="122" t="s">
        <v>2368</v>
      </c>
    </row>
    <row r="1125" spans="1:9" x14ac:dyDescent="0.2">
      <c r="A1125" s="6">
        <v>1320</v>
      </c>
      <c r="B1125" s="6" t="s">
        <v>2196</v>
      </c>
      <c r="C1125" s="6">
        <v>75</v>
      </c>
      <c r="D1125" s="6">
        <v>1</v>
      </c>
      <c r="E1125" s="6">
        <v>60</v>
      </c>
      <c r="F1125" s="6" t="s">
        <v>2211</v>
      </c>
      <c r="G1125" s="6" t="s">
        <v>187</v>
      </c>
      <c r="H1125" s="47" t="s">
        <v>2367</v>
      </c>
      <c r="I1125" s="122" t="s">
        <v>2369</v>
      </c>
    </row>
    <row r="1126" spans="1:9" x14ac:dyDescent="0.2">
      <c r="A1126" s="6">
        <v>1321</v>
      </c>
      <c r="B1126" s="6" t="s">
        <v>2196</v>
      </c>
      <c r="C1126" s="6">
        <v>75</v>
      </c>
      <c r="D1126" s="6">
        <v>1</v>
      </c>
      <c r="E1126" s="6">
        <v>60</v>
      </c>
      <c r="F1126" s="6" t="s">
        <v>2211</v>
      </c>
      <c r="G1126" s="6" t="s">
        <v>1309</v>
      </c>
      <c r="H1126" s="47" t="s">
        <v>2367</v>
      </c>
      <c r="I1126" s="122" t="s">
        <v>2370</v>
      </c>
    </row>
    <row r="1127" spans="1:9" x14ac:dyDescent="0.2">
      <c r="A1127" s="6">
        <v>1322</v>
      </c>
      <c r="B1127" s="6" t="s">
        <v>2196</v>
      </c>
      <c r="C1127" s="6">
        <v>75</v>
      </c>
      <c r="D1127" s="6">
        <v>2</v>
      </c>
      <c r="E1127" s="6">
        <v>60</v>
      </c>
      <c r="F1127" s="6" t="s">
        <v>2211</v>
      </c>
      <c r="G1127" s="6" t="s">
        <v>1722</v>
      </c>
      <c r="H1127" s="47" t="s">
        <v>2371</v>
      </c>
      <c r="I1127" s="122" t="s">
        <v>2372</v>
      </c>
    </row>
    <row r="1128" spans="1:9" x14ac:dyDescent="0.2">
      <c r="A1128" s="6">
        <v>1323</v>
      </c>
      <c r="B1128" s="6" t="s">
        <v>2196</v>
      </c>
      <c r="C1128" s="6">
        <v>75</v>
      </c>
      <c r="D1128" s="6">
        <v>2</v>
      </c>
      <c r="E1128" s="6">
        <v>60</v>
      </c>
      <c r="F1128" s="6" t="s">
        <v>2211</v>
      </c>
      <c r="G1128" s="6" t="s">
        <v>187</v>
      </c>
      <c r="H1128" s="47" t="s">
        <v>2371</v>
      </c>
      <c r="I1128" s="122" t="s">
        <v>2373</v>
      </c>
    </row>
    <row r="1129" spans="1:9" x14ac:dyDescent="0.2">
      <c r="A1129" s="6">
        <v>1324</v>
      </c>
      <c r="B1129" s="6" t="s">
        <v>2196</v>
      </c>
      <c r="C1129" s="6">
        <v>75</v>
      </c>
      <c r="D1129" s="6">
        <v>2</v>
      </c>
      <c r="E1129" s="6">
        <v>60</v>
      </c>
      <c r="F1129" s="6" t="s">
        <v>2211</v>
      </c>
      <c r="G1129" s="6" t="s">
        <v>1309</v>
      </c>
      <c r="H1129" s="47" t="s">
        <v>2371</v>
      </c>
      <c r="I1129" s="122" t="s">
        <v>2374</v>
      </c>
    </row>
    <row r="1130" spans="1:9" x14ac:dyDescent="0.2">
      <c r="A1130" s="6">
        <v>1325</v>
      </c>
      <c r="B1130" s="6" t="s">
        <v>2196</v>
      </c>
      <c r="C1130" s="6">
        <v>135</v>
      </c>
      <c r="D1130" s="6">
        <v>1</v>
      </c>
      <c r="E1130" s="6">
        <v>60</v>
      </c>
      <c r="F1130" s="6" t="s">
        <v>2350</v>
      </c>
      <c r="G1130" s="6" t="s">
        <v>1309</v>
      </c>
      <c r="H1130" s="47" t="s">
        <v>2375</v>
      </c>
      <c r="I1130" s="122" t="s">
        <v>2376</v>
      </c>
    </row>
    <row r="1131" spans="1:9" x14ac:dyDescent="0.2">
      <c r="A1131" s="6">
        <v>1326</v>
      </c>
      <c r="B1131" s="6" t="s">
        <v>2196</v>
      </c>
      <c r="C1131" s="6">
        <v>135</v>
      </c>
      <c r="D1131" s="6">
        <v>2</v>
      </c>
      <c r="E1131" s="6">
        <v>60</v>
      </c>
      <c r="F1131" s="6" t="s">
        <v>2350</v>
      </c>
      <c r="G1131" s="6" t="s">
        <v>1309</v>
      </c>
      <c r="H1131" s="47" t="s">
        <v>2377</v>
      </c>
      <c r="I1131" s="122" t="s">
        <v>2378</v>
      </c>
    </row>
    <row r="1132" spans="1:9" x14ac:dyDescent="0.2">
      <c r="A1132" s="6">
        <v>1327</v>
      </c>
      <c r="B1132" s="6" t="s">
        <v>2196</v>
      </c>
      <c r="C1132" s="6">
        <v>55</v>
      </c>
      <c r="D1132" s="6">
        <v>1</v>
      </c>
      <c r="E1132" s="6">
        <v>72</v>
      </c>
      <c r="F1132" s="6" t="s">
        <v>1381</v>
      </c>
      <c r="G1132" s="6" t="s">
        <v>187</v>
      </c>
      <c r="H1132" s="47" t="s">
        <v>2379</v>
      </c>
      <c r="I1132" s="122" t="s">
        <v>2380</v>
      </c>
    </row>
    <row r="1133" spans="1:9" x14ac:dyDescent="0.2">
      <c r="A1133" s="6">
        <v>1328</v>
      </c>
      <c r="B1133" s="6" t="s">
        <v>2196</v>
      </c>
      <c r="C1133" s="6">
        <v>55</v>
      </c>
      <c r="D1133" s="6">
        <v>1</v>
      </c>
      <c r="E1133" s="6">
        <v>72</v>
      </c>
      <c r="F1133" s="6" t="s">
        <v>1381</v>
      </c>
      <c r="G1133" s="6" t="s">
        <v>1309</v>
      </c>
      <c r="H1133" s="47" t="s">
        <v>2381</v>
      </c>
      <c r="I1133" s="122" t="s">
        <v>2382</v>
      </c>
    </row>
    <row r="1134" spans="1:9" x14ac:dyDescent="0.2">
      <c r="A1134" s="6">
        <v>1329</v>
      </c>
      <c r="B1134" s="6" t="s">
        <v>2196</v>
      </c>
      <c r="C1134" s="6">
        <v>55</v>
      </c>
      <c r="D1134" s="6">
        <v>2</v>
      </c>
      <c r="E1134" s="6">
        <v>72</v>
      </c>
      <c r="F1134" s="6" t="s">
        <v>1381</v>
      </c>
      <c r="G1134" s="6" t="s">
        <v>187</v>
      </c>
      <c r="H1134" s="47" t="s">
        <v>2383</v>
      </c>
      <c r="I1134" s="122" t="s">
        <v>2384</v>
      </c>
    </row>
    <row r="1135" spans="1:9" x14ac:dyDescent="0.2">
      <c r="A1135" s="6">
        <v>1330</v>
      </c>
      <c r="B1135" s="6" t="s">
        <v>2196</v>
      </c>
      <c r="C1135" s="6">
        <v>55</v>
      </c>
      <c r="D1135" s="6">
        <v>2</v>
      </c>
      <c r="E1135" s="6">
        <v>72</v>
      </c>
      <c r="F1135" s="6" t="s">
        <v>1381</v>
      </c>
      <c r="G1135" s="6" t="s">
        <v>1722</v>
      </c>
      <c r="H1135" s="47" t="s">
        <v>2385</v>
      </c>
      <c r="I1135" s="122" t="s">
        <v>2386</v>
      </c>
    </row>
    <row r="1136" spans="1:9" x14ac:dyDescent="0.2">
      <c r="A1136" s="6">
        <v>1331</v>
      </c>
      <c r="B1136" s="6" t="s">
        <v>2196</v>
      </c>
      <c r="C1136" s="6">
        <v>55</v>
      </c>
      <c r="D1136" s="6">
        <v>2</v>
      </c>
      <c r="E1136" s="6">
        <v>72</v>
      </c>
      <c r="F1136" s="6" t="s">
        <v>1381</v>
      </c>
      <c r="G1136" s="6" t="s">
        <v>187</v>
      </c>
      <c r="H1136" s="47" t="s">
        <v>2385</v>
      </c>
      <c r="I1136" s="122" t="s">
        <v>2387</v>
      </c>
    </row>
    <row r="1137" spans="1:9" x14ac:dyDescent="0.2">
      <c r="A1137" s="6">
        <v>1332</v>
      </c>
      <c r="B1137" s="6" t="s">
        <v>2196</v>
      </c>
      <c r="C1137" s="6">
        <v>55</v>
      </c>
      <c r="D1137" s="6">
        <v>2</v>
      </c>
      <c r="E1137" s="6">
        <v>72</v>
      </c>
      <c r="F1137" s="6" t="s">
        <v>1381</v>
      </c>
      <c r="G1137" s="6" t="s">
        <v>1309</v>
      </c>
      <c r="H1137" s="47" t="s">
        <v>2385</v>
      </c>
      <c r="I1137" s="122" t="s">
        <v>2388</v>
      </c>
    </row>
    <row r="1138" spans="1:9" x14ac:dyDescent="0.2">
      <c r="A1138" s="6">
        <v>1333</v>
      </c>
      <c r="B1138" s="6" t="s">
        <v>2196</v>
      </c>
      <c r="C1138" s="6">
        <v>55</v>
      </c>
      <c r="D1138" s="6">
        <v>3</v>
      </c>
      <c r="E1138" s="6">
        <v>72</v>
      </c>
      <c r="F1138" s="6" t="s">
        <v>1381</v>
      </c>
      <c r="G1138" s="6" t="s">
        <v>187</v>
      </c>
      <c r="H1138" s="47" t="s">
        <v>2389</v>
      </c>
      <c r="I1138" s="122" t="s">
        <v>2390</v>
      </c>
    </row>
    <row r="1139" spans="1:9" x14ac:dyDescent="0.2">
      <c r="A1139" s="6">
        <v>1334</v>
      </c>
      <c r="B1139" s="6" t="s">
        <v>2196</v>
      </c>
      <c r="C1139" s="6">
        <v>55</v>
      </c>
      <c r="D1139" s="6">
        <v>3</v>
      </c>
      <c r="E1139" s="6">
        <v>72</v>
      </c>
      <c r="F1139" s="6" t="s">
        <v>1381</v>
      </c>
      <c r="G1139" s="6" t="s">
        <v>1309</v>
      </c>
      <c r="H1139" s="47" t="s">
        <v>2391</v>
      </c>
      <c r="I1139" s="122" t="s">
        <v>2392</v>
      </c>
    </row>
    <row r="1140" spans="1:9" x14ac:dyDescent="0.2">
      <c r="A1140" s="6">
        <v>1335</v>
      </c>
      <c r="B1140" s="6" t="s">
        <v>2196</v>
      </c>
      <c r="C1140" s="6">
        <v>55</v>
      </c>
      <c r="D1140" s="6">
        <v>4</v>
      </c>
      <c r="E1140" s="6">
        <v>72</v>
      </c>
      <c r="F1140" s="6" t="s">
        <v>1381</v>
      </c>
      <c r="G1140" s="6" t="s">
        <v>187</v>
      </c>
      <c r="H1140" s="47" t="s">
        <v>2393</v>
      </c>
      <c r="I1140" s="122" t="s">
        <v>2394</v>
      </c>
    </row>
    <row r="1141" spans="1:9" x14ac:dyDescent="0.2">
      <c r="A1141" s="6">
        <v>1336</v>
      </c>
      <c r="B1141" s="6" t="s">
        <v>2196</v>
      </c>
      <c r="C1141" s="6">
        <v>55</v>
      </c>
      <c r="D1141" s="6">
        <v>4</v>
      </c>
      <c r="E1141" s="6">
        <v>72</v>
      </c>
      <c r="F1141" s="6" t="s">
        <v>1381</v>
      </c>
      <c r="G1141" s="6" t="s">
        <v>1722</v>
      </c>
      <c r="H1141" s="47" t="s">
        <v>2395</v>
      </c>
      <c r="I1141" s="122" t="s">
        <v>2396</v>
      </c>
    </row>
    <row r="1142" spans="1:9" x14ac:dyDescent="0.2">
      <c r="A1142" s="6">
        <v>1337</v>
      </c>
      <c r="B1142" s="6" t="s">
        <v>2196</v>
      </c>
      <c r="C1142" s="6">
        <v>56</v>
      </c>
      <c r="D1142" s="6">
        <v>4</v>
      </c>
      <c r="E1142" s="6">
        <v>72</v>
      </c>
      <c r="F1142" s="6" t="s">
        <v>1381</v>
      </c>
      <c r="G1142" s="6" t="s">
        <v>1309</v>
      </c>
      <c r="H1142" s="47" t="s">
        <v>2395</v>
      </c>
      <c r="I1142" s="122" t="s">
        <v>2397</v>
      </c>
    </row>
    <row r="1143" spans="1:9" x14ac:dyDescent="0.2">
      <c r="A1143" s="6">
        <v>1338</v>
      </c>
      <c r="B1143" s="6" t="s">
        <v>2196</v>
      </c>
      <c r="C1143" s="6">
        <v>85</v>
      </c>
      <c r="D1143" s="6">
        <v>1</v>
      </c>
      <c r="E1143" s="6">
        <v>72</v>
      </c>
      <c r="F1143" s="6" t="s">
        <v>2211</v>
      </c>
      <c r="G1143" s="6" t="s">
        <v>1309</v>
      </c>
      <c r="H1143" s="47" t="s">
        <v>2398</v>
      </c>
      <c r="I1143" s="122" t="s">
        <v>2399</v>
      </c>
    </row>
    <row r="1144" spans="1:9" x14ac:dyDescent="0.2">
      <c r="A1144" s="6">
        <v>1339</v>
      </c>
      <c r="B1144" s="6" t="s">
        <v>2196</v>
      </c>
      <c r="C1144" s="6">
        <v>85</v>
      </c>
      <c r="D1144" s="6">
        <v>2</v>
      </c>
      <c r="E1144" s="6">
        <v>72</v>
      </c>
      <c r="F1144" s="6" t="s">
        <v>2211</v>
      </c>
      <c r="G1144" s="6" t="s">
        <v>1722</v>
      </c>
      <c r="H1144" s="47" t="s">
        <v>2400</v>
      </c>
      <c r="I1144" s="122" t="s">
        <v>2401</v>
      </c>
    </row>
    <row r="1145" spans="1:9" x14ac:dyDescent="0.2">
      <c r="A1145" s="6">
        <v>1340</v>
      </c>
      <c r="B1145" s="6" t="s">
        <v>2196</v>
      </c>
      <c r="C1145" s="6">
        <v>85</v>
      </c>
      <c r="D1145" s="6">
        <v>2</v>
      </c>
      <c r="E1145" s="6">
        <v>72</v>
      </c>
      <c r="F1145" s="6" t="s">
        <v>2211</v>
      </c>
      <c r="G1145" s="6" t="s">
        <v>187</v>
      </c>
      <c r="H1145" s="47" t="s">
        <v>2400</v>
      </c>
      <c r="I1145" s="122" t="s">
        <v>2402</v>
      </c>
    </row>
    <row r="1146" spans="1:9" x14ac:dyDescent="0.2">
      <c r="A1146" s="6">
        <v>1341</v>
      </c>
      <c r="B1146" s="6" t="s">
        <v>2196</v>
      </c>
      <c r="C1146" s="6">
        <v>85</v>
      </c>
      <c r="D1146" s="6">
        <v>2</v>
      </c>
      <c r="E1146" s="6">
        <v>72</v>
      </c>
      <c r="F1146" s="6" t="s">
        <v>2211</v>
      </c>
      <c r="G1146" s="6" t="s">
        <v>1309</v>
      </c>
      <c r="H1146" s="47" t="s">
        <v>2400</v>
      </c>
      <c r="I1146" s="122" t="s">
        <v>2403</v>
      </c>
    </row>
    <row r="1147" spans="1:9" x14ac:dyDescent="0.2">
      <c r="A1147" s="6">
        <v>1342</v>
      </c>
      <c r="B1147" s="6" t="s">
        <v>2196</v>
      </c>
      <c r="C1147" s="6">
        <v>85</v>
      </c>
      <c r="D1147" s="6">
        <v>4</v>
      </c>
      <c r="E1147" s="6">
        <v>72</v>
      </c>
      <c r="F1147" s="6" t="s">
        <v>2211</v>
      </c>
      <c r="G1147" s="6" t="s">
        <v>1722</v>
      </c>
      <c r="H1147" s="47" t="s">
        <v>2404</v>
      </c>
      <c r="I1147" s="122" t="s">
        <v>2405</v>
      </c>
    </row>
    <row r="1148" spans="1:9" x14ac:dyDescent="0.2">
      <c r="A1148" s="6">
        <v>1343</v>
      </c>
      <c r="B1148" s="6" t="s">
        <v>2196</v>
      </c>
      <c r="C1148" s="6">
        <v>160</v>
      </c>
      <c r="D1148" s="6">
        <v>1</v>
      </c>
      <c r="E1148" s="6">
        <v>72</v>
      </c>
      <c r="F1148" s="6" t="s">
        <v>2350</v>
      </c>
      <c r="G1148" s="6" t="s">
        <v>1309</v>
      </c>
      <c r="H1148" s="47" t="s">
        <v>2406</v>
      </c>
      <c r="I1148" s="122" t="s">
        <v>2407</v>
      </c>
    </row>
    <row r="1149" spans="1:9" x14ac:dyDescent="0.2">
      <c r="A1149" s="6">
        <v>1344</v>
      </c>
      <c r="B1149" s="6" t="s">
        <v>2196</v>
      </c>
      <c r="C1149" s="6">
        <v>160</v>
      </c>
      <c r="D1149" s="6">
        <v>2</v>
      </c>
      <c r="E1149" s="6">
        <v>72</v>
      </c>
      <c r="F1149" s="6" t="s">
        <v>2350</v>
      </c>
      <c r="G1149" s="6" t="s">
        <v>1309</v>
      </c>
      <c r="H1149" s="47" t="s">
        <v>2408</v>
      </c>
      <c r="I1149" s="122" t="s">
        <v>2409</v>
      </c>
    </row>
    <row r="1150" spans="1:9" x14ac:dyDescent="0.2">
      <c r="A1150" s="6">
        <v>1345</v>
      </c>
      <c r="B1150" s="6" t="s">
        <v>2196</v>
      </c>
      <c r="C1150" s="6">
        <v>100</v>
      </c>
      <c r="D1150" s="6">
        <v>1</v>
      </c>
      <c r="E1150" s="6">
        <v>84</v>
      </c>
      <c r="F1150" s="6" t="s">
        <v>2211</v>
      </c>
      <c r="G1150" s="6" t="s">
        <v>1722</v>
      </c>
      <c r="H1150" s="47" t="s">
        <v>2410</v>
      </c>
      <c r="I1150" s="122" t="s">
        <v>2411</v>
      </c>
    </row>
    <row r="1151" spans="1:9" x14ac:dyDescent="0.2">
      <c r="A1151" s="6">
        <v>1346</v>
      </c>
      <c r="B1151" s="6" t="s">
        <v>2196</v>
      </c>
      <c r="C1151" s="6">
        <v>100</v>
      </c>
      <c r="D1151" s="6">
        <v>2</v>
      </c>
      <c r="E1151" s="6">
        <v>84</v>
      </c>
      <c r="F1151" s="6" t="s">
        <v>2211</v>
      </c>
      <c r="G1151" s="6" t="s">
        <v>1722</v>
      </c>
      <c r="H1151" s="47" t="s">
        <v>2412</v>
      </c>
      <c r="I1151" s="122" t="s">
        <v>2413</v>
      </c>
    </row>
    <row r="1152" spans="1:9" x14ac:dyDescent="0.2">
      <c r="A1152" s="6">
        <v>1347</v>
      </c>
      <c r="B1152" s="6" t="s">
        <v>2196</v>
      </c>
      <c r="C1152" s="6">
        <v>75</v>
      </c>
      <c r="D1152" s="6">
        <v>1</v>
      </c>
      <c r="E1152" s="6">
        <v>96</v>
      </c>
      <c r="F1152" s="6" t="s">
        <v>1381</v>
      </c>
      <c r="G1152" s="6" t="s">
        <v>187</v>
      </c>
      <c r="H1152" s="47" t="s">
        <v>2414</v>
      </c>
      <c r="I1152" s="122" t="s">
        <v>2415</v>
      </c>
    </row>
    <row r="1153" spans="1:9" x14ac:dyDescent="0.2">
      <c r="A1153" s="6">
        <v>1348</v>
      </c>
      <c r="B1153" s="6" t="s">
        <v>2196</v>
      </c>
      <c r="C1153" s="6">
        <v>75</v>
      </c>
      <c r="D1153" s="6">
        <v>1</v>
      </c>
      <c r="E1153" s="6">
        <v>96</v>
      </c>
      <c r="F1153" s="6" t="s">
        <v>1381</v>
      </c>
      <c r="G1153" s="6" t="s">
        <v>187</v>
      </c>
      <c r="H1153" s="47" t="s">
        <v>2416</v>
      </c>
      <c r="I1153" s="122" t="s">
        <v>2417</v>
      </c>
    </row>
    <row r="1154" spans="1:9" x14ac:dyDescent="0.2">
      <c r="A1154" s="6">
        <v>1349</v>
      </c>
      <c r="B1154" s="6" t="s">
        <v>2196</v>
      </c>
      <c r="C1154" s="6">
        <v>75</v>
      </c>
      <c r="D1154" s="6">
        <v>2</v>
      </c>
      <c r="E1154" s="6">
        <v>96</v>
      </c>
      <c r="F1154" s="6" t="s">
        <v>1381</v>
      </c>
      <c r="G1154" s="6" t="s">
        <v>187</v>
      </c>
      <c r="H1154" s="47" t="s">
        <v>2418</v>
      </c>
      <c r="I1154" s="122" t="s">
        <v>2419</v>
      </c>
    </row>
    <row r="1155" spans="1:9" x14ac:dyDescent="0.2">
      <c r="A1155" s="6">
        <v>1350</v>
      </c>
      <c r="B1155" s="6" t="s">
        <v>2196</v>
      </c>
      <c r="C1155" s="6">
        <v>75</v>
      </c>
      <c r="D1155" s="6">
        <v>3</v>
      </c>
      <c r="E1155" s="6">
        <v>96</v>
      </c>
      <c r="F1155" s="6" t="s">
        <v>1381</v>
      </c>
      <c r="G1155" s="6" t="s">
        <v>187</v>
      </c>
      <c r="H1155" s="47" t="s">
        <v>2420</v>
      </c>
      <c r="I1155" s="122" t="s">
        <v>2421</v>
      </c>
    </row>
    <row r="1156" spans="1:9" x14ac:dyDescent="0.2">
      <c r="A1156" s="6">
        <v>1351</v>
      </c>
      <c r="B1156" s="6" t="s">
        <v>2196</v>
      </c>
      <c r="C1156" s="6">
        <v>75</v>
      </c>
      <c r="D1156" s="6">
        <v>4</v>
      </c>
      <c r="E1156" s="6">
        <v>96</v>
      </c>
      <c r="F1156" s="6" t="s">
        <v>1381</v>
      </c>
      <c r="G1156" s="6" t="s">
        <v>187</v>
      </c>
      <c r="H1156" s="47" t="s">
        <v>2422</v>
      </c>
      <c r="I1156" s="122" t="s">
        <v>2423</v>
      </c>
    </row>
    <row r="1157" spans="1:9" x14ac:dyDescent="0.2">
      <c r="A1157" s="6">
        <v>1352</v>
      </c>
      <c r="B1157" s="6" t="s">
        <v>2196</v>
      </c>
      <c r="C1157" s="6">
        <v>60</v>
      </c>
      <c r="D1157" s="6">
        <v>1</v>
      </c>
      <c r="E1157" s="6">
        <v>96</v>
      </c>
      <c r="F1157" s="6" t="s">
        <v>1381</v>
      </c>
      <c r="G1157" s="6" t="s">
        <v>1722</v>
      </c>
      <c r="H1157" s="47" t="s">
        <v>2424</v>
      </c>
      <c r="I1157" s="122" t="s">
        <v>2425</v>
      </c>
    </row>
    <row r="1158" spans="1:9" x14ac:dyDescent="0.2">
      <c r="A1158" s="6">
        <v>1353</v>
      </c>
      <c r="B1158" s="6" t="s">
        <v>2196</v>
      </c>
      <c r="C1158" s="6">
        <v>60</v>
      </c>
      <c r="D1158" s="6">
        <v>1</v>
      </c>
      <c r="E1158" s="6">
        <v>96</v>
      </c>
      <c r="F1158" s="6" t="s">
        <v>1381</v>
      </c>
      <c r="G1158" s="6" t="s">
        <v>1722</v>
      </c>
      <c r="H1158" s="47" t="s">
        <v>2426</v>
      </c>
      <c r="I1158" s="122" t="s">
        <v>2427</v>
      </c>
    </row>
    <row r="1159" spans="1:9" x14ac:dyDescent="0.2">
      <c r="A1159" s="6">
        <v>1354</v>
      </c>
      <c r="B1159" s="6" t="s">
        <v>2196</v>
      </c>
      <c r="C1159" s="6">
        <v>60</v>
      </c>
      <c r="D1159" s="6">
        <v>1</v>
      </c>
      <c r="E1159" s="6">
        <v>96</v>
      </c>
      <c r="F1159" s="6" t="s">
        <v>1381</v>
      </c>
      <c r="G1159" s="6" t="s">
        <v>187</v>
      </c>
      <c r="H1159" s="47" t="s">
        <v>2428</v>
      </c>
      <c r="I1159" s="122" t="s">
        <v>2429</v>
      </c>
    </row>
    <row r="1160" spans="1:9" x14ac:dyDescent="0.2">
      <c r="A1160" s="6">
        <v>1355</v>
      </c>
      <c r="B1160" s="6" t="s">
        <v>2196</v>
      </c>
      <c r="C1160" s="6">
        <v>60</v>
      </c>
      <c r="D1160" s="6">
        <v>1</v>
      </c>
      <c r="E1160" s="6">
        <v>96</v>
      </c>
      <c r="F1160" s="6" t="s">
        <v>1381</v>
      </c>
      <c r="G1160" s="6" t="s">
        <v>187</v>
      </c>
      <c r="H1160" s="47" t="s">
        <v>2426</v>
      </c>
      <c r="I1160" s="122" t="s">
        <v>2430</v>
      </c>
    </row>
    <row r="1161" spans="1:9" x14ac:dyDescent="0.2">
      <c r="A1161" s="6">
        <v>1356</v>
      </c>
      <c r="B1161" s="6" t="s">
        <v>2196</v>
      </c>
      <c r="C1161" s="6">
        <v>60</v>
      </c>
      <c r="D1161" s="6">
        <v>2</v>
      </c>
      <c r="E1161" s="6">
        <v>96</v>
      </c>
      <c r="F1161" s="6" t="s">
        <v>1381</v>
      </c>
      <c r="G1161" s="6" t="s">
        <v>1722</v>
      </c>
      <c r="H1161" s="47" t="s">
        <v>2431</v>
      </c>
      <c r="I1161" s="122" t="s">
        <v>2432</v>
      </c>
    </row>
    <row r="1162" spans="1:9" x14ac:dyDescent="0.2">
      <c r="A1162" s="6">
        <v>1357</v>
      </c>
      <c r="B1162" s="6" t="s">
        <v>2196</v>
      </c>
      <c r="C1162" s="6">
        <v>60</v>
      </c>
      <c r="D1162" s="6">
        <v>2</v>
      </c>
      <c r="E1162" s="6">
        <v>96</v>
      </c>
      <c r="F1162" s="6" t="s">
        <v>1381</v>
      </c>
      <c r="G1162" s="6" t="s">
        <v>187</v>
      </c>
      <c r="H1162" s="47" t="s">
        <v>2431</v>
      </c>
      <c r="I1162" s="122" t="s">
        <v>2433</v>
      </c>
    </row>
    <row r="1163" spans="1:9" x14ac:dyDescent="0.2">
      <c r="A1163" s="6">
        <v>1358</v>
      </c>
      <c r="B1163" s="6" t="s">
        <v>2196</v>
      </c>
      <c r="C1163" s="6">
        <v>60</v>
      </c>
      <c r="D1163" s="6">
        <v>3</v>
      </c>
      <c r="E1163" s="6">
        <v>96</v>
      </c>
      <c r="F1163" s="6" t="s">
        <v>1381</v>
      </c>
      <c r="G1163" s="6" t="s">
        <v>1722</v>
      </c>
      <c r="H1163" s="47" t="s">
        <v>2434</v>
      </c>
      <c r="I1163" s="122" t="s">
        <v>2435</v>
      </c>
    </row>
    <row r="1164" spans="1:9" x14ac:dyDescent="0.2">
      <c r="A1164" s="6">
        <v>1359</v>
      </c>
      <c r="B1164" s="6" t="s">
        <v>2196</v>
      </c>
      <c r="C1164" s="6">
        <v>60</v>
      </c>
      <c r="D1164" s="6">
        <v>3</v>
      </c>
      <c r="E1164" s="6">
        <v>96</v>
      </c>
      <c r="F1164" s="6" t="s">
        <v>1381</v>
      </c>
      <c r="G1164" s="6" t="s">
        <v>187</v>
      </c>
      <c r="H1164" s="47" t="s">
        <v>2434</v>
      </c>
      <c r="I1164" s="122" t="s">
        <v>2436</v>
      </c>
    </row>
    <row r="1165" spans="1:9" x14ac:dyDescent="0.2">
      <c r="A1165" s="6">
        <v>1360</v>
      </c>
      <c r="B1165" s="6" t="s">
        <v>2196</v>
      </c>
      <c r="C1165" s="6">
        <v>60</v>
      </c>
      <c r="D1165" s="6">
        <v>4</v>
      </c>
      <c r="E1165" s="6">
        <v>96</v>
      </c>
      <c r="F1165" s="6" t="s">
        <v>1381</v>
      </c>
      <c r="G1165" s="6" t="s">
        <v>1722</v>
      </c>
      <c r="H1165" s="47" t="s">
        <v>2437</v>
      </c>
      <c r="I1165" s="122" t="s">
        <v>2438</v>
      </c>
    </row>
    <row r="1166" spans="1:9" x14ac:dyDescent="0.2">
      <c r="A1166" s="6">
        <v>1361</v>
      </c>
      <c r="B1166" s="6" t="s">
        <v>2196</v>
      </c>
      <c r="C1166" s="6">
        <v>60</v>
      </c>
      <c r="D1166" s="6">
        <v>4</v>
      </c>
      <c r="E1166" s="6">
        <v>96</v>
      </c>
      <c r="F1166" s="6" t="s">
        <v>1381</v>
      </c>
      <c r="G1166" s="6" t="s">
        <v>187</v>
      </c>
      <c r="H1166" s="47" t="s">
        <v>2437</v>
      </c>
      <c r="I1166" s="122" t="s">
        <v>2439</v>
      </c>
    </row>
    <row r="1167" spans="1:9" x14ac:dyDescent="0.2">
      <c r="A1167" s="6">
        <v>1362</v>
      </c>
      <c r="B1167" s="6" t="s">
        <v>2196</v>
      </c>
      <c r="C1167" s="6">
        <v>60</v>
      </c>
      <c r="D1167" s="6">
        <v>6</v>
      </c>
      <c r="E1167" s="6">
        <v>96</v>
      </c>
      <c r="F1167" s="6" t="s">
        <v>1381</v>
      </c>
      <c r="G1167" s="6" t="s">
        <v>1722</v>
      </c>
      <c r="H1167" s="47" t="s">
        <v>2440</v>
      </c>
      <c r="I1167" s="122" t="s">
        <v>2441</v>
      </c>
    </row>
    <row r="1168" spans="1:9" x14ac:dyDescent="0.2">
      <c r="A1168" s="6">
        <v>1363</v>
      </c>
      <c r="B1168" s="6" t="s">
        <v>2196</v>
      </c>
      <c r="C1168" s="6">
        <v>110</v>
      </c>
      <c r="D1168" s="6">
        <v>1</v>
      </c>
      <c r="E1168" s="6">
        <v>96</v>
      </c>
      <c r="F1168" s="6" t="s">
        <v>2211</v>
      </c>
      <c r="G1168" s="6" t="s">
        <v>1309</v>
      </c>
      <c r="H1168" s="47" t="s">
        <v>2442</v>
      </c>
      <c r="I1168" s="122" t="s">
        <v>2443</v>
      </c>
    </row>
    <row r="1169" spans="1:9" x14ac:dyDescent="0.2">
      <c r="A1169" s="6">
        <v>1364</v>
      </c>
      <c r="B1169" s="6" t="s">
        <v>2196</v>
      </c>
      <c r="C1169" s="6">
        <v>110</v>
      </c>
      <c r="D1169" s="6">
        <v>2</v>
      </c>
      <c r="E1169" s="6">
        <v>96</v>
      </c>
      <c r="F1169" s="6" t="s">
        <v>2211</v>
      </c>
      <c r="G1169" s="6" t="s">
        <v>1722</v>
      </c>
      <c r="H1169" s="47" t="s">
        <v>2444</v>
      </c>
      <c r="I1169" s="122" t="s">
        <v>2445</v>
      </c>
    </row>
    <row r="1170" spans="1:9" x14ac:dyDescent="0.2">
      <c r="A1170" s="6">
        <v>1365</v>
      </c>
      <c r="B1170" s="6" t="s">
        <v>2196</v>
      </c>
      <c r="C1170" s="6">
        <v>110</v>
      </c>
      <c r="D1170" s="6">
        <v>2</v>
      </c>
      <c r="E1170" s="6">
        <v>96</v>
      </c>
      <c r="F1170" s="6" t="s">
        <v>2211</v>
      </c>
      <c r="G1170" s="6" t="s">
        <v>187</v>
      </c>
      <c r="H1170" s="47" t="s">
        <v>2444</v>
      </c>
      <c r="I1170" s="122" t="s">
        <v>2446</v>
      </c>
    </row>
    <row r="1171" spans="1:9" x14ac:dyDescent="0.2">
      <c r="A1171" s="6">
        <v>1366</v>
      </c>
      <c r="B1171" s="6" t="s">
        <v>2196</v>
      </c>
      <c r="C1171" s="6">
        <v>110</v>
      </c>
      <c r="D1171" s="6">
        <v>2</v>
      </c>
      <c r="E1171" s="6">
        <v>96</v>
      </c>
      <c r="F1171" s="6" t="s">
        <v>2211</v>
      </c>
      <c r="G1171" s="6" t="s">
        <v>1309</v>
      </c>
      <c r="H1171" s="47" t="s">
        <v>2444</v>
      </c>
      <c r="I1171" s="122" t="s">
        <v>2447</v>
      </c>
    </row>
    <row r="1172" spans="1:9" x14ac:dyDescent="0.2">
      <c r="A1172" s="6">
        <v>1367</v>
      </c>
      <c r="B1172" s="6" t="s">
        <v>2196</v>
      </c>
      <c r="C1172" s="6">
        <v>110</v>
      </c>
      <c r="D1172" s="6">
        <v>3</v>
      </c>
      <c r="E1172" s="6">
        <v>96</v>
      </c>
      <c r="F1172" s="6" t="s">
        <v>2211</v>
      </c>
      <c r="G1172" s="6" t="s">
        <v>1722</v>
      </c>
      <c r="H1172" s="47" t="s">
        <v>2448</v>
      </c>
      <c r="I1172" s="122" t="s">
        <v>2449</v>
      </c>
    </row>
    <row r="1173" spans="1:9" x14ac:dyDescent="0.2">
      <c r="A1173" s="6">
        <v>1368</v>
      </c>
      <c r="B1173" s="6" t="s">
        <v>2196</v>
      </c>
      <c r="C1173" s="6">
        <v>110</v>
      </c>
      <c r="D1173" s="6">
        <v>3</v>
      </c>
      <c r="E1173" s="6">
        <v>96</v>
      </c>
      <c r="F1173" s="6" t="s">
        <v>2211</v>
      </c>
      <c r="G1173" s="6" t="s">
        <v>1309</v>
      </c>
      <c r="H1173" s="47" t="s">
        <v>2448</v>
      </c>
      <c r="I1173" s="122" t="s">
        <v>2450</v>
      </c>
    </row>
    <row r="1174" spans="1:9" x14ac:dyDescent="0.2">
      <c r="A1174" s="6">
        <v>1369</v>
      </c>
      <c r="B1174" s="6" t="s">
        <v>2196</v>
      </c>
      <c r="C1174" s="6">
        <v>110</v>
      </c>
      <c r="D1174" s="6">
        <v>4</v>
      </c>
      <c r="E1174" s="6">
        <v>96</v>
      </c>
      <c r="F1174" s="6" t="s">
        <v>2211</v>
      </c>
      <c r="G1174" s="6" t="s">
        <v>1722</v>
      </c>
      <c r="H1174" s="47" t="s">
        <v>2451</v>
      </c>
      <c r="I1174" s="122" t="s">
        <v>2452</v>
      </c>
    </row>
    <row r="1175" spans="1:9" x14ac:dyDescent="0.2">
      <c r="A1175" s="6">
        <v>1370</v>
      </c>
      <c r="B1175" s="6" t="s">
        <v>2196</v>
      </c>
      <c r="C1175" s="6">
        <v>110</v>
      </c>
      <c r="D1175" s="6">
        <v>4</v>
      </c>
      <c r="E1175" s="6">
        <v>96</v>
      </c>
      <c r="F1175" s="6" t="s">
        <v>2211</v>
      </c>
      <c r="G1175" s="6" t="s">
        <v>187</v>
      </c>
      <c r="H1175" s="47" t="s">
        <v>2451</v>
      </c>
      <c r="I1175" s="122" t="s">
        <v>2453</v>
      </c>
    </row>
    <row r="1176" spans="1:9" x14ac:dyDescent="0.2">
      <c r="A1176" s="6">
        <v>1371</v>
      </c>
      <c r="B1176" s="6" t="s">
        <v>2196</v>
      </c>
      <c r="C1176" s="6">
        <v>110</v>
      </c>
      <c r="D1176" s="6">
        <v>4</v>
      </c>
      <c r="E1176" s="6">
        <v>96</v>
      </c>
      <c r="F1176" s="6" t="s">
        <v>2211</v>
      </c>
      <c r="G1176" s="6" t="s">
        <v>1309</v>
      </c>
      <c r="H1176" s="47" t="s">
        <v>2451</v>
      </c>
      <c r="I1176" s="122" t="s">
        <v>2454</v>
      </c>
    </row>
    <row r="1177" spans="1:9" x14ac:dyDescent="0.2">
      <c r="A1177" s="6">
        <v>1372</v>
      </c>
      <c r="B1177" s="6" t="s">
        <v>2196</v>
      </c>
      <c r="C1177" s="6">
        <v>110</v>
      </c>
      <c r="D1177" s="6">
        <v>8</v>
      </c>
      <c r="E1177" s="6">
        <v>96</v>
      </c>
      <c r="F1177" s="6" t="s">
        <v>2211</v>
      </c>
      <c r="G1177" s="6" t="s">
        <v>1309</v>
      </c>
      <c r="H1177" s="47" t="s">
        <v>2455</v>
      </c>
      <c r="I1177" s="122" t="s">
        <v>2456</v>
      </c>
    </row>
    <row r="1178" spans="1:9" x14ac:dyDescent="0.2">
      <c r="A1178" s="6">
        <v>1373</v>
      </c>
      <c r="B1178" s="6" t="s">
        <v>2196</v>
      </c>
      <c r="C1178" s="6">
        <v>95</v>
      </c>
      <c r="D1178" s="6">
        <v>1</v>
      </c>
      <c r="E1178" s="6">
        <v>96</v>
      </c>
      <c r="F1178" s="6" t="s">
        <v>2211</v>
      </c>
      <c r="G1178" s="6" t="s">
        <v>187</v>
      </c>
      <c r="H1178" s="47" t="s">
        <v>2457</v>
      </c>
      <c r="I1178" s="122" t="s">
        <v>2458</v>
      </c>
    </row>
    <row r="1179" spans="1:9" x14ac:dyDescent="0.2">
      <c r="A1179" s="6">
        <v>1374</v>
      </c>
      <c r="B1179" s="6" t="s">
        <v>2196</v>
      </c>
      <c r="C1179" s="6">
        <v>95</v>
      </c>
      <c r="D1179" s="6">
        <v>1</v>
      </c>
      <c r="E1179" s="6">
        <v>96</v>
      </c>
      <c r="F1179" s="6" t="s">
        <v>2211</v>
      </c>
      <c r="G1179" s="6" t="s">
        <v>1309</v>
      </c>
      <c r="H1179" s="47" t="s">
        <v>2457</v>
      </c>
      <c r="I1179" s="122" t="s">
        <v>2459</v>
      </c>
    </row>
    <row r="1180" spans="1:9" x14ac:dyDescent="0.2">
      <c r="A1180" s="6">
        <v>1375</v>
      </c>
      <c r="B1180" s="6" t="s">
        <v>2196</v>
      </c>
      <c r="C1180" s="6">
        <v>95</v>
      </c>
      <c r="D1180" s="6">
        <v>2</v>
      </c>
      <c r="E1180" s="6">
        <v>96</v>
      </c>
      <c r="F1180" s="6" t="s">
        <v>2211</v>
      </c>
      <c r="G1180" s="6" t="s">
        <v>1722</v>
      </c>
      <c r="H1180" s="47" t="s">
        <v>2460</v>
      </c>
      <c r="I1180" s="122" t="s">
        <v>2461</v>
      </c>
    </row>
    <row r="1181" spans="1:9" x14ac:dyDescent="0.2">
      <c r="A1181" s="6">
        <v>1376</v>
      </c>
      <c r="B1181" s="6" t="s">
        <v>2196</v>
      </c>
      <c r="C1181" s="6">
        <v>95</v>
      </c>
      <c r="D1181" s="6">
        <v>2</v>
      </c>
      <c r="E1181" s="6">
        <v>96</v>
      </c>
      <c r="F1181" s="6" t="s">
        <v>2211</v>
      </c>
      <c r="G1181" s="6" t="s">
        <v>187</v>
      </c>
      <c r="H1181" s="47" t="s">
        <v>2460</v>
      </c>
      <c r="I1181" s="122" t="s">
        <v>2462</v>
      </c>
    </row>
    <row r="1182" spans="1:9" x14ac:dyDescent="0.2">
      <c r="A1182" s="6">
        <v>1377</v>
      </c>
      <c r="B1182" s="6" t="s">
        <v>2196</v>
      </c>
      <c r="C1182" s="6">
        <v>95</v>
      </c>
      <c r="D1182" s="6">
        <v>2</v>
      </c>
      <c r="E1182" s="6">
        <v>96</v>
      </c>
      <c r="F1182" s="6" t="s">
        <v>2211</v>
      </c>
      <c r="G1182" s="6" t="s">
        <v>1309</v>
      </c>
      <c r="H1182" s="47" t="s">
        <v>2460</v>
      </c>
      <c r="I1182" s="122" t="s">
        <v>2463</v>
      </c>
    </row>
    <row r="1183" spans="1:9" x14ac:dyDescent="0.2">
      <c r="A1183" s="6">
        <v>1378</v>
      </c>
      <c r="B1183" s="6" t="s">
        <v>2196</v>
      </c>
      <c r="C1183" s="6">
        <v>95</v>
      </c>
      <c r="D1183" s="6">
        <v>3</v>
      </c>
      <c r="E1183" s="6">
        <v>96</v>
      </c>
      <c r="F1183" s="6" t="s">
        <v>2211</v>
      </c>
      <c r="G1183" s="6" t="s">
        <v>2464</v>
      </c>
      <c r="H1183" s="47" t="s">
        <v>2465</v>
      </c>
      <c r="I1183" s="122" t="s">
        <v>2466</v>
      </c>
    </row>
    <row r="1184" spans="1:9" x14ac:dyDescent="0.2">
      <c r="A1184" s="6">
        <v>1379</v>
      </c>
      <c r="B1184" s="6" t="s">
        <v>2196</v>
      </c>
      <c r="C1184" s="6">
        <v>95</v>
      </c>
      <c r="D1184" s="6">
        <v>3</v>
      </c>
      <c r="E1184" s="6">
        <v>96</v>
      </c>
      <c r="F1184" s="6" t="s">
        <v>2211</v>
      </c>
      <c r="G1184" s="6" t="s">
        <v>1309</v>
      </c>
      <c r="H1184" s="47" t="s">
        <v>2467</v>
      </c>
      <c r="I1184" s="122" t="s">
        <v>2468</v>
      </c>
    </row>
    <row r="1185" spans="1:9" x14ac:dyDescent="0.2">
      <c r="A1185" s="6">
        <v>1380</v>
      </c>
      <c r="B1185" s="6" t="s">
        <v>2196</v>
      </c>
      <c r="C1185" s="6">
        <v>95</v>
      </c>
      <c r="D1185" s="6">
        <v>4</v>
      </c>
      <c r="E1185" s="6">
        <v>96</v>
      </c>
      <c r="F1185" s="6" t="s">
        <v>2211</v>
      </c>
      <c r="G1185" s="6" t="s">
        <v>1722</v>
      </c>
      <c r="H1185" s="47" t="s">
        <v>2469</v>
      </c>
      <c r="I1185" s="122" t="s">
        <v>2470</v>
      </c>
    </row>
    <row r="1186" spans="1:9" x14ac:dyDescent="0.2">
      <c r="A1186" s="6">
        <v>1381</v>
      </c>
      <c r="B1186" s="6" t="s">
        <v>2196</v>
      </c>
      <c r="C1186" s="6">
        <v>95</v>
      </c>
      <c r="D1186" s="6">
        <v>4</v>
      </c>
      <c r="E1186" s="6">
        <v>96</v>
      </c>
      <c r="F1186" s="6" t="s">
        <v>2211</v>
      </c>
      <c r="G1186" s="6" t="s">
        <v>187</v>
      </c>
      <c r="H1186" s="47" t="s">
        <v>2469</v>
      </c>
      <c r="I1186" s="122" t="s">
        <v>2471</v>
      </c>
    </row>
    <row r="1187" spans="1:9" x14ac:dyDescent="0.2">
      <c r="A1187" s="6">
        <v>1382</v>
      </c>
      <c r="B1187" s="6" t="s">
        <v>2196</v>
      </c>
      <c r="C1187" s="6">
        <v>95</v>
      </c>
      <c r="D1187" s="6">
        <v>4</v>
      </c>
      <c r="E1187" s="6">
        <v>96</v>
      </c>
      <c r="F1187" s="6" t="s">
        <v>2211</v>
      </c>
      <c r="G1187" s="6" t="s">
        <v>1309</v>
      </c>
      <c r="H1187" s="47" t="s">
        <v>2469</v>
      </c>
      <c r="I1187" s="122" t="s">
        <v>2472</v>
      </c>
    </row>
    <row r="1188" spans="1:9" x14ac:dyDescent="0.2">
      <c r="A1188" s="6">
        <v>1383</v>
      </c>
      <c r="B1188" s="6" t="s">
        <v>2196</v>
      </c>
      <c r="C1188" s="6">
        <v>95</v>
      </c>
      <c r="D1188" s="6">
        <v>6</v>
      </c>
      <c r="E1188" s="6">
        <v>96</v>
      </c>
      <c r="F1188" s="6" t="s">
        <v>2211</v>
      </c>
      <c r="G1188" s="6" t="s">
        <v>1309</v>
      </c>
      <c r="H1188" s="47" t="s">
        <v>2473</v>
      </c>
      <c r="I1188" s="122" t="s">
        <v>2474</v>
      </c>
    </row>
    <row r="1189" spans="1:9" x14ac:dyDescent="0.2">
      <c r="A1189" s="6">
        <v>1384</v>
      </c>
      <c r="B1189" s="6" t="s">
        <v>2196</v>
      </c>
      <c r="C1189" s="6">
        <v>95</v>
      </c>
      <c r="D1189" s="6">
        <v>8</v>
      </c>
      <c r="E1189" s="6">
        <v>96</v>
      </c>
      <c r="F1189" s="6" t="s">
        <v>2211</v>
      </c>
      <c r="G1189" s="6" t="s">
        <v>1722</v>
      </c>
      <c r="H1189" s="47" t="s">
        <v>2475</v>
      </c>
      <c r="I1189" s="122" t="s">
        <v>2476</v>
      </c>
    </row>
    <row r="1190" spans="1:9" x14ac:dyDescent="0.2">
      <c r="A1190" s="6">
        <v>1385</v>
      </c>
      <c r="B1190" s="6" t="s">
        <v>2196</v>
      </c>
      <c r="C1190" s="6">
        <v>215</v>
      </c>
      <c r="D1190" s="6">
        <v>1</v>
      </c>
      <c r="E1190" s="6">
        <v>96</v>
      </c>
      <c r="F1190" s="6" t="s">
        <v>2350</v>
      </c>
      <c r="G1190" s="6" t="s">
        <v>1309</v>
      </c>
      <c r="H1190" s="47" t="s">
        <v>2477</v>
      </c>
      <c r="I1190" s="122" t="s">
        <v>2478</v>
      </c>
    </row>
    <row r="1191" spans="1:9" x14ac:dyDescent="0.2">
      <c r="A1191" s="6">
        <v>1386</v>
      </c>
      <c r="B1191" s="6" t="s">
        <v>2196</v>
      </c>
      <c r="C1191" s="6">
        <v>215</v>
      </c>
      <c r="D1191" s="6">
        <v>2</v>
      </c>
      <c r="E1191" s="6">
        <v>96</v>
      </c>
      <c r="F1191" s="6" t="s">
        <v>2350</v>
      </c>
      <c r="G1191" s="6" t="s">
        <v>1309</v>
      </c>
      <c r="H1191" s="47" t="s">
        <v>2479</v>
      </c>
      <c r="I1191" s="122" t="s">
        <v>2480</v>
      </c>
    </row>
    <row r="1192" spans="1:9" x14ac:dyDescent="0.2">
      <c r="A1192" s="6">
        <v>1387</v>
      </c>
      <c r="B1192" s="6" t="s">
        <v>2196</v>
      </c>
      <c r="C1192" s="6">
        <v>215</v>
      </c>
      <c r="D1192" s="6">
        <v>3</v>
      </c>
      <c r="E1192" s="6">
        <v>96</v>
      </c>
      <c r="F1192" s="6" t="s">
        <v>2350</v>
      </c>
      <c r="G1192" s="6" t="s">
        <v>1309</v>
      </c>
      <c r="H1192" s="47" t="s">
        <v>2481</v>
      </c>
      <c r="I1192" s="122" t="s">
        <v>2482</v>
      </c>
    </row>
    <row r="1193" spans="1:9" x14ac:dyDescent="0.2">
      <c r="A1193" s="6">
        <v>1388</v>
      </c>
      <c r="B1193" s="6" t="s">
        <v>2196</v>
      </c>
      <c r="C1193" s="6">
        <v>215</v>
      </c>
      <c r="D1193" s="6">
        <v>4</v>
      </c>
      <c r="E1193" s="6">
        <v>96</v>
      </c>
      <c r="F1193" s="6" t="s">
        <v>2350</v>
      </c>
      <c r="G1193" s="6" t="s">
        <v>1309</v>
      </c>
      <c r="H1193" s="47" t="s">
        <v>2483</v>
      </c>
      <c r="I1193" s="122" t="s">
        <v>2484</v>
      </c>
    </row>
    <row r="1194" spans="1:9" x14ac:dyDescent="0.2">
      <c r="A1194" s="6">
        <v>1389</v>
      </c>
      <c r="B1194" s="6" t="s">
        <v>2196</v>
      </c>
      <c r="C1194" s="6">
        <v>185</v>
      </c>
      <c r="D1194" s="6">
        <v>1</v>
      </c>
      <c r="E1194" s="6">
        <v>96</v>
      </c>
      <c r="F1194" s="6" t="s">
        <v>2350</v>
      </c>
      <c r="G1194" s="6" t="s">
        <v>1309</v>
      </c>
      <c r="H1194" s="47" t="s">
        <v>2485</v>
      </c>
      <c r="I1194" s="122" t="s">
        <v>2486</v>
      </c>
    </row>
    <row r="1195" spans="1:9" x14ac:dyDescent="0.2">
      <c r="A1195" s="6">
        <v>1390</v>
      </c>
      <c r="B1195" s="6" t="s">
        <v>2196</v>
      </c>
      <c r="C1195" s="6">
        <v>195</v>
      </c>
      <c r="D1195" s="6">
        <v>2</v>
      </c>
      <c r="E1195" s="6">
        <v>96</v>
      </c>
      <c r="F1195" s="6" t="s">
        <v>2350</v>
      </c>
      <c r="G1195" s="6" t="s">
        <v>1309</v>
      </c>
      <c r="H1195" s="47" t="s">
        <v>2487</v>
      </c>
      <c r="I1195" s="122" t="s">
        <v>2488</v>
      </c>
    </row>
    <row r="1196" spans="1:9" x14ac:dyDescent="0.2">
      <c r="A1196" s="6">
        <v>1391</v>
      </c>
      <c r="B1196" s="6" t="s">
        <v>2196</v>
      </c>
      <c r="C1196" s="6">
        <v>185</v>
      </c>
      <c r="D1196" s="6">
        <v>3</v>
      </c>
      <c r="E1196" s="6">
        <v>96</v>
      </c>
      <c r="F1196" s="6" t="s">
        <v>2350</v>
      </c>
      <c r="G1196" s="6" t="s">
        <v>1309</v>
      </c>
      <c r="H1196" s="47" t="s">
        <v>2489</v>
      </c>
      <c r="I1196" s="122" t="s">
        <v>2490</v>
      </c>
    </row>
    <row r="1197" spans="1:9" x14ac:dyDescent="0.2">
      <c r="A1197" s="6">
        <v>1392</v>
      </c>
      <c r="B1197" s="6" t="s">
        <v>2196</v>
      </c>
      <c r="C1197" s="6">
        <v>185</v>
      </c>
      <c r="D1197" s="6">
        <v>4</v>
      </c>
      <c r="E1197" s="6">
        <v>96</v>
      </c>
      <c r="F1197" s="6" t="s">
        <v>2350</v>
      </c>
      <c r="G1197" s="6" t="s">
        <v>1309</v>
      </c>
      <c r="H1197" s="47" t="s">
        <v>2491</v>
      </c>
      <c r="I1197" s="122" t="s">
        <v>2492</v>
      </c>
    </row>
    <row r="1198" spans="1:9" x14ac:dyDescent="0.2">
      <c r="A1198" s="6">
        <v>1393</v>
      </c>
      <c r="B1198" s="6" t="s">
        <v>2196</v>
      </c>
      <c r="C1198" s="6">
        <v>215</v>
      </c>
      <c r="D1198" s="6">
        <v>1</v>
      </c>
      <c r="E1198" s="6">
        <v>96</v>
      </c>
      <c r="F1198" s="6" t="s">
        <v>1381</v>
      </c>
      <c r="G1198" s="6" t="s">
        <v>1309</v>
      </c>
      <c r="H1198" s="47" t="s">
        <v>2493</v>
      </c>
      <c r="I1198" s="122" t="s">
        <v>2494</v>
      </c>
    </row>
    <row r="1199" spans="1:9" x14ac:dyDescent="0.2">
      <c r="A1199" s="6">
        <v>1394</v>
      </c>
      <c r="B1199" s="6" t="s">
        <v>1380</v>
      </c>
      <c r="C1199" s="6">
        <v>0</v>
      </c>
      <c r="D1199" s="6">
        <v>1</v>
      </c>
      <c r="E1199" s="6">
        <v>48</v>
      </c>
      <c r="F1199" s="6" t="s">
        <v>186</v>
      </c>
      <c r="G1199" s="6" t="s">
        <v>1722</v>
      </c>
      <c r="H1199" s="47" t="s">
        <v>2495</v>
      </c>
      <c r="I1199" s="122" t="s">
        <v>2496</v>
      </c>
    </row>
    <row r="1200" spans="1:9" x14ac:dyDescent="0.2">
      <c r="A1200" s="6">
        <v>1395</v>
      </c>
      <c r="B1200" s="6" t="s">
        <v>1380</v>
      </c>
      <c r="C1200" s="6">
        <v>0</v>
      </c>
      <c r="D1200" s="6">
        <v>1</v>
      </c>
      <c r="E1200" s="6">
        <v>48</v>
      </c>
      <c r="F1200" s="6" t="s">
        <v>186</v>
      </c>
      <c r="G1200" s="6" t="s">
        <v>1722</v>
      </c>
      <c r="H1200" s="47" t="s">
        <v>2497</v>
      </c>
      <c r="I1200" s="122" t="s">
        <v>2498</v>
      </c>
    </row>
    <row r="1201" spans="1:9" x14ac:dyDescent="0.2">
      <c r="A1201" s="6">
        <v>1396</v>
      </c>
      <c r="B1201" s="6" t="s">
        <v>2499</v>
      </c>
      <c r="C1201" s="6">
        <v>20</v>
      </c>
      <c r="D1201" s="6">
        <v>1</v>
      </c>
      <c r="E1201" s="6">
        <v>6</v>
      </c>
      <c r="F1201" s="6" t="s">
        <v>186</v>
      </c>
      <c r="G1201" s="6" t="s">
        <v>1309</v>
      </c>
      <c r="H1201" s="47" t="s">
        <v>2500</v>
      </c>
      <c r="I1201" s="122" t="s">
        <v>2501</v>
      </c>
    </row>
    <row r="1202" spans="1:9" x14ac:dyDescent="0.2">
      <c r="A1202" s="6">
        <v>1397</v>
      </c>
      <c r="B1202" s="6" t="s">
        <v>2499</v>
      </c>
      <c r="C1202" s="6">
        <v>22</v>
      </c>
      <c r="D1202" s="6">
        <v>1</v>
      </c>
      <c r="E1202" s="6">
        <v>8</v>
      </c>
      <c r="F1202" s="6" t="s">
        <v>186</v>
      </c>
      <c r="G1202" s="6" t="s">
        <v>1309</v>
      </c>
      <c r="H1202" s="47" t="s">
        <v>2502</v>
      </c>
      <c r="I1202" s="122" t="s">
        <v>2503</v>
      </c>
    </row>
    <row r="1203" spans="1:9" x14ac:dyDescent="0.2">
      <c r="A1203" s="6">
        <v>1398</v>
      </c>
      <c r="B1203" s="6" t="s">
        <v>2499</v>
      </c>
      <c r="C1203" s="6">
        <v>22</v>
      </c>
      <c r="D1203" s="6">
        <v>2</v>
      </c>
      <c r="E1203" s="6">
        <v>8</v>
      </c>
      <c r="F1203" s="6" t="s">
        <v>186</v>
      </c>
      <c r="G1203" s="6" t="s">
        <v>1309</v>
      </c>
      <c r="H1203" s="47" t="s">
        <v>2504</v>
      </c>
      <c r="I1203" s="122" t="s">
        <v>2505</v>
      </c>
    </row>
    <row r="1204" spans="1:9" x14ac:dyDescent="0.2">
      <c r="A1204" s="6">
        <v>1399</v>
      </c>
      <c r="B1204" s="6" t="s">
        <v>2499</v>
      </c>
      <c r="C1204" s="6">
        <v>20</v>
      </c>
      <c r="D1204" s="6">
        <v>1</v>
      </c>
      <c r="E1204" s="6" t="s">
        <v>186</v>
      </c>
      <c r="F1204" s="6" t="s">
        <v>186</v>
      </c>
      <c r="G1204" s="6" t="s">
        <v>1309</v>
      </c>
      <c r="H1204" s="47" t="s">
        <v>2506</v>
      </c>
      <c r="I1204" s="122" t="s">
        <v>2507</v>
      </c>
    </row>
    <row r="1205" spans="1:9" x14ac:dyDescent="0.2">
      <c r="A1205" s="6">
        <v>1400</v>
      </c>
      <c r="B1205" s="6" t="s">
        <v>2499</v>
      </c>
      <c r="C1205" s="6">
        <v>22</v>
      </c>
      <c r="D1205" s="6">
        <v>1</v>
      </c>
      <c r="E1205" s="6" t="s">
        <v>186</v>
      </c>
      <c r="F1205" s="6" t="s">
        <v>186</v>
      </c>
      <c r="G1205" s="6" t="s">
        <v>1309</v>
      </c>
      <c r="H1205" s="47" t="s">
        <v>2508</v>
      </c>
      <c r="I1205" s="122" t="s">
        <v>2509</v>
      </c>
    </row>
    <row r="1206" spans="1:9" x14ac:dyDescent="0.2">
      <c r="A1206" s="6">
        <v>1401</v>
      </c>
      <c r="B1206" s="6" t="s">
        <v>2499</v>
      </c>
      <c r="C1206" s="6">
        <v>32</v>
      </c>
      <c r="D1206" s="6">
        <v>1</v>
      </c>
      <c r="E1206" s="6">
        <v>12</v>
      </c>
      <c r="F1206" s="6" t="s">
        <v>186</v>
      </c>
      <c r="G1206" s="6" t="s">
        <v>1309</v>
      </c>
      <c r="H1206" s="47" t="s">
        <v>2510</v>
      </c>
      <c r="I1206" s="122" t="s">
        <v>2511</v>
      </c>
    </row>
    <row r="1207" spans="1:9" x14ac:dyDescent="0.2">
      <c r="A1207" s="6">
        <v>1402</v>
      </c>
      <c r="B1207" s="6" t="s">
        <v>2499</v>
      </c>
      <c r="C1207" s="6">
        <v>32</v>
      </c>
      <c r="D1207" s="6">
        <v>2</v>
      </c>
      <c r="E1207" s="6" t="s">
        <v>186</v>
      </c>
      <c r="F1207" s="6" t="s">
        <v>186</v>
      </c>
      <c r="G1207" s="6" t="s">
        <v>1309</v>
      </c>
      <c r="H1207" s="47" t="s">
        <v>2512</v>
      </c>
      <c r="I1207" s="122" t="s">
        <v>2513</v>
      </c>
    </row>
    <row r="1208" spans="1:9" x14ac:dyDescent="0.2">
      <c r="A1208" s="6">
        <v>1403</v>
      </c>
      <c r="B1208" s="6" t="s">
        <v>2499</v>
      </c>
      <c r="C1208" s="6">
        <v>32</v>
      </c>
      <c r="D1208" s="6">
        <v>1</v>
      </c>
      <c r="E1208" s="6" t="s">
        <v>186</v>
      </c>
      <c r="F1208" s="6" t="s">
        <v>186</v>
      </c>
      <c r="G1208" s="6" t="s">
        <v>1309</v>
      </c>
      <c r="H1208" s="47" t="s">
        <v>2514</v>
      </c>
      <c r="I1208" s="122" t="s">
        <v>2515</v>
      </c>
    </row>
    <row r="1209" spans="1:9" x14ac:dyDescent="0.2">
      <c r="A1209" s="6">
        <v>1404</v>
      </c>
      <c r="B1209" s="6" t="s">
        <v>2499</v>
      </c>
      <c r="C1209" s="6">
        <v>40</v>
      </c>
      <c r="D1209" s="6">
        <v>1</v>
      </c>
      <c r="E1209" s="6">
        <v>16</v>
      </c>
      <c r="F1209" s="6" t="s">
        <v>186</v>
      </c>
      <c r="G1209" s="6" t="s">
        <v>1309</v>
      </c>
      <c r="H1209" s="47" t="s">
        <v>2516</v>
      </c>
      <c r="I1209" s="122" t="s">
        <v>2517</v>
      </c>
    </row>
    <row r="1210" spans="1:9" x14ac:dyDescent="0.2">
      <c r="A1210" s="6">
        <v>1405</v>
      </c>
      <c r="B1210" s="6" t="s">
        <v>2499</v>
      </c>
      <c r="C1210" s="6">
        <v>32</v>
      </c>
      <c r="D1210" s="6">
        <v>1</v>
      </c>
      <c r="E1210" s="6" t="s">
        <v>186</v>
      </c>
      <c r="F1210" s="6" t="s">
        <v>186</v>
      </c>
      <c r="G1210" s="6" t="s">
        <v>1309</v>
      </c>
      <c r="H1210" s="47" t="s">
        <v>2514</v>
      </c>
      <c r="I1210" s="122" t="s">
        <v>2518</v>
      </c>
    </row>
    <row r="1211" spans="1:9" x14ac:dyDescent="0.2">
      <c r="A1211" s="6">
        <v>1406</v>
      </c>
      <c r="B1211" s="6" t="s">
        <v>2519</v>
      </c>
      <c r="C1211" s="6">
        <v>40</v>
      </c>
      <c r="D1211" s="6">
        <v>1</v>
      </c>
      <c r="E1211" s="6" t="s">
        <v>186</v>
      </c>
      <c r="F1211" s="6" t="s">
        <v>186</v>
      </c>
      <c r="G1211" s="6" t="s">
        <v>187</v>
      </c>
      <c r="H1211" s="47" t="s">
        <v>2520</v>
      </c>
      <c r="I1211" s="122" t="s">
        <v>2521</v>
      </c>
    </row>
    <row r="1212" spans="1:9" x14ac:dyDescent="0.2">
      <c r="A1212" s="6">
        <v>1407</v>
      </c>
      <c r="B1212" s="6" t="s">
        <v>2519</v>
      </c>
      <c r="C1212" s="6">
        <v>55</v>
      </c>
      <c r="D1212" s="6">
        <v>1</v>
      </c>
      <c r="E1212" s="6" t="s">
        <v>186</v>
      </c>
      <c r="F1212" s="6" t="s">
        <v>186</v>
      </c>
      <c r="G1212" s="6" t="s">
        <v>187</v>
      </c>
      <c r="H1212" s="47" t="s">
        <v>2522</v>
      </c>
      <c r="I1212" s="122" t="s">
        <v>2523</v>
      </c>
    </row>
    <row r="1213" spans="1:9" x14ac:dyDescent="0.2">
      <c r="A1213" s="6">
        <v>1408</v>
      </c>
      <c r="B1213" s="6" t="s">
        <v>2519</v>
      </c>
      <c r="C1213" s="6">
        <v>60</v>
      </c>
      <c r="D1213" s="6">
        <v>1</v>
      </c>
      <c r="E1213" s="6" t="s">
        <v>186</v>
      </c>
      <c r="F1213" s="6" t="s">
        <v>186</v>
      </c>
      <c r="G1213" s="6" t="s">
        <v>187</v>
      </c>
      <c r="H1213" s="47" t="s">
        <v>2524</v>
      </c>
      <c r="I1213" s="122" t="s">
        <v>2525</v>
      </c>
    </row>
    <row r="1214" spans="1:9" x14ac:dyDescent="0.2">
      <c r="A1214" s="6">
        <v>1409</v>
      </c>
      <c r="B1214" s="6" t="s">
        <v>2519</v>
      </c>
      <c r="C1214" s="6">
        <v>70</v>
      </c>
      <c r="D1214" s="6">
        <v>1</v>
      </c>
      <c r="E1214" s="6" t="s">
        <v>186</v>
      </c>
      <c r="F1214" s="6" t="s">
        <v>186</v>
      </c>
      <c r="G1214" s="6" t="s">
        <v>187</v>
      </c>
      <c r="H1214" s="47" t="s">
        <v>2526</v>
      </c>
      <c r="I1214" s="122" t="s">
        <v>2527</v>
      </c>
    </row>
    <row r="1215" spans="1:9" x14ac:dyDescent="0.2">
      <c r="A1215" s="6">
        <v>1410</v>
      </c>
      <c r="B1215" s="6" t="s">
        <v>2519</v>
      </c>
      <c r="C1215" s="6">
        <v>80</v>
      </c>
      <c r="D1215" s="6">
        <v>1</v>
      </c>
      <c r="E1215" s="6" t="s">
        <v>186</v>
      </c>
      <c r="F1215" s="6" t="s">
        <v>186</v>
      </c>
      <c r="G1215" s="6" t="s">
        <v>187</v>
      </c>
      <c r="H1215" s="47" t="s">
        <v>2528</v>
      </c>
      <c r="I1215" s="122" t="s">
        <v>2529</v>
      </c>
    </row>
    <row r="1216" spans="1:9" x14ac:dyDescent="0.2">
      <c r="A1216" s="6">
        <v>1411</v>
      </c>
      <c r="B1216" s="6" t="s">
        <v>2519</v>
      </c>
      <c r="C1216" s="6">
        <v>85</v>
      </c>
      <c r="D1216" s="6">
        <v>1</v>
      </c>
      <c r="E1216" s="6" t="s">
        <v>186</v>
      </c>
      <c r="F1216" s="6" t="s">
        <v>186</v>
      </c>
      <c r="G1216" s="6" t="s">
        <v>187</v>
      </c>
      <c r="H1216" s="47" t="s">
        <v>2530</v>
      </c>
      <c r="I1216" s="122" t="s">
        <v>2531</v>
      </c>
    </row>
    <row r="1217" spans="1:9" x14ac:dyDescent="0.2">
      <c r="A1217" s="6">
        <v>1412</v>
      </c>
      <c r="B1217" s="6" t="s">
        <v>2519</v>
      </c>
      <c r="C1217" s="6">
        <v>100</v>
      </c>
      <c r="D1217" s="6">
        <v>1</v>
      </c>
      <c r="E1217" s="6" t="s">
        <v>186</v>
      </c>
      <c r="F1217" s="6" t="s">
        <v>186</v>
      </c>
      <c r="G1217" s="6" t="s">
        <v>187</v>
      </c>
      <c r="H1217" s="47" t="s">
        <v>2532</v>
      </c>
      <c r="I1217" s="122" t="s">
        <v>2533</v>
      </c>
    </row>
    <row r="1218" spans="1:9" x14ac:dyDescent="0.2">
      <c r="A1218" s="6">
        <v>1413</v>
      </c>
      <c r="B1218" s="6" t="s">
        <v>2519</v>
      </c>
      <c r="C1218" s="6">
        <v>125</v>
      </c>
      <c r="D1218" s="6">
        <v>1</v>
      </c>
      <c r="E1218" s="6" t="s">
        <v>186</v>
      </c>
      <c r="F1218" s="6" t="s">
        <v>186</v>
      </c>
      <c r="G1218" s="6" t="s">
        <v>187</v>
      </c>
      <c r="H1218" s="47" t="s">
        <v>2534</v>
      </c>
      <c r="I1218" s="122" t="s">
        <v>2535</v>
      </c>
    </row>
    <row r="1219" spans="1:9" x14ac:dyDescent="0.2">
      <c r="A1219" s="6">
        <v>1414</v>
      </c>
      <c r="B1219" s="6" t="s">
        <v>2519</v>
      </c>
      <c r="C1219" s="6">
        <v>150</v>
      </c>
      <c r="D1219" s="6">
        <v>1</v>
      </c>
      <c r="E1219" s="6" t="s">
        <v>186</v>
      </c>
      <c r="F1219" s="6" t="s">
        <v>186</v>
      </c>
      <c r="G1219" s="6" t="s">
        <v>187</v>
      </c>
      <c r="H1219" s="47" t="s">
        <v>2536</v>
      </c>
      <c r="I1219" s="122" t="s">
        <v>2537</v>
      </c>
    </row>
    <row r="1220" spans="1:9" x14ac:dyDescent="0.2">
      <c r="A1220" s="6">
        <v>1415</v>
      </c>
      <c r="B1220" s="6" t="s">
        <v>2519</v>
      </c>
      <c r="C1220" s="6">
        <v>165</v>
      </c>
      <c r="D1220" s="6">
        <v>1</v>
      </c>
      <c r="E1220" s="6" t="s">
        <v>186</v>
      </c>
      <c r="F1220" s="6" t="s">
        <v>186</v>
      </c>
      <c r="G1220" s="6" t="s">
        <v>187</v>
      </c>
      <c r="H1220" s="47" t="s">
        <v>2538</v>
      </c>
      <c r="I1220" s="122" t="s">
        <v>2539</v>
      </c>
    </row>
    <row r="1221" spans="1:9" x14ac:dyDescent="0.2">
      <c r="A1221" s="6">
        <v>1416</v>
      </c>
      <c r="B1221" s="6" t="s">
        <v>2519</v>
      </c>
      <c r="C1221" s="6">
        <v>200</v>
      </c>
      <c r="D1221" s="6">
        <v>1</v>
      </c>
      <c r="E1221" s="6" t="s">
        <v>186</v>
      </c>
      <c r="F1221" s="6" t="s">
        <v>186</v>
      </c>
      <c r="G1221" s="6" t="s">
        <v>187</v>
      </c>
      <c r="H1221" s="47" t="s">
        <v>2540</v>
      </c>
      <c r="I1221" s="122" t="s">
        <v>2541</v>
      </c>
    </row>
    <row r="1222" spans="1:9" x14ac:dyDescent="0.2">
      <c r="A1222" s="6">
        <v>1417</v>
      </c>
      <c r="B1222" s="6" t="s">
        <v>2519</v>
      </c>
      <c r="C1222" s="6">
        <v>250</v>
      </c>
      <c r="D1222" s="6">
        <v>1</v>
      </c>
      <c r="E1222" s="6" t="s">
        <v>186</v>
      </c>
      <c r="F1222" s="6" t="s">
        <v>186</v>
      </c>
      <c r="G1222" s="6" t="s">
        <v>187</v>
      </c>
      <c r="H1222" s="47" t="s">
        <v>2542</v>
      </c>
      <c r="I1222" s="122" t="s">
        <v>2543</v>
      </c>
    </row>
    <row r="1223" spans="1:9" x14ac:dyDescent="0.2">
      <c r="A1223" s="6">
        <v>1418</v>
      </c>
      <c r="B1223" s="6" t="s">
        <v>2519</v>
      </c>
      <c r="C1223" s="6">
        <v>300</v>
      </c>
      <c r="D1223" s="6">
        <v>1</v>
      </c>
      <c r="E1223" s="6" t="s">
        <v>186</v>
      </c>
      <c r="F1223" s="6" t="s">
        <v>186</v>
      </c>
      <c r="G1223" s="6" t="s">
        <v>187</v>
      </c>
      <c r="H1223" s="47" t="s">
        <v>2544</v>
      </c>
      <c r="I1223" s="122" t="s">
        <v>2545</v>
      </c>
    </row>
    <row r="1224" spans="1:9" x14ac:dyDescent="0.2">
      <c r="A1224" s="6">
        <v>1419</v>
      </c>
      <c r="B1224" s="6" t="s">
        <v>2519</v>
      </c>
      <c r="C1224" s="6">
        <v>400</v>
      </c>
      <c r="D1224" s="6">
        <v>1</v>
      </c>
      <c r="E1224" s="6" t="s">
        <v>186</v>
      </c>
      <c r="F1224" s="6" t="s">
        <v>186</v>
      </c>
      <c r="G1224" s="6" t="s">
        <v>187</v>
      </c>
      <c r="H1224" s="47" t="s">
        <v>2546</v>
      </c>
      <c r="I1224" s="122" t="s">
        <v>2547</v>
      </c>
    </row>
    <row r="1225" spans="1:9" x14ac:dyDescent="0.2">
      <c r="A1225" s="6">
        <v>1420</v>
      </c>
      <c r="B1225" s="6" t="s">
        <v>2548</v>
      </c>
      <c r="C1225" s="6">
        <v>32</v>
      </c>
      <c r="D1225" s="6">
        <v>1</v>
      </c>
      <c r="E1225" s="6" t="s">
        <v>186</v>
      </c>
      <c r="F1225" s="6" t="s">
        <v>1381</v>
      </c>
      <c r="G1225" s="6" t="s">
        <v>187</v>
      </c>
      <c r="H1225" s="47" t="s">
        <v>2549</v>
      </c>
      <c r="I1225" s="122" t="s">
        <v>2550</v>
      </c>
    </row>
    <row r="1226" spans="1:9" x14ac:dyDescent="0.2">
      <c r="A1226" s="6">
        <v>1421</v>
      </c>
      <c r="B1226" s="6" t="s">
        <v>2548</v>
      </c>
      <c r="C1226" s="6">
        <v>32</v>
      </c>
      <c r="D1226" s="6">
        <v>1</v>
      </c>
      <c r="E1226" s="6" t="s">
        <v>186</v>
      </c>
      <c r="F1226" s="6" t="s">
        <v>1381</v>
      </c>
      <c r="G1226" s="6" t="s">
        <v>187</v>
      </c>
      <c r="H1226" s="47" t="s">
        <v>2551</v>
      </c>
      <c r="I1226" s="122" t="s">
        <v>2552</v>
      </c>
    </row>
    <row r="1227" spans="1:9" x14ac:dyDescent="0.2">
      <c r="A1227" s="6">
        <v>1422</v>
      </c>
      <c r="B1227" s="6" t="s">
        <v>2548</v>
      </c>
      <c r="C1227" s="6">
        <v>31</v>
      </c>
      <c r="D1227" s="6">
        <v>1</v>
      </c>
      <c r="E1227" s="6" t="s">
        <v>186</v>
      </c>
      <c r="F1227" s="6" t="s">
        <v>1381</v>
      </c>
      <c r="G1227" s="6" t="s">
        <v>187</v>
      </c>
      <c r="H1227" s="47" t="s">
        <v>2553</v>
      </c>
      <c r="I1227" s="122" t="s">
        <v>2554</v>
      </c>
    </row>
    <row r="1228" spans="1:9" x14ac:dyDescent="0.2">
      <c r="A1228" s="6">
        <v>1423</v>
      </c>
      <c r="B1228" s="6" t="s">
        <v>2548</v>
      </c>
      <c r="C1228" s="6">
        <v>32</v>
      </c>
      <c r="D1228" s="6">
        <v>2</v>
      </c>
      <c r="E1228" s="6" t="s">
        <v>186</v>
      </c>
      <c r="F1228" s="6" t="s">
        <v>1381</v>
      </c>
      <c r="G1228" s="6" t="s">
        <v>187</v>
      </c>
      <c r="H1228" s="47" t="s">
        <v>2555</v>
      </c>
      <c r="I1228" s="122" t="s">
        <v>2556</v>
      </c>
    </row>
    <row r="1229" spans="1:9" x14ac:dyDescent="0.2">
      <c r="A1229" s="6">
        <v>1424</v>
      </c>
      <c r="B1229" s="6" t="s">
        <v>2548</v>
      </c>
      <c r="C1229" s="6">
        <v>32</v>
      </c>
      <c r="D1229" s="6">
        <v>2</v>
      </c>
      <c r="E1229" s="6" t="s">
        <v>186</v>
      </c>
      <c r="F1229" s="6" t="s">
        <v>1381</v>
      </c>
      <c r="G1229" s="6" t="s">
        <v>187</v>
      </c>
      <c r="H1229" s="47" t="s">
        <v>2557</v>
      </c>
      <c r="I1229" s="122" t="s">
        <v>2558</v>
      </c>
    </row>
    <row r="1230" spans="1:9" x14ac:dyDescent="0.2">
      <c r="A1230" s="6">
        <v>1425</v>
      </c>
      <c r="B1230" s="6" t="s">
        <v>2548</v>
      </c>
      <c r="C1230" s="6">
        <v>32</v>
      </c>
      <c r="D1230" s="6">
        <v>2</v>
      </c>
      <c r="E1230" s="6" t="s">
        <v>186</v>
      </c>
      <c r="F1230" s="6" t="s">
        <v>1381</v>
      </c>
      <c r="G1230" s="6" t="s">
        <v>187</v>
      </c>
      <c r="H1230" s="47" t="s">
        <v>2559</v>
      </c>
      <c r="I1230" s="122" t="s">
        <v>2560</v>
      </c>
    </row>
    <row r="1231" spans="1:9" x14ac:dyDescent="0.2">
      <c r="A1231" s="6">
        <v>1426</v>
      </c>
      <c r="B1231" s="6" t="s">
        <v>2548</v>
      </c>
      <c r="C1231" s="6">
        <v>32</v>
      </c>
      <c r="D1231" s="6">
        <v>2</v>
      </c>
      <c r="E1231" s="6" t="s">
        <v>186</v>
      </c>
      <c r="F1231" s="6" t="s">
        <v>1381</v>
      </c>
      <c r="G1231" s="6" t="s">
        <v>187</v>
      </c>
      <c r="H1231" s="47" t="s">
        <v>2561</v>
      </c>
      <c r="I1231" s="122" t="s">
        <v>2562</v>
      </c>
    </row>
    <row r="1232" spans="1:9" x14ac:dyDescent="0.2">
      <c r="A1232" s="6">
        <v>1427</v>
      </c>
      <c r="B1232" s="6" t="s">
        <v>2548</v>
      </c>
      <c r="C1232" s="6">
        <v>32</v>
      </c>
      <c r="D1232" s="6">
        <v>2</v>
      </c>
      <c r="E1232" s="6" t="s">
        <v>186</v>
      </c>
      <c r="F1232" s="6" t="s">
        <v>1381</v>
      </c>
      <c r="G1232" s="6" t="s">
        <v>187</v>
      </c>
      <c r="H1232" s="47" t="s">
        <v>2563</v>
      </c>
      <c r="I1232" s="122" t="s">
        <v>2564</v>
      </c>
    </row>
    <row r="1233" spans="1:9" x14ac:dyDescent="0.2">
      <c r="A1233" s="6">
        <v>1428</v>
      </c>
      <c r="B1233" s="6" t="s">
        <v>2548</v>
      </c>
      <c r="C1233" s="6">
        <v>32</v>
      </c>
      <c r="D1233" s="6">
        <v>2</v>
      </c>
      <c r="E1233" s="6" t="s">
        <v>186</v>
      </c>
      <c r="F1233" s="6" t="s">
        <v>1381</v>
      </c>
      <c r="G1233" s="6" t="s">
        <v>187</v>
      </c>
      <c r="H1233" s="47" t="s">
        <v>2565</v>
      </c>
      <c r="I1233" s="122" t="s">
        <v>2566</v>
      </c>
    </row>
    <row r="1234" spans="1:9" x14ac:dyDescent="0.2">
      <c r="A1234" s="6">
        <v>1429</v>
      </c>
      <c r="B1234" s="6" t="s">
        <v>2548</v>
      </c>
      <c r="C1234" s="6">
        <v>31</v>
      </c>
      <c r="D1234" s="6">
        <v>2</v>
      </c>
      <c r="E1234" s="6" t="s">
        <v>186</v>
      </c>
      <c r="F1234" s="6" t="s">
        <v>1381</v>
      </c>
      <c r="G1234" s="6" t="s">
        <v>187</v>
      </c>
      <c r="H1234" s="47" t="s">
        <v>2567</v>
      </c>
      <c r="I1234" s="122" t="s">
        <v>2568</v>
      </c>
    </row>
    <row r="1235" spans="1:9" x14ac:dyDescent="0.2">
      <c r="A1235" s="6">
        <v>1430</v>
      </c>
      <c r="B1235" s="6" t="s">
        <v>2548</v>
      </c>
      <c r="C1235" s="6">
        <v>32</v>
      </c>
      <c r="D1235" s="6">
        <v>2</v>
      </c>
      <c r="E1235" s="6" t="s">
        <v>186</v>
      </c>
      <c r="F1235" s="6" t="s">
        <v>1381</v>
      </c>
      <c r="G1235" s="6" t="s">
        <v>187</v>
      </c>
      <c r="H1235" s="47" t="s">
        <v>2569</v>
      </c>
      <c r="I1235" s="122" t="s">
        <v>2570</v>
      </c>
    </row>
    <row r="1236" spans="1:9" x14ac:dyDescent="0.2">
      <c r="A1236" s="6">
        <v>1431</v>
      </c>
      <c r="B1236" s="6" t="s">
        <v>2548</v>
      </c>
      <c r="C1236" s="6">
        <v>32</v>
      </c>
      <c r="D1236" s="6">
        <v>3</v>
      </c>
      <c r="E1236" s="6" t="s">
        <v>186</v>
      </c>
      <c r="F1236" s="6" t="s">
        <v>1381</v>
      </c>
      <c r="G1236" s="6" t="s">
        <v>187</v>
      </c>
      <c r="H1236" s="47" t="s">
        <v>2571</v>
      </c>
      <c r="I1236" s="122" t="s">
        <v>2572</v>
      </c>
    </row>
    <row r="1237" spans="1:9" x14ac:dyDescent="0.2">
      <c r="A1237" s="6">
        <v>1432</v>
      </c>
      <c r="B1237" s="6" t="s">
        <v>2548</v>
      </c>
      <c r="C1237" s="6">
        <v>32</v>
      </c>
      <c r="D1237" s="6">
        <v>3</v>
      </c>
      <c r="E1237" s="6" t="s">
        <v>186</v>
      </c>
      <c r="F1237" s="6" t="s">
        <v>1381</v>
      </c>
      <c r="G1237" s="6" t="s">
        <v>187</v>
      </c>
      <c r="H1237" s="47" t="s">
        <v>2573</v>
      </c>
      <c r="I1237" s="122" t="s">
        <v>2574</v>
      </c>
    </row>
    <row r="1238" spans="1:9" x14ac:dyDescent="0.2">
      <c r="A1238" s="6">
        <v>1433</v>
      </c>
      <c r="B1238" s="6" t="s">
        <v>2548</v>
      </c>
      <c r="C1238" s="6">
        <v>32</v>
      </c>
      <c r="D1238" s="6">
        <v>1</v>
      </c>
      <c r="E1238" s="6" t="s">
        <v>186</v>
      </c>
      <c r="F1238" s="6" t="s">
        <v>1381</v>
      </c>
      <c r="G1238" s="6" t="s">
        <v>187</v>
      </c>
      <c r="H1238" s="47" t="s">
        <v>2575</v>
      </c>
      <c r="I1238" s="122" t="s">
        <v>2576</v>
      </c>
    </row>
    <row r="1239" spans="1:9" x14ac:dyDescent="0.2">
      <c r="A1239" s="6">
        <v>1434</v>
      </c>
      <c r="B1239" s="6" t="s">
        <v>2548</v>
      </c>
      <c r="C1239" s="6">
        <v>32</v>
      </c>
      <c r="D1239" s="6">
        <v>1</v>
      </c>
      <c r="E1239" s="6" t="s">
        <v>186</v>
      </c>
      <c r="F1239" s="6" t="s">
        <v>1381</v>
      </c>
      <c r="G1239" s="6" t="s">
        <v>187</v>
      </c>
      <c r="H1239" s="47" t="s">
        <v>2577</v>
      </c>
      <c r="I1239" s="122" t="s">
        <v>2578</v>
      </c>
    </row>
    <row r="1240" spans="1:9" x14ac:dyDescent="0.2">
      <c r="A1240" s="6">
        <v>1435</v>
      </c>
      <c r="B1240" s="6" t="s">
        <v>2548</v>
      </c>
      <c r="C1240" s="6">
        <v>32</v>
      </c>
      <c r="D1240" s="6">
        <v>2</v>
      </c>
      <c r="E1240" s="6" t="s">
        <v>186</v>
      </c>
      <c r="F1240" s="6" t="s">
        <v>1381</v>
      </c>
      <c r="G1240" s="6" t="s">
        <v>187</v>
      </c>
      <c r="H1240" s="47" t="s">
        <v>2579</v>
      </c>
      <c r="I1240" s="122" t="s">
        <v>2580</v>
      </c>
    </row>
    <row r="1241" spans="1:9" x14ac:dyDescent="0.2">
      <c r="A1241" s="6">
        <v>1436</v>
      </c>
      <c r="B1241" s="6" t="s">
        <v>2548</v>
      </c>
      <c r="C1241" s="6">
        <v>32</v>
      </c>
      <c r="D1241" s="6">
        <v>2</v>
      </c>
      <c r="E1241" s="6" t="s">
        <v>186</v>
      </c>
      <c r="F1241" s="6" t="s">
        <v>1381</v>
      </c>
      <c r="G1241" s="6" t="s">
        <v>187</v>
      </c>
      <c r="H1241" s="47" t="s">
        <v>2581</v>
      </c>
      <c r="I1241" s="122" t="s">
        <v>2582</v>
      </c>
    </row>
    <row r="1242" spans="1:9" x14ac:dyDescent="0.2">
      <c r="A1242" s="6">
        <v>1437</v>
      </c>
      <c r="B1242" s="6" t="s">
        <v>2548</v>
      </c>
      <c r="C1242" s="6">
        <v>32</v>
      </c>
      <c r="D1242" s="6">
        <v>2</v>
      </c>
      <c r="E1242" s="6" t="s">
        <v>186</v>
      </c>
      <c r="F1242" s="6" t="s">
        <v>1381</v>
      </c>
      <c r="G1242" s="6" t="s">
        <v>187</v>
      </c>
      <c r="H1242" s="47" t="s">
        <v>2583</v>
      </c>
      <c r="I1242" s="122" t="s">
        <v>2584</v>
      </c>
    </row>
    <row r="1243" spans="1:9" x14ac:dyDescent="0.2">
      <c r="A1243" s="6">
        <v>1438</v>
      </c>
      <c r="B1243" s="6" t="s">
        <v>2548</v>
      </c>
      <c r="C1243" s="6">
        <v>32</v>
      </c>
      <c r="D1243" s="6">
        <v>3</v>
      </c>
      <c r="E1243" s="6" t="s">
        <v>186</v>
      </c>
      <c r="F1243" s="6" t="s">
        <v>1381</v>
      </c>
      <c r="G1243" s="6" t="s">
        <v>187</v>
      </c>
      <c r="H1243" s="47" t="s">
        <v>2585</v>
      </c>
      <c r="I1243" s="122" t="s">
        <v>2586</v>
      </c>
    </row>
    <row r="1244" spans="1:9" x14ac:dyDescent="0.2">
      <c r="A1244" s="6">
        <v>1439</v>
      </c>
      <c r="B1244" s="6" t="s">
        <v>2548</v>
      </c>
      <c r="C1244" s="6">
        <v>32</v>
      </c>
      <c r="D1244" s="6">
        <v>3</v>
      </c>
      <c r="E1244" s="6" t="s">
        <v>186</v>
      </c>
      <c r="F1244" s="6" t="s">
        <v>1381</v>
      </c>
      <c r="G1244" s="6" t="s">
        <v>187</v>
      </c>
      <c r="H1244" s="47" t="s">
        <v>2587</v>
      </c>
      <c r="I1244" s="122" t="s">
        <v>2588</v>
      </c>
    </row>
    <row r="1245" spans="1:9" x14ac:dyDescent="0.2">
      <c r="A1245" s="6">
        <v>1440</v>
      </c>
      <c r="B1245" s="6" t="s">
        <v>2589</v>
      </c>
      <c r="C1245" s="6">
        <v>40</v>
      </c>
      <c r="D1245" s="6">
        <v>1</v>
      </c>
      <c r="E1245" s="6" t="s">
        <v>186</v>
      </c>
      <c r="F1245" s="6" t="s">
        <v>1381</v>
      </c>
      <c r="G1245" s="6" t="s">
        <v>1722</v>
      </c>
      <c r="H1245" s="47" t="s">
        <v>2590</v>
      </c>
      <c r="I1245" s="122" t="s">
        <v>2591</v>
      </c>
    </row>
    <row r="1246" spans="1:9" x14ac:dyDescent="0.2">
      <c r="A1246" s="6">
        <v>1441</v>
      </c>
      <c r="B1246" s="6" t="s">
        <v>2589</v>
      </c>
      <c r="C1246" s="6">
        <v>40</v>
      </c>
      <c r="D1246" s="6">
        <v>1</v>
      </c>
      <c r="E1246" s="6" t="s">
        <v>186</v>
      </c>
      <c r="F1246" s="6" t="s">
        <v>1381</v>
      </c>
      <c r="G1246" s="6" t="s">
        <v>1309</v>
      </c>
      <c r="H1246" s="47" t="s">
        <v>2592</v>
      </c>
      <c r="I1246" s="122" t="s">
        <v>2593</v>
      </c>
    </row>
    <row r="1247" spans="1:9" x14ac:dyDescent="0.2">
      <c r="A1247" s="6">
        <v>1442</v>
      </c>
      <c r="B1247" s="6" t="s">
        <v>2589</v>
      </c>
      <c r="C1247" s="6">
        <v>40</v>
      </c>
      <c r="D1247" s="6">
        <v>2</v>
      </c>
      <c r="E1247" s="6" t="s">
        <v>186</v>
      </c>
      <c r="F1247" s="6" t="s">
        <v>1381</v>
      </c>
      <c r="G1247" s="6" t="s">
        <v>1722</v>
      </c>
      <c r="H1247" s="47" t="s">
        <v>2594</v>
      </c>
      <c r="I1247" s="122" t="s">
        <v>2595</v>
      </c>
    </row>
    <row r="1248" spans="1:9" x14ac:dyDescent="0.2">
      <c r="A1248" s="6">
        <v>1443</v>
      </c>
      <c r="B1248" s="6" t="s">
        <v>2196</v>
      </c>
      <c r="C1248" s="6">
        <v>40</v>
      </c>
      <c r="D1248" s="6">
        <v>2</v>
      </c>
      <c r="E1248" s="6">
        <v>48</v>
      </c>
      <c r="F1248" s="6" t="s">
        <v>1381</v>
      </c>
      <c r="G1248" s="6" t="s">
        <v>187</v>
      </c>
      <c r="H1248" s="47" t="s">
        <v>2596</v>
      </c>
      <c r="I1248" s="122" t="s">
        <v>2597</v>
      </c>
    </row>
    <row r="1249" spans="1:9" x14ac:dyDescent="0.2">
      <c r="A1249" s="6">
        <v>1444</v>
      </c>
      <c r="B1249" s="6" t="s">
        <v>2589</v>
      </c>
      <c r="C1249" s="6">
        <v>40</v>
      </c>
      <c r="D1249" s="6">
        <v>2</v>
      </c>
      <c r="E1249" s="6" t="s">
        <v>186</v>
      </c>
      <c r="F1249" s="6" t="s">
        <v>1381</v>
      </c>
      <c r="G1249" s="6" t="s">
        <v>1309</v>
      </c>
      <c r="H1249" s="47" t="s">
        <v>2598</v>
      </c>
      <c r="I1249" s="122" t="s">
        <v>2599</v>
      </c>
    </row>
    <row r="1250" spans="1:9" x14ac:dyDescent="0.2">
      <c r="A1250" s="6">
        <v>1445</v>
      </c>
      <c r="B1250" s="6" t="s">
        <v>2589</v>
      </c>
      <c r="C1250" s="6">
        <v>40</v>
      </c>
      <c r="D1250" s="6">
        <v>3</v>
      </c>
      <c r="E1250" s="6" t="s">
        <v>186</v>
      </c>
      <c r="F1250" s="6" t="s">
        <v>1381</v>
      </c>
      <c r="G1250" s="6" t="s">
        <v>1722</v>
      </c>
      <c r="H1250" s="47" t="s">
        <v>2600</v>
      </c>
      <c r="I1250" s="122" t="s">
        <v>2601</v>
      </c>
    </row>
    <row r="1251" spans="1:9" x14ac:dyDescent="0.2">
      <c r="A1251" s="6">
        <v>1446</v>
      </c>
      <c r="B1251" s="6" t="s">
        <v>2589</v>
      </c>
      <c r="C1251" s="6">
        <v>35</v>
      </c>
      <c r="D1251" s="6">
        <v>1</v>
      </c>
      <c r="E1251" s="6" t="s">
        <v>186</v>
      </c>
      <c r="F1251" s="6" t="s">
        <v>1381</v>
      </c>
      <c r="G1251" s="6" t="s">
        <v>1722</v>
      </c>
      <c r="H1251" s="47" t="s">
        <v>2602</v>
      </c>
      <c r="I1251" s="122" t="s">
        <v>2603</v>
      </c>
    </row>
    <row r="1252" spans="1:9" x14ac:dyDescent="0.2">
      <c r="A1252" s="6">
        <v>1447</v>
      </c>
      <c r="B1252" s="6" t="s">
        <v>2589</v>
      </c>
      <c r="C1252" s="6">
        <v>34</v>
      </c>
      <c r="D1252" s="6">
        <v>1</v>
      </c>
      <c r="E1252" s="6" t="s">
        <v>186</v>
      </c>
      <c r="F1252" s="6" t="s">
        <v>1381</v>
      </c>
      <c r="G1252" s="6" t="s">
        <v>1309</v>
      </c>
      <c r="H1252" s="47" t="s">
        <v>2592</v>
      </c>
      <c r="I1252" s="122" t="s">
        <v>2604</v>
      </c>
    </row>
    <row r="1253" spans="1:9" x14ac:dyDescent="0.2">
      <c r="A1253" s="6">
        <v>1448</v>
      </c>
      <c r="B1253" s="6" t="s">
        <v>2589</v>
      </c>
      <c r="C1253" s="6">
        <v>35</v>
      </c>
      <c r="D1253" s="6">
        <v>2</v>
      </c>
      <c r="E1253" s="6" t="s">
        <v>186</v>
      </c>
      <c r="F1253" s="6" t="s">
        <v>1381</v>
      </c>
      <c r="G1253" s="6" t="s">
        <v>1722</v>
      </c>
      <c r="H1253" s="47" t="s">
        <v>2605</v>
      </c>
      <c r="I1253" s="122" t="s">
        <v>2606</v>
      </c>
    </row>
    <row r="1254" spans="1:9" x14ac:dyDescent="0.2">
      <c r="A1254" s="6">
        <v>1449</v>
      </c>
      <c r="B1254" s="6" t="s">
        <v>2196</v>
      </c>
      <c r="C1254" s="6">
        <v>34</v>
      </c>
      <c r="D1254" s="6">
        <v>2</v>
      </c>
      <c r="E1254" s="6">
        <v>48</v>
      </c>
      <c r="F1254" s="6" t="s">
        <v>1381</v>
      </c>
      <c r="G1254" s="6" t="s">
        <v>187</v>
      </c>
      <c r="H1254" s="47" t="s">
        <v>2607</v>
      </c>
      <c r="I1254" s="122" t="s">
        <v>2608</v>
      </c>
    </row>
    <row r="1255" spans="1:9" x14ac:dyDescent="0.2">
      <c r="A1255" s="6">
        <v>1450</v>
      </c>
      <c r="B1255" s="6" t="s">
        <v>2589</v>
      </c>
      <c r="C1255" s="6">
        <v>35</v>
      </c>
      <c r="D1255" s="6">
        <v>1</v>
      </c>
      <c r="E1255" s="6" t="s">
        <v>186</v>
      </c>
      <c r="F1255" s="6" t="s">
        <v>1381</v>
      </c>
      <c r="G1255" s="6" t="s">
        <v>1309</v>
      </c>
      <c r="H1255" s="47" t="s">
        <v>2605</v>
      </c>
      <c r="I1255" s="122" t="s">
        <v>2609</v>
      </c>
    </row>
    <row r="1256" spans="1:9" x14ac:dyDescent="0.2">
      <c r="A1256" s="6">
        <v>1451</v>
      </c>
      <c r="B1256" s="6" t="s">
        <v>2589</v>
      </c>
      <c r="C1256" s="6">
        <v>35</v>
      </c>
      <c r="D1256" s="6">
        <v>3</v>
      </c>
      <c r="E1256" s="6" t="s">
        <v>186</v>
      </c>
      <c r="F1256" s="6" t="s">
        <v>1381</v>
      </c>
      <c r="G1256" s="6" t="s">
        <v>1722</v>
      </c>
      <c r="H1256" s="47" t="s">
        <v>2610</v>
      </c>
      <c r="I1256" s="122" t="s">
        <v>2611</v>
      </c>
    </row>
    <row r="1257" spans="1:9" x14ac:dyDescent="0.2">
      <c r="A1257" s="6">
        <v>1452</v>
      </c>
      <c r="B1257" s="6" t="s">
        <v>2612</v>
      </c>
      <c r="C1257" s="6">
        <v>35</v>
      </c>
      <c r="D1257" s="6">
        <v>1</v>
      </c>
      <c r="E1257" s="6" t="s">
        <v>186</v>
      </c>
      <c r="F1257" s="6" t="s">
        <v>186</v>
      </c>
      <c r="G1257" s="6">
        <v>0</v>
      </c>
      <c r="H1257" s="47" t="s">
        <v>2613</v>
      </c>
      <c r="I1257" s="122" t="s">
        <v>2614</v>
      </c>
    </row>
    <row r="1258" spans="1:9" x14ac:dyDescent="0.2">
      <c r="A1258" s="6">
        <v>1453</v>
      </c>
      <c r="B1258" s="6" t="s">
        <v>2612</v>
      </c>
      <c r="C1258" s="6">
        <v>50</v>
      </c>
      <c r="D1258" s="6">
        <v>1</v>
      </c>
      <c r="E1258" s="6" t="s">
        <v>186</v>
      </c>
      <c r="F1258" s="6" t="s">
        <v>186</v>
      </c>
      <c r="G1258" s="6">
        <v>0</v>
      </c>
      <c r="H1258" s="47" t="s">
        <v>2615</v>
      </c>
      <c r="I1258" s="122" t="s">
        <v>2616</v>
      </c>
    </row>
    <row r="1259" spans="1:9" x14ac:dyDescent="0.2">
      <c r="A1259" s="6">
        <v>1454</v>
      </c>
      <c r="B1259" s="6" t="s">
        <v>2612</v>
      </c>
      <c r="C1259" s="6">
        <v>70</v>
      </c>
      <c r="D1259" s="6">
        <v>1</v>
      </c>
      <c r="E1259" s="6" t="s">
        <v>186</v>
      </c>
      <c r="F1259" s="6" t="s">
        <v>186</v>
      </c>
      <c r="G1259" s="6">
        <v>0</v>
      </c>
      <c r="H1259" s="47" t="s">
        <v>2617</v>
      </c>
      <c r="I1259" s="122" t="s">
        <v>2618</v>
      </c>
    </row>
    <row r="1260" spans="1:9" x14ac:dyDescent="0.2">
      <c r="A1260" s="6">
        <v>1455</v>
      </c>
      <c r="B1260" s="6" t="s">
        <v>2612</v>
      </c>
      <c r="C1260" s="6">
        <v>100</v>
      </c>
      <c r="D1260" s="6">
        <v>1</v>
      </c>
      <c r="E1260" s="6" t="s">
        <v>186</v>
      </c>
      <c r="F1260" s="6" t="s">
        <v>186</v>
      </c>
      <c r="G1260" s="6">
        <v>0</v>
      </c>
      <c r="H1260" s="47" t="s">
        <v>2619</v>
      </c>
      <c r="I1260" s="122" t="s">
        <v>2620</v>
      </c>
    </row>
    <row r="1261" spans="1:9" x14ac:dyDescent="0.2">
      <c r="A1261" s="6">
        <v>1456</v>
      </c>
      <c r="B1261" s="6" t="s">
        <v>2612</v>
      </c>
      <c r="C1261" s="6">
        <v>150</v>
      </c>
      <c r="D1261" s="6">
        <v>1</v>
      </c>
      <c r="E1261" s="6" t="s">
        <v>186</v>
      </c>
      <c r="F1261" s="6" t="s">
        <v>186</v>
      </c>
      <c r="G1261" s="6">
        <v>0</v>
      </c>
      <c r="H1261" s="47" t="s">
        <v>2621</v>
      </c>
      <c r="I1261" s="122" t="s">
        <v>2622</v>
      </c>
    </row>
    <row r="1262" spans="1:9" x14ac:dyDescent="0.2">
      <c r="A1262" s="6">
        <v>1457</v>
      </c>
      <c r="B1262" s="6" t="s">
        <v>2612</v>
      </c>
      <c r="C1262" s="6">
        <v>200</v>
      </c>
      <c r="D1262" s="6">
        <v>1</v>
      </c>
      <c r="E1262" s="6" t="s">
        <v>186</v>
      </c>
      <c r="F1262" s="6" t="s">
        <v>186</v>
      </c>
      <c r="G1262" s="6">
        <v>0</v>
      </c>
      <c r="H1262" s="47" t="s">
        <v>2623</v>
      </c>
      <c r="I1262" s="122" t="s">
        <v>2624</v>
      </c>
    </row>
    <row r="1263" spans="1:9" x14ac:dyDescent="0.2">
      <c r="A1263" s="6">
        <v>1458</v>
      </c>
      <c r="B1263" s="6" t="s">
        <v>2612</v>
      </c>
      <c r="C1263" s="6">
        <v>250</v>
      </c>
      <c r="D1263" s="6">
        <v>1</v>
      </c>
      <c r="E1263" s="6" t="s">
        <v>186</v>
      </c>
      <c r="F1263" s="6" t="s">
        <v>186</v>
      </c>
      <c r="G1263" s="6">
        <v>0</v>
      </c>
      <c r="H1263" s="47" t="s">
        <v>2625</v>
      </c>
      <c r="I1263" s="122" t="s">
        <v>2626</v>
      </c>
    </row>
    <row r="1264" spans="1:9" x14ac:dyDescent="0.2">
      <c r="A1264" s="6">
        <v>1459</v>
      </c>
      <c r="B1264" s="6" t="s">
        <v>2612</v>
      </c>
      <c r="C1264" s="6">
        <v>310</v>
      </c>
      <c r="D1264" s="6">
        <v>1</v>
      </c>
      <c r="E1264" s="6" t="s">
        <v>186</v>
      </c>
      <c r="F1264" s="6" t="s">
        <v>186</v>
      </c>
      <c r="G1264" s="6">
        <v>0</v>
      </c>
      <c r="H1264" s="47" t="s">
        <v>2627</v>
      </c>
      <c r="I1264" s="122" t="s">
        <v>2628</v>
      </c>
    </row>
    <row r="1265" spans="1:9" x14ac:dyDescent="0.2">
      <c r="A1265" s="6">
        <v>1460</v>
      </c>
      <c r="B1265" s="6" t="s">
        <v>2612</v>
      </c>
      <c r="C1265" s="6">
        <v>360</v>
      </c>
      <c r="D1265" s="6">
        <v>1</v>
      </c>
      <c r="E1265" s="6" t="s">
        <v>186</v>
      </c>
      <c r="F1265" s="6" t="s">
        <v>186</v>
      </c>
      <c r="G1265" s="6">
        <v>0</v>
      </c>
      <c r="H1265" s="47" t="s">
        <v>2629</v>
      </c>
      <c r="I1265" s="122" t="s">
        <v>2630</v>
      </c>
    </row>
    <row r="1266" spans="1:9" x14ac:dyDescent="0.2">
      <c r="A1266" s="6">
        <v>1461</v>
      </c>
      <c r="B1266" s="6" t="s">
        <v>2612</v>
      </c>
      <c r="C1266" s="6">
        <v>400</v>
      </c>
      <c r="D1266" s="6">
        <v>1</v>
      </c>
      <c r="E1266" s="6" t="s">
        <v>186</v>
      </c>
      <c r="F1266" s="6" t="s">
        <v>186</v>
      </c>
      <c r="G1266" s="6">
        <v>0</v>
      </c>
      <c r="H1266" s="47" t="s">
        <v>2631</v>
      </c>
      <c r="I1266" s="122" t="s">
        <v>2632</v>
      </c>
    </row>
    <row r="1267" spans="1:9" x14ac:dyDescent="0.2">
      <c r="A1267" s="6">
        <v>1462</v>
      </c>
      <c r="B1267" s="6" t="s">
        <v>2612</v>
      </c>
      <c r="C1267" s="6">
        <v>1000</v>
      </c>
      <c r="D1267" s="6">
        <v>1</v>
      </c>
      <c r="E1267" s="6" t="s">
        <v>186</v>
      </c>
      <c r="F1267" s="6" t="s">
        <v>186</v>
      </c>
      <c r="G1267" s="6">
        <v>0</v>
      </c>
      <c r="H1267" s="47" t="s">
        <v>2633</v>
      </c>
      <c r="I1267" s="122" t="s">
        <v>2634</v>
      </c>
    </row>
    <row r="1268" spans="1:9" x14ac:dyDescent="0.2">
      <c r="A1268" s="6">
        <v>1463</v>
      </c>
      <c r="B1268" s="6" t="s">
        <v>2635</v>
      </c>
      <c r="C1268" s="6">
        <v>20</v>
      </c>
      <c r="D1268" s="6">
        <v>1</v>
      </c>
      <c r="E1268" s="6" t="s">
        <v>186</v>
      </c>
      <c r="F1268" s="6" t="s">
        <v>186</v>
      </c>
      <c r="G1268" s="6" t="s">
        <v>187</v>
      </c>
      <c r="H1268" s="47" t="s">
        <v>2636</v>
      </c>
      <c r="I1268" s="122" t="s">
        <v>2637</v>
      </c>
    </row>
    <row r="1269" spans="1:9" x14ac:dyDescent="0.2">
      <c r="A1269" s="6">
        <v>1464</v>
      </c>
      <c r="B1269" s="6" t="s">
        <v>2635</v>
      </c>
      <c r="C1269" s="6">
        <v>22</v>
      </c>
      <c r="D1269" s="6">
        <v>1</v>
      </c>
      <c r="E1269" s="6" t="s">
        <v>186</v>
      </c>
      <c r="F1269" s="6" t="s">
        <v>186</v>
      </c>
      <c r="G1269" s="6" t="s">
        <v>187</v>
      </c>
      <c r="H1269" s="47" t="s">
        <v>2638</v>
      </c>
      <c r="I1269" s="122" t="s">
        <v>2639</v>
      </c>
    </row>
    <row r="1270" spans="1:9" x14ac:dyDescent="0.2">
      <c r="A1270" s="6">
        <v>1465</v>
      </c>
      <c r="B1270" s="6" t="s">
        <v>2635</v>
      </c>
      <c r="C1270" s="6">
        <v>32</v>
      </c>
      <c r="D1270" s="6">
        <v>1</v>
      </c>
      <c r="E1270" s="6" t="s">
        <v>186</v>
      </c>
      <c r="F1270" s="6" t="s">
        <v>186</v>
      </c>
      <c r="G1270" s="6" t="s">
        <v>2640</v>
      </c>
      <c r="H1270" s="47" t="s">
        <v>2641</v>
      </c>
      <c r="I1270" s="122" t="s">
        <v>2642</v>
      </c>
    </row>
    <row r="1271" spans="1:9" x14ac:dyDescent="0.2">
      <c r="A1271" s="6">
        <v>1466</v>
      </c>
      <c r="B1271" s="6" t="s">
        <v>2635</v>
      </c>
      <c r="C1271" s="6">
        <v>39</v>
      </c>
      <c r="D1271" s="6">
        <v>1</v>
      </c>
      <c r="E1271" s="6" t="s">
        <v>186</v>
      </c>
      <c r="F1271" s="6" t="s">
        <v>186</v>
      </c>
      <c r="G1271" s="6" t="s">
        <v>2640</v>
      </c>
      <c r="H1271" s="47" t="s">
        <v>2643</v>
      </c>
      <c r="I1271" s="122" t="s">
        <v>2644</v>
      </c>
    </row>
    <row r="1272" spans="1:9" x14ac:dyDescent="0.2">
      <c r="A1272" s="6">
        <v>1467</v>
      </c>
      <c r="B1272" s="6" t="s">
        <v>2635</v>
      </c>
      <c r="C1272" s="6">
        <v>39</v>
      </c>
      <c r="D1272" s="6">
        <v>1</v>
      </c>
      <c r="E1272" s="6" t="s">
        <v>186</v>
      </c>
      <c r="F1272" s="6" t="s">
        <v>186</v>
      </c>
      <c r="G1272" s="6" t="s">
        <v>187</v>
      </c>
      <c r="H1272" s="47" t="s">
        <v>2645</v>
      </c>
      <c r="I1272" s="122" t="s">
        <v>2646</v>
      </c>
    </row>
    <row r="1273" spans="1:9" x14ac:dyDescent="0.2">
      <c r="A1273" s="6">
        <v>1468</v>
      </c>
      <c r="B1273" s="6" t="s">
        <v>2635</v>
      </c>
      <c r="C1273" s="6">
        <v>50</v>
      </c>
      <c r="D1273" s="6">
        <v>1</v>
      </c>
      <c r="E1273" s="6" t="s">
        <v>186</v>
      </c>
      <c r="F1273" s="6" t="s">
        <v>186</v>
      </c>
      <c r="G1273" s="6" t="s">
        <v>2640</v>
      </c>
      <c r="H1273" s="47" t="s">
        <v>2647</v>
      </c>
      <c r="I1273" s="122" t="s">
        <v>2648</v>
      </c>
    </row>
    <row r="1274" spans="1:9" x14ac:dyDescent="0.2">
      <c r="A1274" s="6">
        <v>1469</v>
      </c>
      <c r="B1274" s="6" t="s">
        <v>2635</v>
      </c>
      <c r="C1274" s="6">
        <v>50</v>
      </c>
      <c r="D1274" s="6">
        <v>1</v>
      </c>
      <c r="E1274" s="6" t="s">
        <v>186</v>
      </c>
      <c r="F1274" s="6" t="s">
        <v>186</v>
      </c>
      <c r="G1274" s="6" t="s">
        <v>187</v>
      </c>
      <c r="H1274" s="47" t="s">
        <v>2649</v>
      </c>
      <c r="I1274" s="122" t="s">
        <v>2650</v>
      </c>
    </row>
    <row r="1275" spans="1:9" x14ac:dyDescent="0.2">
      <c r="A1275" s="6">
        <v>1470</v>
      </c>
      <c r="B1275" s="6" t="s">
        <v>2635</v>
      </c>
      <c r="C1275" s="6">
        <v>70</v>
      </c>
      <c r="D1275" s="6">
        <v>1</v>
      </c>
      <c r="E1275" s="6" t="s">
        <v>186</v>
      </c>
      <c r="F1275" s="6" t="s">
        <v>186</v>
      </c>
      <c r="G1275" s="6" t="s">
        <v>2640</v>
      </c>
      <c r="H1275" s="47" t="s">
        <v>2651</v>
      </c>
      <c r="I1275" s="122" t="s">
        <v>2652</v>
      </c>
    </row>
    <row r="1276" spans="1:9" x14ac:dyDescent="0.2">
      <c r="A1276" s="6">
        <v>1471</v>
      </c>
      <c r="B1276" s="6" t="s">
        <v>2635</v>
      </c>
      <c r="C1276" s="6">
        <v>70</v>
      </c>
      <c r="D1276" s="6">
        <v>1</v>
      </c>
      <c r="E1276" s="6" t="s">
        <v>186</v>
      </c>
      <c r="F1276" s="6" t="s">
        <v>186</v>
      </c>
      <c r="G1276" s="6" t="s">
        <v>187</v>
      </c>
      <c r="H1276" s="47" t="s">
        <v>2653</v>
      </c>
      <c r="I1276" s="122" t="s">
        <v>2654</v>
      </c>
    </row>
    <row r="1277" spans="1:9" x14ac:dyDescent="0.2">
      <c r="A1277" s="6">
        <v>1472</v>
      </c>
      <c r="B1277" s="6" t="s">
        <v>2635</v>
      </c>
      <c r="C1277" s="6">
        <v>100</v>
      </c>
      <c r="D1277" s="6">
        <v>1</v>
      </c>
      <c r="E1277" s="6" t="s">
        <v>186</v>
      </c>
      <c r="F1277" s="6" t="s">
        <v>186</v>
      </c>
      <c r="G1277" s="6" t="s">
        <v>2640</v>
      </c>
      <c r="H1277" s="47" t="s">
        <v>2655</v>
      </c>
      <c r="I1277" s="122" t="s">
        <v>2656</v>
      </c>
    </row>
    <row r="1278" spans="1:9" x14ac:dyDescent="0.2">
      <c r="A1278" s="6">
        <v>1473</v>
      </c>
      <c r="B1278" s="6" t="s">
        <v>2635</v>
      </c>
      <c r="C1278" s="6">
        <v>100</v>
      </c>
      <c r="D1278" s="6">
        <v>1</v>
      </c>
      <c r="E1278" s="6" t="s">
        <v>186</v>
      </c>
      <c r="F1278" s="6" t="s">
        <v>186</v>
      </c>
      <c r="G1278" s="6" t="s">
        <v>187</v>
      </c>
      <c r="H1278" s="47" t="s">
        <v>2657</v>
      </c>
      <c r="I1278" s="122" t="s">
        <v>2658</v>
      </c>
    </row>
    <row r="1279" spans="1:9" x14ac:dyDescent="0.2">
      <c r="A1279" s="6">
        <v>1474</v>
      </c>
      <c r="B1279" s="6" t="s">
        <v>2635</v>
      </c>
      <c r="C1279" s="6">
        <v>125</v>
      </c>
      <c r="D1279" s="6">
        <v>1</v>
      </c>
      <c r="E1279" s="6" t="s">
        <v>186</v>
      </c>
      <c r="F1279" s="6" t="s">
        <v>186</v>
      </c>
      <c r="G1279" s="6" t="s">
        <v>2640</v>
      </c>
      <c r="H1279" s="47" t="s">
        <v>2659</v>
      </c>
      <c r="I1279" s="122" t="s">
        <v>2660</v>
      </c>
    </row>
    <row r="1280" spans="1:9" x14ac:dyDescent="0.2">
      <c r="A1280" s="6">
        <v>1475</v>
      </c>
      <c r="B1280" s="6" t="s">
        <v>2635</v>
      </c>
      <c r="C1280" s="6">
        <v>150</v>
      </c>
      <c r="D1280" s="6">
        <v>1</v>
      </c>
      <c r="E1280" s="6" t="s">
        <v>186</v>
      </c>
      <c r="F1280" s="6" t="s">
        <v>186</v>
      </c>
      <c r="G1280" s="6" t="s">
        <v>2640</v>
      </c>
      <c r="H1280" s="47" t="s">
        <v>2661</v>
      </c>
      <c r="I1280" s="122" t="s">
        <v>2662</v>
      </c>
    </row>
    <row r="1281" spans="1:9" x14ac:dyDescent="0.2">
      <c r="A1281" s="6">
        <v>1476</v>
      </c>
      <c r="B1281" s="6" t="s">
        <v>2635</v>
      </c>
      <c r="C1281" s="6">
        <v>150</v>
      </c>
      <c r="D1281" s="6">
        <v>1</v>
      </c>
      <c r="E1281" s="6" t="s">
        <v>186</v>
      </c>
      <c r="F1281" s="6" t="s">
        <v>186</v>
      </c>
      <c r="G1281" s="6" t="s">
        <v>187</v>
      </c>
      <c r="H1281" s="47" t="s">
        <v>2663</v>
      </c>
      <c r="I1281" s="122" t="s">
        <v>2664</v>
      </c>
    </row>
    <row r="1282" spans="1:9" x14ac:dyDescent="0.2">
      <c r="A1282" s="6">
        <v>1477</v>
      </c>
      <c r="B1282" s="6" t="s">
        <v>2635</v>
      </c>
      <c r="C1282" s="6">
        <v>175</v>
      </c>
      <c r="D1282" s="6">
        <v>1</v>
      </c>
      <c r="E1282" s="6" t="s">
        <v>186</v>
      </c>
      <c r="F1282" s="6" t="s">
        <v>186</v>
      </c>
      <c r="G1282" s="6" t="s">
        <v>2640</v>
      </c>
      <c r="H1282" s="47" t="s">
        <v>2665</v>
      </c>
      <c r="I1282" s="122" t="s">
        <v>2666</v>
      </c>
    </row>
    <row r="1283" spans="1:9" x14ac:dyDescent="0.2">
      <c r="A1283" s="6">
        <v>1478</v>
      </c>
      <c r="B1283" s="6" t="s">
        <v>2635</v>
      </c>
      <c r="C1283" s="6">
        <v>175</v>
      </c>
      <c r="D1283" s="6">
        <v>1</v>
      </c>
      <c r="E1283" s="6" t="s">
        <v>186</v>
      </c>
      <c r="F1283" s="6" t="s">
        <v>186</v>
      </c>
      <c r="G1283" s="6" t="s">
        <v>187</v>
      </c>
      <c r="H1283" s="47" t="s">
        <v>2667</v>
      </c>
      <c r="I1283" s="122" t="s">
        <v>2668</v>
      </c>
    </row>
    <row r="1284" spans="1:9" x14ac:dyDescent="0.2">
      <c r="A1284" s="6">
        <v>1479</v>
      </c>
      <c r="B1284" s="6" t="s">
        <v>2635</v>
      </c>
      <c r="C1284" s="6">
        <v>200</v>
      </c>
      <c r="D1284" s="6">
        <v>1</v>
      </c>
      <c r="E1284" s="6" t="s">
        <v>186</v>
      </c>
      <c r="F1284" s="6" t="s">
        <v>186</v>
      </c>
      <c r="G1284" s="6" t="s">
        <v>2640</v>
      </c>
      <c r="H1284" s="47" t="s">
        <v>2669</v>
      </c>
      <c r="I1284" s="122" t="s">
        <v>2670</v>
      </c>
    </row>
    <row r="1285" spans="1:9" x14ac:dyDescent="0.2">
      <c r="A1285" s="6">
        <v>1480</v>
      </c>
      <c r="B1285" s="6" t="s">
        <v>2635</v>
      </c>
      <c r="C1285" s="6">
        <v>200</v>
      </c>
      <c r="D1285" s="6">
        <v>1</v>
      </c>
      <c r="E1285" s="6" t="s">
        <v>186</v>
      </c>
      <c r="F1285" s="6" t="s">
        <v>186</v>
      </c>
      <c r="G1285" s="6" t="s">
        <v>187</v>
      </c>
      <c r="H1285" s="47" t="s">
        <v>2671</v>
      </c>
      <c r="I1285" s="122" t="s">
        <v>2672</v>
      </c>
    </row>
    <row r="1286" spans="1:9" x14ac:dyDescent="0.2">
      <c r="A1286" s="6">
        <v>1481</v>
      </c>
      <c r="B1286" s="6" t="s">
        <v>2635</v>
      </c>
      <c r="C1286" s="6">
        <v>250</v>
      </c>
      <c r="D1286" s="6">
        <v>1</v>
      </c>
      <c r="E1286" s="6" t="s">
        <v>186</v>
      </c>
      <c r="F1286" s="6" t="s">
        <v>186</v>
      </c>
      <c r="G1286" s="6" t="s">
        <v>2640</v>
      </c>
      <c r="H1286" s="47" t="s">
        <v>2673</v>
      </c>
      <c r="I1286" s="122" t="s">
        <v>2674</v>
      </c>
    </row>
    <row r="1287" spans="1:9" x14ac:dyDescent="0.2">
      <c r="A1287" s="6">
        <v>1482</v>
      </c>
      <c r="B1287" s="6" t="s">
        <v>2635</v>
      </c>
      <c r="C1287" s="6">
        <v>250</v>
      </c>
      <c r="D1287" s="6">
        <v>1</v>
      </c>
      <c r="E1287" s="6" t="s">
        <v>186</v>
      </c>
      <c r="F1287" s="6" t="s">
        <v>186</v>
      </c>
      <c r="G1287" s="6" t="s">
        <v>187</v>
      </c>
      <c r="H1287" s="47" t="s">
        <v>2675</v>
      </c>
      <c r="I1287" s="122" t="s">
        <v>2676</v>
      </c>
    </row>
    <row r="1288" spans="1:9" x14ac:dyDescent="0.2">
      <c r="A1288" s="6">
        <v>1483</v>
      </c>
      <c r="B1288" s="6" t="s">
        <v>2635</v>
      </c>
      <c r="C1288" s="6">
        <v>320</v>
      </c>
      <c r="D1288" s="6">
        <v>1</v>
      </c>
      <c r="E1288" s="6" t="s">
        <v>186</v>
      </c>
      <c r="F1288" s="6" t="s">
        <v>186</v>
      </c>
      <c r="G1288" s="6" t="s">
        <v>2640</v>
      </c>
      <c r="H1288" s="47" t="s">
        <v>2677</v>
      </c>
      <c r="I1288" s="122" t="s">
        <v>2678</v>
      </c>
    </row>
    <row r="1289" spans="1:9" x14ac:dyDescent="0.2">
      <c r="A1289" s="6">
        <v>1484</v>
      </c>
      <c r="B1289" s="6" t="s">
        <v>2635</v>
      </c>
      <c r="C1289" s="6">
        <v>320</v>
      </c>
      <c r="D1289" s="6">
        <v>1</v>
      </c>
      <c r="E1289" s="6" t="s">
        <v>186</v>
      </c>
      <c r="F1289" s="6" t="s">
        <v>186</v>
      </c>
      <c r="G1289" s="6" t="s">
        <v>187</v>
      </c>
      <c r="H1289" s="47" t="s">
        <v>2679</v>
      </c>
      <c r="I1289" s="122" t="s">
        <v>2680</v>
      </c>
    </row>
    <row r="1290" spans="1:9" x14ac:dyDescent="0.2">
      <c r="A1290" s="6">
        <v>1485</v>
      </c>
      <c r="B1290" s="6" t="s">
        <v>2635</v>
      </c>
      <c r="C1290" s="6">
        <v>350</v>
      </c>
      <c r="D1290" s="6">
        <v>1</v>
      </c>
      <c r="E1290" s="6" t="s">
        <v>186</v>
      </c>
      <c r="F1290" s="6" t="s">
        <v>186</v>
      </c>
      <c r="G1290" s="6" t="s">
        <v>2640</v>
      </c>
      <c r="H1290" s="47" t="s">
        <v>2681</v>
      </c>
      <c r="I1290" s="122" t="s">
        <v>2682</v>
      </c>
    </row>
    <row r="1291" spans="1:9" x14ac:dyDescent="0.2">
      <c r="A1291" s="6">
        <v>1486</v>
      </c>
      <c r="B1291" s="6" t="s">
        <v>2635</v>
      </c>
      <c r="C1291" s="6">
        <v>350</v>
      </c>
      <c r="D1291" s="6">
        <v>1</v>
      </c>
      <c r="E1291" s="6" t="s">
        <v>186</v>
      </c>
      <c r="F1291" s="6" t="s">
        <v>186</v>
      </c>
      <c r="G1291" s="6" t="s">
        <v>187</v>
      </c>
      <c r="H1291" s="47" t="s">
        <v>2683</v>
      </c>
      <c r="I1291" s="122" t="s">
        <v>2684</v>
      </c>
    </row>
    <row r="1292" spans="1:9" x14ac:dyDescent="0.2">
      <c r="A1292" s="6">
        <v>1487</v>
      </c>
      <c r="B1292" s="6" t="s">
        <v>2635</v>
      </c>
      <c r="C1292" s="6">
        <v>360</v>
      </c>
      <c r="D1292" s="6">
        <v>1</v>
      </c>
      <c r="E1292" s="6" t="s">
        <v>186</v>
      </c>
      <c r="F1292" s="6" t="s">
        <v>186</v>
      </c>
      <c r="G1292" s="6" t="s">
        <v>2640</v>
      </c>
      <c r="H1292" s="47" t="s">
        <v>2685</v>
      </c>
      <c r="I1292" s="122" t="s">
        <v>2686</v>
      </c>
    </row>
    <row r="1293" spans="1:9" x14ac:dyDescent="0.2">
      <c r="A1293" s="6">
        <v>1488</v>
      </c>
      <c r="B1293" s="6" t="s">
        <v>2635</v>
      </c>
      <c r="C1293" s="6">
        <v>400</v>
      </c>
      <c r="D1293" s="6">
        <v>1</v>
      </c>
      <c r="E1293" s="6" t="s">
        <v>186</v>
      </c>
      <c r="F1293" s="6" t="s">
        <v>186</v>
      </c>
      <c r="G1293" s="6" t="s">
        <v>2640</v>
      </c>
      <c r="H1293" s="47" t="s">
        <v>2687</v>
      </c>
      <c r="I1293" s="122" t="s">
        <v>2688</v>
      </c>
    </row>
    <row r="1294" spans="1:9" x14ac:dyDescent="0.2">
      <c r="A1294" s="6">
        <v>1489</v>
      </c>
      <c r="B1294" s="6" t="s">
        <v>2635</v>
      </c>
      <c r="C1294" s="6">
        <v>400</v>
      </c>
      <c r="D1294" s="6">
        <v>1</v>
      </c>
      <c r="E1294" s="6" t="s">
        <v>186</v>
      </c>
      <c r="F1294" s="6" t="s">
        <v>186</v>
      </c>
      <c r="G1294" s="6" t="s">
        <v>187</v>
      </c>
      <c r="H1294" s="47" t="s">
        <v>2689</v>
      </c>
      <c r="I1294" s="122" t="s">
        <v>2690</v>
      </c>
    </row>
    <row r="1295" spans="1:9" x14ac:dyDescent="0.2">
      <c r="A1295" s="6">
        <v>1490</v>
      </c>
      <c r="B1295" s="6" t="s">
        <v>2635</v>
      </c>
      <c r="C1295" s="6">
        <v>450</v>
      </c>
      <c r="D1295" s="6">
        <v>1</v>
      </c>
      <c r="E1295" s="6" t="s">
        <v>186</v>
      </c>
      <c r="F1295" s="6" t="s">
        <v>186</v>
      </c>
      <c r="G1295" s="6" t="s">
        <v>2640</v>
      </c>
      <c r="H1295" s="47" t="s">
        <v>2691</v>
      </c>
      <c r="I1295" s="122" t="s">
        <v>2692</v>
      </c>
    </row>
    <row r="1296" spans="1:9" x14ac:dyDescent="0.2">
      <c r="A1296" s="6">
        <v>1491</v>
      </c>
      <c r="B1296" s="6" t="s">
        <v>2635</v>
      </c>
      <c r="C1296" s="6">
        <v>450</v>
      </c>
      <c r="D1296" s="6">
        <v>1</v>
      </c>
      <c r="E1296" s="6" t="s">
        <v>186</v>
      </c>
      <c r="F1296" s="6" t="s">
        <v>186</v>
      </c>
      <c r="G1296" s="6" t="s">
        <v>187</v>
      </c>
      <c r="H1296" s="47" t="s">
        <v>2693</v>
      </c>
      <c r="I1296" s="122" t="s">
        <v>2694</v>
      </c>
    </row>
    <row r="1297" spans="1:9" x14ac:dyDescent="0.2">
      <c r="A1297" s="6">
        <v>1492</v>
      </c>
      <c r="B1297" s="6" t="s">
        <v>2635</v>
      </c>
      <c r="C1297" s="6">
        <v>575</v>
      </c>
      <c r="D1297" s="6">
        <v>1</v>
      </c>
      <c r="E1297" s="6" t="s">
        <v>186</v>
      </c>
      <c r="F1297" s="6" t="s">
        <v>186</v>
      </c>
      <c r="G1297" s="6" t="s">
        <v>2640</v>
      </c>
      <c r="H1297" s="47" t="s">
        <v>2695</v>
      </c>
      <c r="I1297" s="122" t="s">
        <v>2696</v>
      </c>
    </row>
    <row r="1298" spans="1:9" x14ac:dyDescent="0.2">
      <c r="A1298" s="6">
        <v>1493</v>
      </c>
      <c r="B1298" s="6" t="s">
        <v>2635</v>
      </c>
      <c r="C1298" s="6">
        <v>750</v>
      </c>
      <c r="D1298" s="6">
        <v>1</v>
      </c>
      <c r="E1298" s="6" t="s">
        <v>186</v>
      </c>
      <c r="F1298" s="6" t="s">
        <v>186</v>
      </c>
      <c r="G1298" s="6" t="s">
        <v>2640</v>
      </c>
      <c r="H1298" s="47" t="s">
        <v>2697</v>
      </c>
      <c r="I1298" s="122" t="s">
        <v>2698</v>
      </c>
    </row>
    <row r="1299" spans="1:9" x14ac:dyDescent="0.2">
      <c r="A1299" s="6">
        <v>1494</v>
      </c>
      <c r="B1299" s="6" t="s">
        <v>2635</v>
      </c>
      <c r="C1299" s="6">
        <v>775</v>
      </c>
      <c r="D1299" s="6">
        <v>1</v>
      </c>
      <c r="E1299" s="6" t="s">
        <v>186</v>
      </c>
      <c r="F1299" s="6" t="s">
        <v>186</v>
      </c>
      <c r="G1299" s="6" t="s">
        <v>2640</v>
      </c>
      <c r="H1299" s="47" t="s">
        <v>2699</v>
      </c>
      <c r="I1299" s="122" t="s">
        <v>2700</v>
      </c>
    </row>
    <row r="1300" spans="1:9" x14ac:dyDescent="0.2">
      <c r="A1300" s="6">
        <v>1495</v>
      </c>
      <c r="B1300" s="6" t="s">
        <v>2635</v>
      </c>
      <c r="C1300" s="6">
        <v>875</v>
      </c>
      <c r="D1300" s="6">
        <v>1</v>
      </c>
      <c r="E1300" s="6" t="s">
        <v>186</v>
      </c>
      <c r="F1300" s="6" t="s">
        <v>186</v>
      </c>
      <c r="G1300" s="6" t="s">
        <v>2640</v>
      </c>
      <c r="H1300" s="47" t="s">
        <v>2701</v>
      </c>
      <c r="I1300" s="122" t="s">
        <v>2702</v>
      </c>
    </row>
    <row r="1301" spans="1:9" x14ac:dyDescent="0.2">
      <c r="A1301" s="6">
        <v>1496</v>
      </c>
      <c r="B1301" s="6" t="s">
        <v>2635</v>
      </c>
      <c r="C1301" s="6">
        <v>1000</v>
      </c>
      <c r="D1301" s="6">
        <v>1</v>
      </c>
      <c r="E1301" s="6" t="s">
        <v>186</v>
      </c>
      <c r="F1301" s="6" t="s">
        <v>186</v>
      </c>
      <c r="G1301" s="6" t="s">
        <v>2640</v>
      </c>
      <c r="H1301" s="47" t="s">
        <v>2703</v>
      </c>
      <c r="I1301" s="122" t="s">
        <v>2704</v>
      </c>
    </row>
    <row r="1302" spans="1:9" x14ac:dyDescent="0.2">
      <c r="A1302" s="6">
        <v>1497</v>
      </c>
      <c r="B1302" s="6" t="s">
        <v>2635</v>
      </c>
      <c r="C1302" s="6">
        <v>1000</v>
      </c>
      <c r="D1302" s="6">
        <v>1</v>
      </c>
      <c r="E1302" s="6" t="s">
        <v>186</v>
      </c>
      <c r="F1302" s="6" t="s">
        <v>186</v>
      </c>
      <c r="G1302" s="6" t="s">
        <v>187</v>
      </c>
      <c r="H1302" s="47" t="s">
        <v>2705</v>
      </c>
      <c r="I1302" s="122" t="s">
        <v>2706</v>
      </c>
    </row>
    <row r="1303" spans="1:9" x14ac:dyDescent="0.2">
      <c r="A1303" s="6">
        <v>1498</v>
      </c>
      <c r="B1303" s="6" t="s">
        <v>2635</v>
      </c>
      <c r="C1303" s="6">
        <v>1500</v>
      </c>
      <c r="D1303" s="6">
        <v>1</v>
      </c>
      <c r="E1303" s="6" t="s">
        <v>186</v>
      </c>
      <c r="F1303" s="6" t="s">
        <v>186</v>
      </c>
      <c r="G1303" s="6" t="s">
        <v>2640</v>
      </c>
      <c r="H1303" s="47" t="s">
        <v>2707</v>
      </c>
      <c r="I1303" s="122" t="s">
        <v>2708</v>
      </c>
    </row>
    <row r="1304" spans="1:9" x14ac:dyDescent="0.2">
      <c r="A1304" s="6">
        <v>1499</v>
      </c>
      <c r="B1304" s="6" t="s">
        <v>2635</v>
      </c>
      <c r="C1304" s="6">
        <v>1650</v>
      </c>
      <c r="D1304" s="6">
        <v>1</v>
      </c>
      <c r="E1304" s="6" t="s">
        <v>186</v>
      </c>
      <c r="F1304" s="6" t="s">
        <v>186</v>
      </c>
      <c r="G1304" s="6" t="s">
        <v>2640</v>
      </c>
      <c r="H1304" s="47" t="s">
        <v>2709</v>
      </c>
      <c r="I1304" s="122" t="s">
        <v>2710</v>
      </c>
    </row>
    <row r="1305" spans="1:9" x14ac:dyDescent="0.2">
      <c r="A1305" s="6">
        <v>1500</v>
      </c>
      <c r="B1305" s="6" t="s">
        <v>2635</v>
      </c>
      <c r="C1305" s="6">
        <v>2000</v>
      </c>
      <c r="D1305" s="6">
        <v>1</v>
      </c>
      <c r="E1305" s="6" t="s">
        <v>186</v>
      </c>
      <c r="F1305" s="6" t="s">
        <v>186</v>
      </c>
      <c r="G1305" s="6" t="s">
        <v>2640</v>
      </c>
      <c r="H1305" s="47" t="s">
        <v>2711</v>
      </c>
      <c r="I1305" s="122" t="s">
        <v>2712</v>
      </c>
    </row>
    <row r="1306" spans="1:9" x14ac:dyDescent="0.2">
      <c r="A1306" s="6">
        <v>1501</v>
      </c>
      <c r="B1306" s="6" t="s">
        <v>2713</v>
      </c>
      <c r="C1306" s="6">
        <v>40</v>
      </c>
      <c r="D1306" s="6">
        <v>1</v>
      </c>
      <c r="E1306" s="6" t="s">
        <v>186</v>
      </c>
      <c r="F1306" s="6" t="s">
        <v>186</v>
      </c>
      <c r="G1306" s="6">
        <v>0</v>
      </c>
      <c r="H1306" s="47" t="s">
        <v>2714</v>
      </c>
      <c r="I1306" s="122" t="s">
        <v>2715</v>
      </c>
    </row>
    <row r="1307" spans="1:9" x14ac:dyDescent="0.2">
      <c r="A1307" s="6">
        <v>1502</v>
      </c>
      <c r="B1307" s="6" t="s">
        <v>2713</v>
      </c>
      <c r="C1307" s="6">
        <v>50</v>
      </c>
      <c r="D1307" s="6">
        <v>1</v>
      </c>
      <c r="E1307" s="6" t="s">
        <v>186</v>
      </c>
      <c r="F1307" s="6" t="s">
        <v>186</v>
      </c>
      <c r="G1307" s="6">
        <v>0</v>
      </c>
      <c r="H1307" s="47" t="s">
        <v>2716</v>
      </c>
      <c r="I1307" s="122" t="s">
        <v>2717</v>
      </c>
    </row>
    <row r="1308" spans="1:9" x14ac:dyDescent="0.2">
      <c r="A1308" s="6">
        <v>1503</v>
      </c>
      <c r="B1308" s="6" t="s">
        <v>2713</v>
      </c>
      <c r="C1308" s="6">
        <v>75</v>
      </c>
      <c r="D1308" s="6">
        <v>1</v>
      </c>
      <c r="E1308" s="6" t="s">
        <v>186</v>
      </c>
      <c r="F1308" s="6" t="s">
        <v>186</v>
      </c>
      <c r="G1308" s="6">
        <v>0</v>
      </c>
      <c r="H1308" s="47" t="s">
        <v>2718</v>
      </c>
      <c r="I1308" s="122" t="s">
        <v>2719</v>
      </c>
    </row>
    <row r="1309" spans="1:9" x14ac:dyDescent="0.2">
      <c r="A1309" s="6">
        <v>1504</v>
      </c>
      <c r="B1309" s="6" t="s">
        <v>2713</v>
      </c>
      <c r="C1309" s="6">
        <v>100</v>
      </c>
      <c r="D1309" s="6">
        <v>1</v>
      </c>
      <c r="E1309" s="6" t="s">
        <v>186</v>
      </c>
      <c r="F1309" s="6" t="s">
        <v>186</v>
      </c>
      <c r="G1309" s="6">
        <v>0</v>
      </c>
      <c r="H1309" s="47" t="s">
        <v>2720</v>
      </c>
      <c r="I1309" s="122" t="s">
        <v>2721</v>
      </c>
    </row>
    <row r="1310" spans="1:9" x14ac:dyDescent="0.2">
      <c r="A1310" s="6">
        <v>1505</v>
      </c>
      <c r="B1310" s="6" t="s">
        <v>2713</v>
      </c>
      <c r="C1310" s="6">
        <v>160</v>
      </c>
      <c r="D1310" s="6">
        <v>1</v>
      </c>
      <c r="E1310" s="6" t="s">
        <v>186</v>
      </c>
      <c r="F1310" s="6" t="s">
        <v>186</v>
      </c>
      <c r="G1310" s="6">
        <v>0</v>
      </c>
      <c r="H1310" s="47" t="s">
        <v>2722</v>
      </c>
      <c r="I1310" s="122" t="s">
        <v>2723</v>
      </c>
    </row>
    <row r="1311" spans="1:9" x14ac:dyDescent="0.2">
      <c r="A1311" s="6">
        <v>1506</v>
      </c>
      <c r="B1311" s="6" t="s">
        <v>2713</v>
      </c>
      <c r="C1311" s="6">
        <v>175</v>
      </c>
      <c r="D1311" s="6">
        <v>1</v>
      </c>
      <c r="E1311" s="6" t="s">
        <v>186</v>
      </c>
      <c r="F1311" s="6" t="s">
        <v>186</v>
      </c>
      <c r="G1311" s="6">
        <v>0</v>
      </c>
      <c r="H1311" s="47" t="s">
        <v>2724</v>
      </c>
      <c r="I1311" s="122" t="s">
        <v>2725</v>
      </c>
    </row>
    <row r="1312" spans="1:9" x14ac:dyDescent="0.2">
      <c r="A1312" s="6">
        <v>1507</v>
      </c>
      <c r="B1312" s="6" t="s">
        <v>2713</v>
      </c>
      <c r="C1312" s="6">
        <v>250</v>
      </c>
      <c r="D1312" s="6">
        <v>1</v>
      </c>
      <c r="E1312" s="6" t="s">
        <v>186</v>
      </c>
      <c r="F1312" s="6" t="s">
        <v>186</v>
      </c>
      <c r="G1312" s="6">
        <v>0</v>
      </c>
      <c r="H1312" s="47" t="s">
        <v>2726</v>
      </c>
      <c r="I1312" s="122" t="s">
        <v>2727</v>
      </c>
    </row>
    <row r="1313" spans="1:9" x14ac:dyDescent="0.2">
      <c r="A1313" s="6">
        <v>1508</v>
      </c>
      <c r="B1313" s="6" t="s">
        <v>2713</v>
      </c>
      <c r="C1313" s="6">
        <v>400</v>
      </c>
      <c r="D1313" s="6">
        <v>1</v>
      </c>
      <c r="E1313" s="6" t="s">
        <v>186</v>
      </c>
      <c r="F1313" s="6" t="s">
        <v>186</v>
      </c>
      <c r="G1313" s="6">
        <v>0</v>
      </c>
      <c r="H1313" s="47" t="s">
        <v>2728</v>
      </c>
      <c r="I1313" s="122" t="s">
        <v>2729</v>
      </c>
    </row>
    <row r="1314" spans="1:9" x14ac:dyDescent="0.2">
      <c r="A1314" s="6">
        <v>1509</v>
      </c>
      <c r="B1314" s="6" t="s">
        <v>2713</v>
      </c>
      <c r="C1314" s="6">
        <v>700</v>
      </c>
      <c r="D1314" s="6">
        <v>1</v>
      </c>
      <c r="E1314" s="6" t="s">
        <v>186</v>
      </c>
      <c r="F1314" s="6" t="s">
        <v>186</v>
      </c>
      <c r="G1314" s="6">
        <v>0</v>
      </c>
      <c r="H1314" s="47" t="s">
        <v>2730</v>
      </c>
      <c r="I1314" s="122" t="s">
        <v>2731</v>
      </c>
    </row>
    <row r="1315" spans="1:9" x14ac:dyDescent="0.2">
      <c r="A1315" s="6">
        <v>1510</v>
      </c>
      <c r="B1315" s="6" t="s">
        <v>2713</v>
      </c>
      <c r="C1315" s="6">
        <v>1000</v>
      </c>
      <c r="D1315" s="6">
        <v>1</v>
      </c>
      <c r="E1315" s="6" t="s">
        <v>186</v>
      </c>
      <c r="F1315" s="6" t="s">
        <v>186</v>
      </c>
      <c r="G1315" s="6">
        <v>0</v>
      </c>
      <c r="H1315" s="47" t="s">
        <v>2732</v>
      </c>
      <c r="I1315" s="122" t="s">
        <v>2733</v>
      </c>
    </row>
    <row r="1316" spans="1:9" x14ac:dyDescent="0.2">
      <c r="A1316" s="6">
        <v>1600</v>
      </c>
      <c r="B1316" s="6" t="s">
        <v>2734</v>
      </c>
      <c r="C1316" s="6">
        <v>32</v>
      </c>
      <c r="D1316" s="6">
        <v>1</v>
      </c>
      <c r="E1316" s="6">
        <v>48</v>
      </c>
      <c r="F1316" s="6" t="s">
        <v>1381</v>
      </c>
      <c r="G1316" s="6">
        <v>0</v>
      </c>
      <c r="H1316" s="47" t="s">
        <v>2735</v>
      </c>
      <c r="I1316" s="122" t="s">
        <v>2736</v>
      </c>
    </row>
    <row r="1317" spans="1:9" x14ac:dyDescent="0.2">
      <c r="A1317" s="6">
        <v>1601</v>
      </c>
      <c r="B1317" s="6" t="s">
        <v>2734</v>
      </c>
      <c r="C1317" s="6">
        <v>32</v>
      </c>
      <c r="D1317" s="6">
        <v>2</v>
      </c>
      <c r="E1317" s="6">
        <v>48</v>
      </c>
      <c r="F1317" s="6" t="s">
        <v>1381</v>
      </c>
      <c r="G1317" s="6">
        <v>0</v>
      </c>
      <c r="H1317" s="47" t="s">
        <v>2735</v>
      </c>
      <c r="I1317" s="122" t="s">
        <v>2737</v>
      </c>
    </row>
    <row r="1318" spans="1:9" x14ac:dyDescent="0.2">
      <c r="A1318" s="6">
        <v>1602</v>
      </c>
      <c r="B1318" s="6" t="s">
        <v>2734</v>
      </c>
      <c r="C1318" s="6">
        <v>32</v>
      </c>
      <c r="D1318" s="6">
        <v>3</v>
      </c>
      <c r="E1318" s="6">
        <v>48</v>
      </c>
      <c r="F1318" s="6" t="s">
        <v>1381</v>
      </c>
      <c r="G1318" s="6">
        <v>0</v>
      </c>
      <c r="H1318" s="47" t="s">
        <v>2735</v>
      </c>
      <c r="I1318" s="122" t="s">
        <v>2738</v>
      </c>
    </row>
    <row r="1319" spans="1:9" x14ac:dyDescent="0.2">
      <c r="A1319" s="6">
        <v>1603</v>
      </c>
      <c r="B1319" s="6" t="s">
        <v>2734</v>
      </c>
      <c r="C1319" s="6">
        <v>32</v>
      </c>
      <c r="D1319" s="6">
        <v>4</v>
      </c>
      <c r="E1319" s="6">
        <v>48</v>
      </c>
      <c r="F1319" s="6" t="s">
        <v>1381</v>
      </c>
      <c r="G1319" s="6">
        <v>0</v>
      </c>
      <c r="H1319" s="47" t="s">
        <v>2735</v>
      </c>
      <c r="I1319" s="122" t="s">
        <v>2739</v>
      </c>
    </row>
    <row r="1320" spans="1:9" x14ac:dyDescent="0.2">
      <c r="A1320" s="6">
        <v>1604</v>
      </c>
      <c r="B1320" s="6" t="s">
        <v>2734</v>
      </c>
      <c r="C1320" s="6">
        <v>32</v>
      </c>
      <c r="D1320" s="6">
        <v>6</v>
      </c>
      <c r="E1320" s="6">
        <v>48</v>
      </c>
      <c r="F1320" s="6" t="s">
        <v>1381</v>
      </c>
      <c r="G1320" s="6">
        <v>0</v>
      </c>
      <c r="H1320" s="47" t="s">
        <v>2735</v>
      </c>
      <c r="I1320" s="122" t="s">
        <v>2740</v>
      </c>
    </row>
    <row r="1321" spans="1:9" x14ac:dyDescent="0.2">
      <c r="A1321" s="6">
        <v>1605</v>
      </c>
      <c r="B1321" s="6" t="s">
        <v>2734</v>
      </c>
      <c r="C1321" s="6">
        <v>32</v>
      </c>
      <c r="D1321" s="6">
        <v>8</v>
      </c>
      <c r="E1321" s="6">
        <v>48</v>
      </c>
      <c r="F1321" s="6" t="s">
        <v>1381</v>
      </c>
      <c r="G1321" s="6">
        <v>0</v>
      </c>
      <c r="H1321" s="47" t="s">
        <v>2735</v>
      </c>
      <c r="I1321" s="122" t="s">
        <v>2741</v>
      </c>
    </row>
    <row r="1322" spans="1:9" x14ac:dyDescent="0.2">
      <c r="A1322" s="6">
        <v>1606</v>
      </c>
      <c r="B1322" s="6" t="s">
        <v>2734</v>
      </c>
      <c r="C1322" s="6">
        <v>59</v>
      </c>
      <c r="D1322" s="6">
        <v>1</v>
      </c>
      <c r="E1322" s="6">
        <v>96</v>
      </c>
      <c r="F1322" s="6" t="s">
        <v>1381</v>
      </c>
      <c r="G1322" s="6">
        <v>0</v>
      </c>
      <c r="H1322" s="47" t="s">
        <v>2735</v>
      </c>
      <c r="I1322" s="122" t="s">
        <v>2742</v>
      </c>
    </row>
    <row r="1323" spans="1:9" x14ac:dyDescent="0.2">
      <c r="A1323" s="6">
        <v>1607</v>
      </c>
      <c r="B1323" s="6" t="s">
        <v>2734</v>
      </c>
      <c r="C1323" s="6">
        <v>59</v>
      </c>
      <c r="D1323" s="6">
        <v>2</v>
      </c>
      <c r="E1323" s="6">
        <v>96</v>
      </c>
      <c r="F1323" s="6" t="s">
        <v>1381</v>
      </c>
      <c r="G1323" s="6">
        <v>0</v>
      </c>
      <c r="H1323" s="47" t="s">
        <v>2735</v>
      </c>
      <c r="I1323" s="122" t="s">
        <v>2743</v>
      </c>
    </row>
    <row r="1324" spans="1:9" x14ac:dyDescent="0.2">
      <c r="A1324" s="6">
        <v>1608</v>
      </c>
      <c r="B1324" s="6" t="s">
        <v>2734</v>
      </c>
      <c r="C1324" s="6">
        <v>59</v>
      </c>
      <c r="D1324" s="6">
        <v>3</v>
      </c>
      <c r="E1324" s="6">
        <v>96</v>
      </c>
      <c r="F1324" s="6" t="s">
        <v>1381</v>
      </c>
      <c r="G1324" s="6">
        <v>0</v>
      </c>
      <c r="H1324" s="47" t="s">
        <v>2735</v>
      </c>
      <c r="I1324" s="122" t="s">
        <v>2744</v>
      </c>
    </row>
    <row r="1325" spans="1:9" x14ac:dyDescent="0.2">
      <c r="A1325" s="6">
        <v>1609</v>
      </c>
      <c r="B1325" s="6" t="s">
        <v>2734</v>
      </c>
      <c r="C1325" s="6">
        <v>59</v>
      </c>
      <c r="D1325" s="6">
        <v>4</v>
      </c>
      <c r="E1325" s="6">
        <v>96</v>
      </c>
      <c r="F1325" s="6" t="s">
        <v>1381</v>
      </c>
      <c r="G1325" s="6">
        <v>0</v>
      </c>
      <c r="H1325" s="47" t="s">
        <v>2735</v>
      </c>
      <c r="I1325" s="122" t="s">
        <v>2745</v>
      </c>
    </row>
    <row r="1326" spans="1:9" x14ac:dyDescent="0.2">
      <c r="A1326" s="6">
        <v>1610</v>
      </c>
      <c r="B1326" s="6" t="s">
        <v>2734</v>
      </c>
      <c r="C1326" s="6">
        <v>59</v>
      </c>
      <c r="D1326" s="6">
        <v>6</v>
      </c>
      <c r="E1326" s="6">
        <v>96</v>
      </c>
      <c r="F1326" s="6" t="s">
        <v>1381</v>
      </c>
      <c r="G1326" s="6">
        <v>0</v>
      </c>
      <c r="H1326" s="47" t="s">
        <v>2735</v>
      </c>
      <c r="I1326" s="122" t="s">
        <v>2746</v>
      </c>
    </row>
    <row r="1327" spans="1:9" x14ac:dyDescent="0.2">
      <c r="A1327" s="6">
        <v>1611</v>
      </c>
      <c r="B1327" s="6" t="s">
        <v>2734</v>
      </c>
      <c r="C1327" s="6">
        <v>59</v>
      </c>
      <c r="D1327" s="6">
        <v>8</v>
      </c>
      <c r="E1327" s="6">
        <v>96</v>
      </c>
      <c r="F1327" s="6" t="s">
        <v>1381</v>
      </c>
      <c r="G1327" s="6">
        <v>0</v>
      </c>
      <c r="H1327" s="47" t="s">
        <v>2735</v>
      </c>
      <c r="I1327" s="122" t="s">
        <v>2747</v>
      </c>
    </row>
    <row r="1328" spans="1:9" x14ac:dyDescent="0.2">
      <c r="A1328" s="6">
        <v>1612</v>
      </c>
      <c r="B1328" s="6" t="s">
        <v>2734</v>
      </c>
      <c r="C1328" s="6">
        <v>86</v>
      </c>
      <c r="D1328" s="6">
        <v>1</v>
      </c>
      <c r="E1328" s="6">
        <v>96</v>
      </c>
      <c r="F1328" s="6" t="s">
        <v>1381</v>
      </c>
      <c r="G1328" s="6">
        <v>0</v>
      </c>
      <c r="H1328" s="47" t="s">
        <v>2735</v>
      </c>
      <c r="I1328" s="122" t="s">
        <v>2748</v>
      </c>
    </row>
    <row r="1329" spans="1:9" x14ac:dyDescent="0.2">
      <c r="A1329" s="6">
        <v>1613</v>
      </c>
      <c r="B1329" s="6" t="s">
        <v>2734</v>
      </c>
      <c r="C1329" s="6">
        <v>86</v>
      </c>
      <c r="D1329" s="6">
        <v>2</v>
      </c>
      <c r="E1329" s="6">
        <v>96</v>
      </c>
      <c r="F1329" s="6" t="s">
        <v>1381</v>
      </c>
      <c r="G1329" s="6">
        <v>0</v>
      </c>
      <c r="H1329" s="47" t="s">
        <v>2735</v>
      </c>
      <c r="I1329" s="122" t="s">
        <v>2749</v>
      </c>
    </row>
    <row r="1330" spans="1:9" x14ac:dyDescent="0.2">
      <c r="A1330" s="6">
        <v>1614</v>
      </c>
      <c r="B1330" s="6" t="s">
        <v>2734</v>
      </c>
      <c r="C1330" s="6">
        <v>86</v>
      </c>
      <c r="D1330" s="6">
        <v>3</v>
      </c>
      <c r="E1330" s="6">
        <v>96</v>
      </c>
      <c r="F1330" s="6" t="s">
        <v>1381</v>
      </c>
      <c r="G1330" s="6">
        <v>0</v>
      </c>
      <c r="H1330" s="47" t="s">
        <v>2735</v>
      </c>
      <c r="I1330" s="122" t="s">
        <v>2750</v>
      </c>
    </row>
    <row r="1331" spans="1:9" x14ac:dyDescent="0.2">
      <c r="A1331" s="6">
        <v>1615</v>
      </c>
      <c r="B1331" s="6" t="s">
        <v>2734</v>
      </c>
      <c r="C1331" s="6">
        <v>86</v>
      </c>
      <c r="D1331" s="6">
        <v>4</v>
      </c>
      <c r="E1331" s="6">
        <v>96</v>
      </c>
      <c r="F1331" s="6" t="s">
        <v>1381</v>
      </c>
      <c r="G1331" s="6">
        <v>0</v>
      </c>
      <c r="H1331" s="47" t="s">
        <v>2735</v>
      </c>
      <c r="I1331" s="122" t="s">
        <v>2751</v>
      </c>
    </row>
    <row r="1332" spans="1:9" x14ac:dyDescent="0.2">
      <c r="A1332" s="6">
        <v>1616</v>
      </c>
      <c r="B1332" s="6" t="s">
        <v>2734</v>
      </c>
      <c r="C1332" s="6">
        <v>86</v>
      </c>
      <c r="D1332" s="6">
        <v>6</v>
      </c>
      <c r="E1332" s="6">
        <v>96</v>
      </c>
      <c r="F1332" s="6" t="s">
        <v>1381</v>
      </c>
      <c r="G1332" s="6">
        <v>0</v>
      </c>
      <c r="H1332" s="47" t="s">
        <v>2735</v>
      </c>
      <c r="I1332" s="122" t="s">
        <v>2752</v>
      </c>
    </row>
    <row r="1333" spans="1:9" x14ac:dyDescent="0.2">
      <c r="A1333" s="6">
        <v>1617</v>
      </c>
      <c r="B1333" s="6" t="s">
        <v>2734</v>
      </c>
      <c r="C1333" s="6">
        <v>86</v>
      </c>
      <c r="D1333" s="6">
        <v>8</v>
      </c>
      <c r="E1333" s="6">
        <v>96</v>
      </c>
      <c r="F1333" s="6" t="s">
        <v>1381</v>
      </c>
      <c r="G1333" s="6">
        <v>0</v>
      </c>
      <c r="H1333" s="47" t="s">
        <v>2735</v>
      </c>
      <c r="I1333" s="122" t="s">
        <v>2753</v>
      </c>
    </row>
    <row r="1334" spans="1:9" x14ac:dyDescent="0.2">
      <c r="A1334" s="6">
        <v>1618</v>
      </c>
      <c r="B1334" s="6" t="s">
        <v>2734</v>
      </c>
      <c r="C1334" s="6">
        <v>86</v>
      </c>
      <c r="D1334" s="6">
        <v>1</v>
      </c>
      <c r="E1334" s="6" t="s">
        <v>186</v>
      </c>
      <c r="F1334" s="6" t="s">
        <v>1381</v>
      </c>
      <c r="G1334" s="6">
        <v>0</v>
      </c>
      <c r="H1334" s="47" t="s">
        <v>2735</v>
      </c>
      <c r="I1334" s="122" t="s">
        <v>2754</v>
      </c>
    </row>
    <row r="1335" spans="1:9" x14ac:dyDescent="0.2">
      <c r="A1335" s="6">
        <v>1619</v>
      </c>
      <c r="B1335" s="6" t="s">
        <v>2734</v>
      </c>
      <c r="C1335" s="6">
        <v>86</v>
      </c>
      <c r="D1335" s="6">
        <v>2</v>
      </c>
      <c r="E1335" s="6" t="s">
        <v>186</v>
      </c>
      <c r="F1335" s="6" t="s">
        <v>1381</v>
      </c>
      <c r="G1335" s="6">
        <v>0</v>
      </c>
      <c r="H1335" s="47" t="s">
        <v>2735</v>
      </c>
      <c r="I1335" s="122" t="s">
        <v>2755</v>
      </c>
    </row>
    <row r="1336" spans="1:9" x14ac:dyDescent="0.2">
      <c r="A1336" s="6">
        <v>1620</v>
      </c>
      <c r="B1336" s="6" t="s">
        <v>2734</v>
      </c>
      <c r="C1336" s="6">
        <v>86</v>
      </c>
      <c r="D1336" s="6">
        <v>3</v>
      </c>
      <c r="E1336" s="6" t="s">
        <v>186</v>
      </c>
      <c r="F1336" s="6" t="s">
        <v>1381</v>
      </c>
      <c r="G1336" s="6">
        <v>0</v>
      </c>
      <c r="H1336" s="47" t="s">
        <v>2735</v>
      </c>
      <c r="I1336" s="122" t="s">
        <v>2756</v>
      </c>
    </row>
    <row r="1338" spans="1:9" x14ac:dyDescent="0.2">
      <c r="A1338"/>
      <c r="B1338"/>
      <c r="C1338"/>
      <c r="D1338"/>
      <c r="E1338"/>
      <c r="F1338"/>
      <c r="G1338"/>
      <c r="H1338"/>
      <c r="I1338"/>
    </row>
    <row r="1339" spans="1:9" x14ac:dyDescent="0.2">
      <c r="A1339"/>
      <c r="B1339" s="149" t="s">
        <v>27</v>
      </c>
      <c r="C1339"/>
      <c r="D1339"/>
      <c r="E1339"/>
      <c r="F1339"/>
      <c r="G1339"/>
      <c r="H1339"/>
      <c r="I1339"/>
    </row>
    <row r="1340" spans="1:9" x14ac:dyDescent="0.2">
      <c r="A1340"/>
      <c r="B1340" s="149" t="str">
        <f>Value_Application_Version</f>
        <v>Version 4.1 - 2026</v>
      </c>
      <c r="C1340"/>
      <c r="D1340"/>
      <c r="E1340"/>
      <c r="F1340"/>
      <c r="G1340"/>
      <c r="H1340"/>
      <c r="I1340"/>
    </row>
    <row r="1341" spans="1:9" ht="12.75" customHeight="1" x14ac:dyDescent="0.2">
      <c r="A1341"/>
      <c r="B1341"/>
      <c r="C1341"/>
      <c r="D1341"/>
      <c r="E1341"/>
      <c r="F1341"/>
      <c r="G1341"/>
      <c r="H1341"/>
      <c r="I1341"/>
    </row>
  </sheetData>
  <sheetProtection algorithmName="SHA-512" hashValue="7bgl97olBZeTpG/OpIkgUxuI4tk8EVoW7KqWxZ+BD8JDvsWwRuofKJLPSsSCiYBYEc6msXC8Bh9Wrqm9PKwhtA==" saltValue="1zpX9M29hDt6+SniuYUprA==" spinCount="100000" sheet="1" sort="0" autoFilter="0"/>
  <mergeCells count="3">
    <mergeCell ref="A3:I3"/>
    <mergeCell ref="A4:I4"/>
    <mergeCell ref="A2:H2"/>
  </mergeCells>
  <pageMargins left="0.7" right="0.7" top="0.75" bottom="0.75" header="0.3" footer="0.3"/>
  <pageSetup orientation="portrait" horizontalDpi="0" verticalDpi="0"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8F2B1-05F7-435A-A75E-B1B4A700E1E1}">
  <sheetPr codeName="Sheet3">
    <tabColor theme="2"/>
  </sheetPr>
  <dimension ref="B1:G42"/>
  <sheetViews>
    <sheetView showGridLines="0" showRowColHeaders="0" workbookViewId="0">
      <selection activeCell="B4" sqref="B4:G5"/>
    </sheetView>
  </sheetViews>
  <sheetFormatPr defaultColWidth="9.140625" defaultRowHeight="12.75" x14ac:dyDescent="0.2"/>
  <cols>
    <col min="1" max="1" width="1.7109375" style="149" customWidth="1"/>
    <col min="2" max="2" width="18.85546875" style="149" customWidth="1"/>
    <col min="3" max="7" width="17.85546875" style="149" customWidth="1"/>
    <col min="8" max="8" width="14.7109375" style="149" customWidth="1"/>
    <col min="9" max="16384" width="9.140625" style="149"/>
  </cols>
  <sheetData>
    <row r="1" spans="2:7" ht="63.75" customHeight="1" x14ac:dyDescent="0.2"/>
    <row r="2" spans="2:7" ht="21" customHeight="1" x14ac:dyDescent="0.2">
      <c r="B2" s="266" t="s">
        <v>2757</v>
      </c>
      <c r="C2" s="266"/>
      <c r="D2" s="266"/>
      <c r="E2" s="266"/>
      <c r="F2" s="200"/>
      <c r="G2" s="200"/>
    </row>
    <row r="4" spans="2:7" ht="12.75" customHeight="1" x14ac:dyDescent="0.2">
      <c r="B4" s="277" t="s">
        <v>2758</v>
      </c>
      <c r="C4" s="277"/>
      <c r="D4" s="277"/>
      <c r="E4" s="277"/>
      <c r="F4" s="277"/>
      <c r="G4" s="277"/>
    </row>
    <row r="5" spans="2:7" x14ac:dyDescent="0.2">
      <c r="B5" s="277"/>
      <c r="C5" s="277"/>
      <c r="D5" s="277"/>
      <c r="E5" s="277"/>
      <c r="F5" s="277"/>
      <c r="G5" s="277"/>
    </row>
    <row r="7" spans="2:7" ht="28.5" customHeight="1" x14ac:dyDescent="0.2">
      <c r="B7" s="276" t="s">
        <v>2759</v>
      </c>
      <c r="C7" s="222" t="s">
        <v>2760</v>
      </c>
      <c r="D7" s="222" t="s">
        <v>2761</v>
      </c>
      <c r="E7" s="222" t="s">
        <v>2762</v>
      </c>
      <c r="F7" s="222" t="s">
        <v>2763</v>
      </c>
    </row>
    <row r="8" spans="2:7" ht="28.5" customHeight="1" x14ac:dyDescent="0.2">
      <c r="B8" s="276"/>
      <c r="C8" s="201">
        <f>Table15[[#Totals],[Gross project cost]]</f>
        <v>0</v>
      </c>
      <c r="D8" s="201" t="e">
        <f>Table15[[#Totals],[Estimated incentive]]</f>
        <v>#DIV/0!</v>
      </c>
      <c r="E8" s="201" t="e">
        <f>Table15[[#Totals],[Net project cost]]</f>
        <v>#DIV/0!</v>
      </c>
      <c r="F8" s="202">
        <f>Table16[[#Totals],[Energy savings (kWh)]]</f>
        <v>0</v>
      </c>
    </row>
    <row r="10" spans="2:7" ht="15.75" x14ac:dyDescent="0.25">
      <c r="B10" s="281" t="s">
        <v>2764</v>
      </c>
      <c r="C10" s="282"/>
      <c r="D10" s="282"/>
      <c r="E10" s="282"/>
      <c r="F10" s="282"/>
    </row>
    <row r="11" spans="2:7" ht="12.75" customHeight="1" x14ac:dyDescent="0.2">
      <c r="B11" s="203" t="s">
        <v>2765</v>
      </c>
      <c r="C11" s="283" t="str">
        <f>_xlfn.CONCAT('Fill in the Application'!C$5, ", ",'Fill in the Application'!$C$4, ", ",'Fill in the Application'!$C$10, ", ",'Fill in the Application'!$C$11)</f>
        <v xml:space="preserve">, , , </v>
      </c>
      <c r="D11" s="283"/>
      <c r="E11" s="283"/>
      <c r="F11" s="283"/>
    </row>
    <row r="12" spans="2:7" ht="25.5" customHeight="1" x14ac:dyDescent="0.2">
      <c r="B12" s="203" t="s">
        <v>2766</v>
      </c>
      <c r="C12" s="283" t="str">
        <f>_xlfn.CONCAT('Fill in the Application'!$C$17, ", ",'Fill in the Application'!$C$16, ", ",'Fill in the Application'!$C$22, ", ",'Fill in the Application'!$C$23)</f>
        <v xml:space="preserve">, , , </v>
      </c>
      <c r="D12" s="283"/>
      <c r="E12" s="283"/>
      <c r="F12" s="283"/>
    </row>
    <row r="13" spans="2:7" ht="12.75" customHeight="1" x14ac:dyDescent="0.2">
      <c r="B13" s="203" t="s">
        <v>2767</v>
      </c>
      <c r="C13" s="283" t="str">
        <f>_xlfn.CONCAT('Fill in the Application'!$C$27, ", ",'Fill in the Application'!$C$26, ", ",'Fill in the Application'!$C$32, ", ",'Fill in the Application'!$C$33)</f>
        <v xml:space="preserve">, , , </v>
      </c>
      <c r="D13" s="283"/>
      <c r="E13" s="283"/>
      <c r="F13" s="283"/>
    </row>
    <row r="15" spans="2:7" ht="15.75" x14ac:dyDescent="0.25">
      <c r="B15" s="279" t="s">
        <v>2768</v>
      </c>
      <c r="C15" s="280"/>
      <c r="D15" s="280"/>
    </row>
    <row r="16" spans="2:7" ht="25.5" x14ac:dyDescent="0.2">
      <c r="B16" s="223" t="s">
        <v>2769</v>
      </c>
      <c r="C16" s="223" t="s">
        <v>110</v>
      </c>
      <c r="D16" s="223" t="s">
        <v>2770</v>
      </c>
    </row>
    <row r="17" spans="2:7" ht="25.5" x14ac:dyDescent="0.2">
      <c r="B17" s="214" t="s">
        <v>2771</v>
      </c>
      <c r="C17" s="202">
        <f>INDEX(Table_Measure_Caps[Energy Savings Total (kWh)], MATCH(Table16[[#This Row],[Incentive type]], Table_Measure_Caps[Measure Type], 0))</f>
        <v>0</v>
      </c>
      <c r="D17" s="204">
        <f>INDEX(Table_Measure_Caps[Demand Reduction Total (kW)], MATCH(Table16[[#This Row],[Incentive type]], Table_Measure_Caps[Measure Type], 0))</f>
        <v>0</v>
      </c>
    </row>
    <row r="18" spans="2:7" x14ac:dyDescent="0.2">
      <c r="B18" s="214" t="s">
        <v>2772</v>
      </c>
      <c r="C18" s="202">
        <f>INDEX(Table_Measure_Caps[Energy Savings Total (kWh)], MATCH(Table16[[#This Row],[Incentive type]], Table_Measure_Caps[Measure Type], 0))</f>
        <v>0</v>
      </c>
      <c r="D18" s="204">
        <f>INDEX(Table_Measure_Caps[Demand Reduction Total (kW)], MATCH(Table16[[#This Row],[Incentive type]], Table_Measure_Caps[Measure Type], 0))</f>
        <v>0</v>
      </c>
    </row>
    <row r="19" spans="2:7" ht="25.5" x14ac:dyDescent="0.2">
      <c r="B19" s="214" t="s">
        <v>2773</v>
      </c>
      <c r="C19" s="202">
        <f>INDEX(Table_Measure_Caps[Energy Savings Total (kWh)], MATCH(Table16[[#This Row],[Incentive type]], Table_Measure_Caps[Measure Type], 0))</f>
        <v>0</v>
      </c>
      <c r="D19" s="204">
        <f>INDEX(Table_Measure_Caps[Demand Reduction Total (kW)], MATCH(Table16[[#This Row],[Incentive type]], Table_Measure_Caps[Measure Type], 0))</f>
        <v>0</v>
      </c>
    </row>
    <row r="20" spans="2:7" x14ac:dyDescent="0.2">
      <c r="B20" s="215" t="s">
        <v>2774</v>
      </c>
      <c r="C20" s="205">
        <f>SUBTOTAL(109,Table16[Energy savings (kWh)])</f>
        <v>0</v>
      </c>
      <c r="D20" s="206">
        <f>SUBTOTAL(109,Table16[kW reduction])</f>
        <v>0</v>
      </c>
    </row>
    <row r="22" spans="2:7" ht="15.75" x14ac:dyDescent="0.25">
      <c r="B22" s="278" t="s">
        <v>2775</v>
      </c>
      <c r="C22" s="278"/>
      <c r="D22" s="278"/>
      <c r="E22" s="278"/>
      <c r="F22" s="278"/>
      <c r="G22" s="278"/>
    </row>
    <row r="23" spans="2:7" ht="25.5" x14ac:dyDescent="0.2">
      <c r="B23" s="223" t="s">
        <v>2769</v>
      </c>
      <c r="C23" s="223" t="s">
        <v>112</v>
      </c>
      <c r="D23" s="223" t="s">
        <v>2776</v>
      </c>
      <c r="E23" s="223" t="s">
        <v>109</v>
      </c>
      <c r="F23" s="223" t="s">
        <v>2762</v>
      </c>
      <c r="G23" s="223" t="s">
        <v>115</v>
      </c>
    </row>
    <row r="24" spans="2:7" ht="25.5" x14ac:dyDescent="0.2">
      <c r="B24" s="214" t="s">
        <v>2771</v>
      </c>
      <c r="C24" s="207">
        <f>INDEX(Table_Measure_Caps[Cost Savings Total], MATCH(Table15[[#This Row],[Incentive type]],Table_Measure_Caps[Measure Type], 0))</f>
        <v>0</v>
      </c>
      <c r="D24" s="207">
        <f>INDEX(Table_Measure_Caps[Gross Measure Cost Total], MATCH(Table15[[#This Row],[Incentive type]],Table_Measure_Caps[Measure Type], 0))</f>
        <v>0</v>
      </c>
      <c r="E24" s="207" t="e">
        <f>INDEX(Table_Measure_Caps[Capped Incentive], MATCH(Table15[[#This Row],[Incentive type]],Table_Measure_Caps[Measure Type], 0))</f>
        <v>#DIV/0!</v>
      </c>
      <c r="F24" s="207" t="e">
        <f>INDEX(Table_Measure_Caps[Net Measure Cost Total], MATCH(Table15[[#This Row],[Incentive type]], Table_Measure_Caps[Measure Type], 0))</f>
        <v>#DIV/0!</v>
      </c>
      <c r="G24" s="208" t="str">
        <f>IFERROR(Table15[[#This Row],[Net project cost]]/Table15[[#This Row],[Cost savings]],"")</f>
        <v/>
      </c>
    </row>
    <row r="25" spans="2:7" x14ac:dyDescent="0.2">
      <c r="B25" s="214" t="s">
        <v>2772</v>
      </c>
      <c r="C25" s="207">
        <f>INDEX(Table_Measure_Caps[Cost Savings Total], MATCH(Table15[[#This Row],[Incentive type]],Table_Measure_Caps[Measure Type], 0))</f>
        <v>0</v>
      </c>
      <c r="D25" s="207">
        <f>INDEX(Table_Measure_Caps[Gross Measure Cost Total], MATCH(Table15[[#This Row],[Incentive type]],Table_Measure_Caps[Measure Type], 0))</f>
        <v>0</v>
      </c>
      <c r="E25" s="207" t="e">
        <f>INDEX(Table_Measure_Caps[Capped Incentive], MATCH(Table15[[#This Row],[Incentive type]],Table_Measure_Caps[Measure Type], 0))</f>
        <v>#DIV/0!</v>
      </c>
      <c r="F25" s="207" t="e">
        <f>INDEX(Table_Measure_Caps[Net Measure Cost Total], MATCH(Table15[[#This Row],[Incentive type]], Table_Measure_Caps[Measure Type], 0))</f>
        <v>#DIV/0!</v>
      </c>
      <c r="G25" s="208" t="str">
        <f>IFERROR(Table15[[#This Row],[Net project cost]]/Table15[[#This Row],[Cost savings]],"")</f>
        <v/>
      </c>
    </row>
    <row r="26" spans="2:7" ht="25.5" x14ac:dyDescent="0.2">
      <c r="B26" s="214" t="s">
        <v>2773</v>
      </c>
      <c r="C26" s="207">
        <f>INDEX(Table_Measure_Caps[Cost Savings Total], MATCH(Table15[[#This Row],[Incentive type]],Table_Measure_Caps[Measure Type], 0))</f>
        <v>0</v>
      </c>
      <c r="D26" s="207">
        <f>INDEX(Table_Measure_Caps[Gross Measure Cost Total], MATCH(Table15[[#This Row],[Incentive type]],Table_Measure_Caps[Measure Type], 0))</f>
        <v>0</v>
      </c>
      <c r="E26" s="207" t="e">
        <f>INDEX(Table_Measure_Caps[Capped Incentive], MATCH(Table15[[#This Row],[Incentive type]],Table_Measure_Caps[Measure Type], 0))</f>
        <v>#DIV/0!</v>
      </c>
      <c r="F26" s="207" t="e">
        <f>INDEX(Table_Measure_Caps[Net Measure Cost Total], MATCH(Table15[[#This Row],[Incentive type]], Table_Measure_Caps[Measure Type], 0))</f>
        <v>#DIV/0!</v>
      </c>
      <c r="G26" s="208" t="str">
        <f>IFERROR(Table15[[#This Row],[Net project cost]]/Table15[[#This Row],[Cost savings]],"")</f>
        <v/>
      </c>
    </row>
    <row r="27" spans="2:7" x14ac:dyDescent="0.2">
      <c r="B27" s="216"/>
      <c r="C27" s="209"/>
      <c r="D27" s="209"/>
      <c r="E27" s="209"/>
      <c r="F27" s="209"/>
      <c r="G27" s="209"/>
    </row>
    <row r="28" spans="2:7" x14ac:dyDescent="0.2">
      <c r="B28" s="215" t="s">
        <v>2774</v>
      </c>
      <c r="C28" s="210">
        <f>SUBTOTAL(109,Table15[Cost savings])</f>
        <v>0</v>
      </c>
      <c r="D28" s="210">
        <f>SUBTOTAL(109,Table15[Gross project cost])</f>
        <v>0</v>
      </c>
      <c r="E28" s="210" t="e">
        <f>SUBTOTAL(109,Table15[Estimated incentive])</f>
        <v>#DIV/0!</v>
      </c>
      <c r="F28" s="210" t="e">
        <f>SUBTOTAL(109,Table15[Net project cost])</f>
        <v>#DIV/0!</v>
      </c>
      <c r="G28" s="211" t="e">
        <f>Table15[[#Totals],[Net project cost]]/Table15[[#Totals],[Cost savings]]</f>
        <v>#DIV/0!</v>
      </c>
    </row>
    <row r="31" spans="2:7" x14ac:dyDescent="0.2">
      <c r="B31" s="149" t="s">
        <v>27</v>
      </c>
    </row>
    <row r="32" spans="2:7" x14ac:dyDescent="0.2">
      <c r="B32" s="149" t="str">
        <f>Value_Application_Version</f>
        <v>Version 4.1 - 2026</v>
      </c>
    </row>
    <row r="33" spans="3:5" ht="12.75" customHeight="1" x14ac:dyDescent="0.2"/>
    <row r="35" spans="3:5" x14ac:dyDescent="0.2">
      <c r="C35" s="212"/>
    </row>
    <row r="38" spans="3:5" x14ac:dyDescent="0.2">
      <c r="D38" s="213"/>
      <c r="E38" s="213"/>
    </row>
    <row r="41" spans="3:5" x14ac:dyDescent="0.2">
      <c r="D41" s="213"/>
    </row>
    <row r="42" spans="3:5" x14ac:dyDescent="0.2">
      <c r="D42" s="213"/>
    </row>
  </sheetData>
  <sheetProtection algorithmName="SHA-512" hashValue="ZrfVD3W6L+UJ1RVYh04tPnH7K8EIdND6sbatV4266rzx4ilCT8dVL/PF4Eb3xszdfWOvf9+HhtE3KoRbLmHUWg==" saltValue="R69vuA9gSRES5vnXCLbtNw==" spinCount="100000" sheet="1" objects="1" scenarios="1"/>
  <mergeCells count="9">
    <mergeCell ref="B7:B8"/>
    <mergeCell ref="B4:G5"/>
    <mergeCell ref="B22:G22"/>
    <mergeCell ref="B2:E2"/>
    <mergeCell ref="B15:D15"/>
    <mergeCell ref="B10:F10"/>
    <mergeCell ref="C11:F11"/>
    <mergeCell ref="C12:F12"/>
    <mergeCell ref="C13:F13"/>
  </mergeCells>
  <pageMargins left="0.25" right="0.25" top="0.75" bottom="0.75" header="0.3" footer="0.3"/>
  <pageSetup orientation="portrait" r:id="rId1"/>
  <drawing r:id="rId2"/>
  <legacyDrawing r:id="rId3"/>
  <tableParts count="2">
    <tablePart r:id="rId4"/>
    <tablePart r:id="rId5"/>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6B2A8-96D8-477A-8D12-8FE8C63DDC38}">
  <sheetPr>
    <tabColor rgb="FFFF0000"/>
  </sheetPr>
  <dimension ref="B1:G58"/>
  <sheetViews>
    <sheetView workbookViewId="0"/>
  </sheetViews>
  <sheetFormatPr defaultRowHeight="12.75" x14ac:dyDescent="0.2"/>
  <cols>
    <col min="1" max="1" width="1.7109375" customWidth="1"/>
    <col min="2" max="2" width="18.85546875" customWidth="1"/>
    <col min="3" max="7" width="17.85546875" customWidth="1"/>
    <col min="8" max="8" width="14.7109375" customWidth="1"/>
  </cols>
  <sheetData>
    <row r="1" spans="2:7" ht="21" customHeight="1" x14ac:dyDescent="0.2">
      <c r="B1" s="290" t="s">
        <v>2777</v>
      </c>
      <c r="C1" s="290"/>
      <c r="D1" s="290"/>
      <c r="E1" s="290"/>
      <c r="F1" s="59"/>
      <c r="G1" s="59"/>
    </row>
    <row r="2" spans="2:7" ht="12.75" customHeight="1" x14ac:dyDescent="0.2"/>
    <row r="3" spans="2:7" ht="12.75" customHeight="1" x14ac:dyDescent="0.2"/>
    <row r="4" spans="2:7" ht="12.75" customHeight="1" x14ac:dyDescent="0.2"/>
    <row r="7" spans="2:7" x14ac:dyDescent="0.2">
      <c r="B7" s="291" t="s">
        <v>2778</v>
      </c>
      <c r="C7" s="291"/>
      <c r="D7" s="291"/>
      <c r="E7" s="291"/>
      <c r="F7" s="291"/>
      <c r="G7" s="291"/>
    </row>
    <row r="8" spans="2:7" x14ac:dyDescent="0.2">
      <c r="B8" s="291"/>
      <c r="C8" s="291"/>
      <c r="D8" s="291"/>
      <c r="E8" s="291"/>
      <c r="F8" s="291"/>
      <c r="G8" s="291"/>
    </row>
    <row r="9" spans="2:7" x14ac:dyDescent="0.2">
      <c r="B9" s="51"/>
      <c r="C9" s="51"/>
      <c r="D9" s="51"/>
      <c r="E9" s="51"/>
      <c r="F9" s="51"/>
      <c r="G9" s="51"/>
    </row>
    <row r="10" spans="2:7" ht="26.25" customHeight="1" x14ac:dyDescent="0.2">
      <c r="B10" s="294" t="s">
        <v>2779</v>
      </c>
      <c r="C10" s="294"/>
      <c r="D10" s="294"/>
      <c r="E10" s="294"/>
      <c r="F10" s="294"/>
      <c r="G10" s="294"/>
    </row>
    <row r="12" spans="2:7" ht="28.5" customHeight="1" x14ac:dyDescent="0.2">
      <c r="B12" s="292" t="s">
        <v>2780</v>
      </c>
      <c r="C12" s="50" t="s">
        <v>2781</v>
      </c>
      <c r="D12" s="50" t="s">
        <v>2782</v>
      </c>
      <c r="E12" s="50" t="s">
        <v>2783</v>
      </c>
      <c r="F12" s="50" t="s">
        <v>2784</v>
      </c>
    </row>
    <row r="13" spans="2:7" ht="21.75" customHeight="1" x14ac:dyDescent="0.2">
      <c r="B13" s="292"/>
      <c r="C13" s="130">
        <f>Gross_Proj_Cost</f>
        <v>0</v>
      </c>
      <c r="D13" s="130" t="e">
        <f>Total_Incentive</f>
        <v>#DIV/0!</v>
      </c>
      <c r="E13" s="130" t="e">
        <f>Net_Project_Cost</f>
        <v>#DIV/0!</v>
      </c>
      <c r="F13" s="131">
        <f>Project_Energy_Savings</f>
        <v>0</v>
      </c>
    </row>
    <row r="15" spans="2:7" ht="15.75" x14ac:dyDescent="0.25">
      <c r="B15" s="293" t="str">
        <f>'Fill in the Application'!B3</f>
        <v>Entergy New Orleans customer information</v>
      </c>
      <c r="C15" s="293"/>
      <c r="D15" s="293"/>
      <c r="E15" s="293"/>
      <c r="F15" s="293"/>
    </row>
    <row r="16" spans="2:7" x14ac:dyDescent="0.2">
      <c r="B16" s="287" t="s">
        <v>2785</v>
      </c>
      <c r="C16" s="287"/>
      <c r="D16" s="286">
        <f>'Fill in the Application'!C4</f>
        <v>0</v>
      </c>
      <c r="E16" s="286"/>
      <c r="F16" s="286"/>
    </row>
    <row r="17" spans="2:6" x14ac:dyDescent="0.2">
      <c r="B17" s="287" t="s">
        <v>2786</v>
      </c>
      <c r="C17" s="287"/>
      <c r="D17" s="286">
        <f>'Fill in the Application'!C5</f>
        <v>0</v>
      </c>
      <c r="E17" s="286"/>
      <c r="F17" s="286"/>
    </row>
    <row r="18" spans="2:6" ht="12.75" customHeight="1" x14ac:dyDescent="0.2">
      <c r="B18" s="287" t="s">
        <v>55</v>
      </c>
      <c r="C18" s="287"/>
      <c r="D18" s="286" t="str">
        <f>_xlfn.CONCAT('Fill in the Application'!C6,", ",'Fill in the Application'!C7,", ",'Fill in the Application'!C8,", ",'Fill in the Application'!C9)</f>
        <v xml:space="preserve">, , , </v>
      </c>
      <c r="E18" s="286"/>
      <c r="F18" s="286"/>
    </row>
    <row r="19" spans="2:6" x14ac:dyDescent="0.2">
      <c r="B19" s="287" t="s">
        <v>2787</v>
      </c>
      <c r="C19" s="287"/>
      <c r="D19" s="286">
        <f>'Fill in the Application'!C12</f>
        <v>0</v>
      </c>
      <c r="E19" s="286"/>
      <c r="F19" s="286"/>
    </row>
    <row r="21" spans="2:6" ht="15.75" customHeight="1" x14ac:dyDescent="0.2">
      <c r="B21" s="288" t="s">
        <v>2788</v>
      </c>
      <c r="C21" s="288"/>
      <c r="D21" s="288"/>
      <c r="E21" s="288"/>
      <c r="F21" s="288"/>
    </row>
    <row r="22" spans="2:6" x14ac:dyDescent="0.2">
      <c r="B22" s="287" t="s">
        <v>2789</v>
      </c>
      <c r="C22" s="287"/>
      <c r="D22" s="286">
        <f>'Fill in the Application'!C16</f>
        <v>0</v>
      </c>
      <c r="E22" s="286"/>
      <c r="F22" s="286"/>
    </row>
    <row r="23" spans="2:6" x14ac:dyDescent="0.2">
      <c r="B23" s="287" t="s">
        <v>2790</v>
      </c>
      <c r="C23" s="287"/>
      <c r="D23" s="286">
        <f>'Fill in the Application'!C17</f>
        <v>0</v>
      </c>
      <c r="E23" s="286"/>
      <c r="F23" s="286"/>
    </row>
    <row r="24" spans="2:6" ht="12.75" customHeight="1" x14ac:dyDescent="0.2">
      <c r="B24" s="287" t="s">
        <v>55</v>
      </c>
      <c r="C24" s="287"/>
      <c r="D24" s="286" t="str">
        <f>_xlfn.CONCAT('Fill in the Application'!C18,", ",'Fill in the Application'!C19,", ",'Fill in the Application'!C20,", ",'Fill in the Application'!C21)</f>
        <v xml:space="preserve">, , , </v>
      </c>
      <c r="E24" s="286"/>
      <c r="F24" s="286"/>
    </row>
    <row r="25" spans="2:6" x14ac:dyDescent="0.2">
      <c r="B25" s="287" t="s">
        <v>2791</v>
      </c>
      <c r="C25" s="287"/>
      <c r="D25" s="286">
        <f>'Fill in the Application'!C24</f>
        <v>0</v>
      </c>
      <c r="E25" s="286"/>
      <c r="F25" s="286"/>
    </row>
    <row r="27" spans="2:6" ht="15.75" customHeight="1" x14ac:dyDescent="0.2">
      <c r="B27" s="288" t="s">
        <v>2792</v>
      </c>
      <c r="C27" s="288"/>
      <c r="D27" s="288"/>
      <c r="E27" s="288"/>
      <c r="F27" s="288"/>
    </row>
    <row r="28" spans="2:6" x14ac:dyDescent="0.2">
      <c r="B28" s="287" t="s">
        <v>2793</v>
      </c>
      <c r="C28" s="287"/>
      <c r="D28" s="286">
        <f>'Fill in the Application'!F32</f>
        <v>0</v>
      </c>
      <c r="E28" s="286"/>
      <c r="F28" s="286"/>
    </row>
    <row r="29" spans="2:6" x14ac:dyDescent="0.2">
      <c r="B29" s="287" t="s">
        <v>2794</v>
      </c>
      <c r="C29" s="287"/>
      <c r="D29" s="286">
        <f>'Fill in the Application'!F33</f>
        <v>0</v>
      </c>
      <c r="E29" s="286"/>
      <c r="F29" s="286"/>
    </row>
    <row r="30" spans="2:6" x14ac:dyDescent="0.2">
      <c r="B30" s="287" t="s">
        <v>55</v>
      </c>
      <c r="C30" s="287"/>
      <c r="D30" s="286" t="str">
        <f>IF(D28="Customer",D18,IF(D28="Trade Ally/Contractor",D24,IF(D28="Additional Contact",_xlfn.CONCAT('Fill in the Application'!C28,", ",'Fill in the Application'!C29,", ",'Fill in the Application'!C30,", ",'Fill in the Application'!C31),IF(D28="Job Site",_xlfn.CONCAT('Fill in the Application'!F16,", ",'Fill in the Application'!F17,", ",'Fill in the Application'!F18,", ",'Fill in the Application'!F19),""))))</f>
        <v/>
      </c>
      <c r="E30" s="286"/>
      <c r="F30" s="286"/>
    </row>
    <row r="31" spans="2:6" x14ac:dyDescent="0.2">
      <c r="B31" s="287" t="s">
        <v>2795</v>
      </c>
      <c r="C31" s="287"/>
      <c r="D31" s="286">
        <f>'Fill in the Application'!F34</f>
        <v>0</v>
      </c>
      <c r="E31" s="286"/>
      <c r="F31" s="286"/>
    </row>
    <row r="32" spans="2:6" x14ac:dyDescent="0.2">
      <c r="B32" s="287" t="s">
        <v>2796</v>
      </c>
      <c r="C32" s="287"/>
      <c r="D32" s="286">
        <f>'Fill in the Application'!F35</f>
        <v>0</v>
      </c>
      <c r="E32" s="286"/>
      <c r="F32" s="286"/>
    </row>
    <row r="33" spans="2:7" x14ac:dyDescent="0.2">
      <c r="B33" s="287" t="s">
        <v>2797</v>
      </c>
      <c r="C33" s="287"/>
      <c r="D33" s="286">
        <f>'Fill in the Application'!F36</f>
        <v>0</v>
      </c>
      <c r="E33" s="286"/>
      <c r="F33" s="286"/>
    </row>
    <row r="35" spans="2:7" ht="12.75" customHeight="1" x14ac:dyDescent="0.2">
      <c r="B35" s="284" t="s">
        <v>2798</v>
      </c>
      <c r="C35" s="284"/>
      <c r="D35" s="285"/>
    </row>
    <row r="36" spans="2:7" x14ac:dyDescent="0.2">
      <c r="B36" s="284"/>
      <c r="C36" s="284"/>
      <c r="D36" s="285"/>
    </row>
    <row r="38" spans="2:7" ht="12.75" customHeight="1" x14ac:dyDescent="0.2">
      <c r="B38" s="229" t="s">
        <v>2799</v>
      </c>
      <c r="C38" s="229"/>
      <c r="D38" s="229"/>
      <c r="E38" s="229"/>
      <c r="F38" s="229"/>
      <c r="G38" s="229"/>
    </row>
    <row r="39" spans="2:7" x14ac:dyDescent="0.2">
      <c r="B39" s="229"/>
      <c r="C39" s="229"/>
      <c r="D39" s="229"/>
      <c r="E39" s="229"/>
      <c r="F39" s="229"/>
      <c r="G39" s="229"/>
    </row>
    <row r="40" spans="2:7" x14ac:dyDescent="0.2">
      <c r="B40" s="229"/>
      <c r="C40" s="229"/>
      <c r="D40" s="229"/>
      <c r="E40" s="229"/>
      <c r="F40" s="229"/>
      <c r="G40" s="229"/>
    </row>
    <row r="41" spans="2:7" x14ac:dyDescent="0.2">
      <c r="B41" s="229"/>
      <c r="C41" s="229"/>
      <c r="D41" s="229"/>
      <c r="E41" s="229"/>
      <c r="F41" s="229"/>
      <c r="G41" s="229"/>
    </row>
    <row r="42" spans="2:7" x14ac:dyDescent="0.2">
      <c r="B42" s="229"/>
      <c r="C42" s="229"/>
      <c r="D42" s="229"/>
      <c r="E42" s="229"/>
      <c r="F42" s="229"/>
      <c r="G42" s="229"/>
    </row>
    <row r="43" spans="2:7" x14ac:dyDescent="0.2">
      <c r="B43" s="71" t="s">
        <v>2800</v>
      </c>
      <c r="C43" s="71"/>
      <c r="F43" s="71" t="s">
        <v>85</v>
      </c>
      <c r="G43" s="87"/>
    </row>
    <row r="44" spans="2:7" x14ac:dyDescent="0.2">
      <c r="B44" s="289"/>
      <c r="C44" s="289"/>
      <c r="D44" s="289"/>
      <c r="F44" s="49"/>
      <c r="G44" s="87"/>
    </row>
    <row r="46" spans="2:7" x14ac:dyDescent="0.2">
      <c r="B46" t="s">
        <v>27</v>
      </c>
    </row>
    <row r="47" spans="2:7" x14ac:dyDescent="0.2">
      <c r="B47" t="str">
        <f>Value_Application_Version</f>
        <v>Version 4.1 - 2026</v>
      </c>
    </row>
    <row r="48" spans="2:7" ht="12.75" customHeight="1" x14ac:dyDescent="0.2"/>
    <row r="49" spans="3:5" x14ac:dyDescent="0.2">
      <c r="C49" s="38"/>
    </row>
    <row r="51" spans="3:5" x14ac:dyDescent="0.2">
      <c r="C51" s="36"/>
    </row>
    <row r="54" spans="3:5" x14ac:dyDescent="0.2">
      <c r="D54" s="38"/>
      <c r="E54" s="38"/>
    </row>
    <row r="57" spans="3:5" x14ac:dyDescent="0.2">
      <c r="D57" s="38"/>
    </row>
    <row r="58" spans="3:5" x14ac:dyDescent="0.2">
      <c r="D58" s="38"/>
    </row>
  </sheetData>
  <mergeCells count="39">
    <mergeCell ref="B1:E1"/>
    <mergeCell ref="B7:G8"/>
    <mergeCell ref="B12:B13"/>
    <mergeCell ref="B15:F15"/>
    <mergeCell ref="B10:G10"/>
    <mergeCell ref="B21:F21"/>
    <mergeCell ref="B19:C19"/>
    <mergeCell ref="B16:C16"/>
    <mergeCell ref="B17:C17"/>
    <mergeCell ref="B18:C18"/>
    <mergeCell ref="B22:C22"/>
    <mergeCell ref="B23:C23"/>
    <mergeCell ref="B24:C24"/>
    <mergeCell ref="D24:F24"/>
    <mergeCell ref="D25:F25"/>
    <mergeCell ref="B27:F27"/>
    <mergeCell ref="D29:F29"/>
    <mergeCell ref="B44:D44"/>
    <mergeCell ref="D16:F16"/>
    <mergeCell ref="D17:F17"/>
    <mergeCell ref="D18:F18"/>
    <mergeCell ref="D19:F19"/>
    <mergeCell ref="D22:F22"/>
    <mergeCell ref="D23:F23"/>
    <mergeCell ref="B31:C31"/>
    <mergeCell ref="B32:C32"/>
    <mergeCell ref="B33:C33"/>
    <mergeCell ref="B38:G42"/>
    <mergeCell ref="B28:C28"/>
    <mergeCell ref="B30:C30"/>
    <mergeCell ref="B25:C25"/>
    <mergeCell ref="B35:C36"/>
    <mergeCell ref="D35:D36"/>
    <mergeCell ref="D28:F28"/>
    <mergeCell ref="D30:F30"/>
    <mergeCell ref="D31:F31"/>
    <mergeCell ref="D32:F32"/>
    <mergeCell ref="D33:F33"/>
    <mergeCell ref="B29:C29"/>
  </mergeCells>
  <pageMargins left="0.25" right="0.25"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DE4C34D9-E893-4CDB-A55A-D9856690557F}">
            <xm:f>'Fill in the Application'!$F$11="Pre-Retrofit"</xm:f>
            <x14:dxf>
              <fill>
                <patternFill>
                  <bgColor theme="2"/>
                </patternFill>
              </fill>
            </x14:dxf>
          </x14:cfRule>
          <xm:sqref>D35:D36 B44:D44 F44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AA58A4A41B1F4CAE32AA5B340BDA7D" ma:contentTypeVersion="60" ma:contentTypeDescription="Create a new document." ma:contentTypeScope="" ma:versionID="957fdf9ee701b1418fc08cbece01d279">
  <xsd:schema xmlns:xsd="http://www.w3.org/2001/XMLSchema" xmlns:xs="http://www.w3.org/2001/XMLSchema" xmlns:p="http://schemas.microsoft.com/office/2006/metadata/properties" xmlns:ns1="http://schemas.microsoft.com/sharepoint/v3" xmlns:ns2="31dec9db-5195-47be-9e82-d05353a30672" xmlns:ns3="405923a6-f60e-469d-8560-ac7b1a3d2c54" xmlns:ns4="6b2b484f-4c19-4c24-b89d-0399ef7e60bb" targetNamespace="http://schemas.microsoft.com/office/2006/metadata/properties" ma:root="true" ma:fieldsID="83a0fb75b310229db32a75562a88d429" ns1:_="" ns2:_="" ns3:_="" ns4:_="">
    <xsd:import namespace="http://schemas.microsoft.com/sharepoint/v3"/>
    <xsd:import namespace="31dec9db-5195-47be-9e82-d05353a30672"/>
    <xsd:import namespace="405923a6-f60e-469d-8560-ac7b1a3d2c54"/>
    <xsd:import namespace="6b2b484f-4c19-4c24-b89d-0399ef7e60b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2:lcf76f155ced4ddcb4097134ff3c332f" minOccurs="0"/>
                <xsd:element ref="ns4:TaxCatchAll" minOccurs="0"/>
                <xsd:element ref="ns2:MediaServiceObjectDetectorVersions" minOccurs="0"/>
                <xsd:element ref="ns2:MediaServiceSearchProperties" minOccurs="0"/>
                <xsd:element ref="ns2:MediaLengthInSeconds" minOccurs="0"/>
                <xsd:element ref="ns2:Thumbnai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dec9db-5195-47be-9e82-d05353a306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af5a3b8-19fe-4aaf-8551-0b725c993cd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LengthInSeconds" ma:index="26" nillable="true" ma:displayName="MediaLengthInSeconds" ma:hidden="true" ma:internalName="MediaLengthInSeconds" ma:readOnly="true">
      <xsd:simpleType>
        <xsd:restriction base="dms:Unknown"/>
      </xsd:simpleType>
    </xsd:element>
    <xsd:element name="Thumbnail" ma:index="27" nillable="true" ma:displayName="Thumbnail" ma:format="Thumbnail" ma:internalName="Thumbnail">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05923a6-f60e-469d-8560-ac7b1a3d2c5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b2b484f-4c19-4c24-b89d-0399ef7e60bb"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0c359fd-0401-4fb7-b333-7fe9b6ff300f}" ma:internalName="TaxCatchAll" ma:showField="CatchAllData" ma:web="6b2b484f-4c19-4c24-b89d-0399ef7e60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b2b484f-4c19-4c24-b89d-0399ef7e60bb" xsi:nil="true"/>
    <lcf76f155ced4ddcb4097134ff3c332f xmlns="31dec9db-5195-47be-9e82-d05353a30672">
      <Terms xmlns="http://schemas.microsoft.com/office/infopath/2007/PartnerControls"/>
    </lcf76f155ced4ddcb4097134ff3c332f>
    <_ip_UnifiedCompliancePolicyUIAction xmlns="http://schemas.microsoft.com/sharepoint/v3" xsi:nil="true"/>
    <Thumbnail xmlns="31dec9db-5195-47be-9e82-d05353a30672"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daf5a3b8-19fe-4aaf-8551-0b725c993cda" ContentTypeId="0x0101" PreviousValue="false"/>
</file>

<file path=customXml/itemProps1.xml><?xml version="1.0" encoding="utf-8"?>
<ds:datastoreItem xmlns:ds="http://schemas.openxmlformats.org/officeDocument/2006/customXml" ds:itemID="{483DBFE6-BAB2-437A-8478-70D5BBF6A7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1dec9db-5195-47be-9e82-d05353a30672"/>
    <ds:schemaRef ds:uri="405923a6-f60e-469d-8560-ac7b1a3d2c54"/>
    <ds:schemaRef ds:uri="6b2b484f-4c19-4c24-b89d-0399ef7e60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B6706F-DDF4-41B7-B137-65BA3C1C0B78}">
  <ds:schemaRefs>
    <ds:schemaRef ds:uri="31dec9db-5195-47be-9e82-d05353a30672"/>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6b2b484f-4c19-4c24-b89d-0399ef7e60bb"/>
    <ds:schemaRef ds:uri="http://schemas.microsoft.com/sharepoint/v3"/>
    <ds:schemaRef ds:uri="http://purl.org/dc/terms/"/>
    <ds:schemaRef ds:uri="http://purl.org/dc/dcmitype/"/>
    <ds:schemaRef ds:uri="http://schemas.microsoft.com/office/infopath/2007/PartnerControls"/>
    <ds:schemaRef ds:uri="405923a6-f60e-469d-8560-ac7b1a3d2c54"/>
    <ds:schemaRef ds:uri="http://www.w3.org/XML/1998/namespace"/>
  </ds:schemaRefs>
</ds:datastoreItem>
</file>

<file path=customXml/itemProps3.xml><?xml version="1.0" encoding="utf-8"?>
<ds:datastoreItem xmlns:ds="http://schemas.openxmlformats.org/officeDocument/2006/customXml" ds:itemID="{B8F538E9-556C-4740-9384-70820DA6A959}">
  <ds:schemaRefs>
    <ds:schemaRef ds:uri="http://schemas.microsoft.com/sharepoint/v3/contenttype/forms"/>
  </ds:schemaRefs>
</ds:datastoreItem>
</file>

<file path=customXml/itemProps4.xml><?xml version="1.0" encoding="utf-8"?>
<ds:datastoreItem xmlns:ds="http://schemas.openxmlformats.org/officeDocument/2006/customXml" ds:itemID="{32E50F1C-15DA-45E9-ACE8-A9BF452DD6F1}">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57</vt:i4>
      </vt:variant>
    </vt:vector>
  </HeadingPairs>
  <TitlesOfParts>
    <vt:vector size="73" baseType="lpstr">
      <vt:lpstr>Review the Intro Tab</vt:lpstr>
      <vt:lpstr>Fill in the Application</vt:lpstr>
      <vt:lpstr>Place Your Signature</vt:lpstr>
      <vt:lpstr>Input Prescr. Lighting Measures</vt:lpstr>
      <vt:lpstr>Input Custom Lighting Measures</vt:lpstr>
      <vt:lpstr>Input Lighting Control Measures</vt:lpstr>
      <vt:lpstr>Reference the Fixtures Table</vt:lpstr>
      <vt:lpstr>Review the Summary</vt:lpstr>
      <vt:lpstr>Completion</vt:lpstr>
      <vt:lpstr>References</vt:lpstr>
      <vt:lpstr>Fixture Codes</vt:lpstr>
      <vt:lpstr>Caps</vt:lpstr>
      <vt:lpstr>QC</vt:lpstr>
      <vt:lpstr>Proj Data</vt:lpstr>
      <vt:lpstr>APTracks Export Data</vt:lpstr>
      <vt:lpstr>Change Log</vt:lpstr>
      <vt:lpstr>Custom_Lights_Building_Type</vt:lpstr>
      <vt:lpstr>Gross_Proj_Cost</vt:lpstr>
      <vt:lpstr>HID_Type_LIST</vt:lpstr>
      <vt:lpstr>Input_AvgkWhRate</vt:lpstr>
      <vt:lpstr>Input_BldgType</vt:lpstr>
      <vt:lpstr>Input_Bonus</vt:lpstr>
      <vt:lpstr>Input_BonusMeasureNumber</vt:lpstr>
      <vt:lpstr>Input_HVACType</vt:lpstr>
      <vt:lpstr>Input_ProgramType</vt:lpstr>
      <vt:lpstr>Input_ProjectNumber</vt:lpstr>
      <vt:lpstr>Input_Usage</vt:lpstr>
      <vt:lpstr>List_Biz_Class</vt:lpstr>
      <vt:lpstr>List_Bldg_Types</vt:lpstr>
      <vt:lpstr>List_Cert_Body</vt:lpstr>
      <vt:lpstr>List_Contacts</vt:lpstr>
      <vt:lpstr>List_Control_Measure</vt:lpstr>
      <vt:lpstr>List_Control_Types</vt:lpstr>
      <vt:lpstr>List_DBE_Option</vt:lpstr>
      <vt:lpstr>List_Exit_Type</vt:lpstr>
      <vt:lpstr>List_Ext_Prescript_Measure</vt:lpstr>
      <vt:lpstr>List_Gen_Replace_Option</vt:lpstr>
      <vt:lpstr>List_HID_Type</vt:lpstr>
      <vt:lpstr>List_Hours</vt:lpstr>
      <vt:lpstr>List_HVAC</vt:lpstr>
      <vt:lpstr>List_In_Out</vt:lpstr>
      <vt:lpstr>List_Install_Type</vt:lpstr>
      <vt:lpstr>List_Int_Prescript_Measure</vt:lpstr>
      <vt:lpstr>List_LampsperFixture</vt:lpstr>
      <vt:lpstr>List_Light_Type</vt:lpstr>
      <vt:lpstr>List_Ownership</vt:lpstr>
      <vt:lpstr>List_Program_Names</vt:lpstr>
      <vt:lpstr>List_Project_Stage</vt:lpstr>
      <vt:lpstr>List_Project_Type</vt:lpstr>
      <vt:lpstr>List_Screw_In_Type</vt:lpstr>
      <vt:lpstr>List_Source</vt:lpstr>
      <vt:lpstr>List_Special_AOHs</vt:lpstr>
      <vt:lpstr>List_T5HO_Type</vt:lpstr>
      <vt:lpstr>List_T8HO_T12HO_Type</vt:lpstr>
      <vt:lpstr>List_T8T12_Type</vt:lpstr>
      <vt:lpstr>List_Tax_Entity</vt:lpstr>
      <vt:lpstr>List_UT8_UT12_Type</vt:lpstr>
      <vt:lpstr>List_Water_Heating</vt:lpstr>
      <vt:lpstr>List_Y_N</vt:lpstr>
      <vt:lpstr>List_Y_N_U</vt:lpstr>
      <vt:lpstr>Net_Project_Cost</vt:lpstr>
      <vt:lpstr>Project_Energy_Savings</vt:lpstr>
      <vt:lpstr>Replace_Option_LIST</vt:lpstr>
      <vt:lpstr>Screw_In_Type_LIST</vt:lpstr>
      <vt:lpstr>Total_Incentive</vt:lpstr>
      <vt:lpstr>Value_Application_Version</vt:lpstr>
      <vt:lpstr>Value_Bonus_Rate</vt:lpstr>
      <vt:lpstr>Value_Custom_IncentRate</vt:lpstr>
      <vt:lpstr>Value_FastTrack_Limit</vt:lpstr>
      <vt:lpstr>Value_LC_IncentRate</vt:lpstr>
      <vt:lpstr>Value_Measure_CAP</vt:lpstr>
      <vt:lpstr>Value_Project_CAP</vt:lpstr>
      <vt:lpstr>Value_SC_IncentRate</vt:lpstr>
    </vt:vector>
  </TitlesOfParts>
  <Manager/>
  <Company>Chicago Bridge &amp; Iron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Kurtz, Spencer</dc:creator>
  <cp:keywords/>
  <dc:description/>
  <cp:lastModifiedBy>Hawthorne, Erica</cp:lastModifiedBy>
  <cp:revision/>
  <dcterms:created xsi:type="dcterms:W3CDTF">2017-02-21T18:38:33Z</dcterms:created>
  <dcterms:modified xsi:type="dcterms:W3CDTF">2026-02-06T15:44:26Z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0x01010092AA58A4A41B1F4CAE32AA5B340BDA7D</vt:lpwstr>
  </property>
  <property fmtid="{D5CDD505-2E9C-101B-9397-08002B2CF9AE}" pid="3" name="MediaServiceImageTags">
    <vt:lpwstr/>
  </property>
</Properties>
</file>